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35" windowWidth="20115" windowHeight="7425" activeTab="1"/>
  </bookViews>
  <sheets>
    <sheet name="DS nang luong thang 02.2015" sheetId="1" r:id="rId1"/>
    <sheet name="DS nang PCTN NG thang 02.2015" sheetId="2" r:id="rId2"/>
  </sheets>
  <externalReferences>
    <externalReference r:id="rId3"/>
    <externalReference r:id="rId4"/>
  </externalReferences>
  <definedNames>
    <definedName name="_xlnm.Print_Titles" localSheetId="0">'DS nang luong thang 02.2015'!$15:$17</definedName>
    <definedName name="_xlnm.Print_Titles" localSheetId="1">'DS nang PCTN NG thang 02.2015'!$14:$17</definedName>
  </definedNames>
  <calcPr calcId="144525"/>
</workbook>
</file>

<file path=xl/calcChain.xml><?xml version="1.0" encoding="utf-8"?>
<calcChain xmlns="http://schemas.openxmlformats.org/spreadsheetml/2006/main">
  <c r="DM31" i="2" l="1"/>
  <c r="DN31" i="2" s="1"/>
  <c r="CW31" i="2"/>
  <c r="CR31" i="2"/>
  <c r="CS31" i="2" s="1"/>
  <c r="CQ31" i="2"/>
  <c r="CP31" i="2"/>
  <c r="CN31" i="2"/>
  <c r="CH31" i="2"/>
  <c r="CG31" i="2"/>
  <c r="CL31" i="2" s="1"/>
  <c r="CF31" i="2"/>
  <c r="DV31" i="2" s="1"/>
  <c r="BZ31" i="2"/>
  <c r="BU31" i="2"/>
  <c r="BO31" i="2"/>
  <c r="BL31" i="2"/>
  <c r="BH31" i="2"/>
  <c r="BG31" i="2"/>
  <c r="BF31" i="2"/>
  <c r="AW31" i="2"/>
  <c r="AT31" i="2"/>
  <c r="AR31" i="2"/>
  <c r="DU31" i="2" s="1"/>
  <c r="AQ31" i="2"/>
  <c r="AN31" i="2"/>
  <c r="AB31" i="2"/>
  <c r="AA31" i="2"/>
  <c r="Z31" i="2"/>
  <c r="AE31" i="2" s="1"/>
  <c r="Y31" i="2"/>
  <c r="V31" i="2"/>
  <c r="S31" i="2"/>
  <c r="T31" i="2" s="1"/>
  <c r="BT31" i="2" s="1"/>
  <c r="Q31" i="2"/>
  <c r="P31" i="2"/>
  <c r="M31" i="2"/>
  <c r="K31" i="2" s="1"/>
  <c r="C31" i="2"/>
  <c r="DM30" i="2"/>
  <c r="DN30" i="2" s="1"/>
  <c r="CW30" i="2"/>
  <c r="CR30" i="2"/>
  <c r="CS30" i="2" s="1"/>
  <c r="CQ30" i="2"/>
  <c r="CP30" i="2"/>
  <c r="CH30" i="2" s="1"/>
  <c r="CN30" i="2"/>
  <c r="CG30" i="2"/>
  <c r="CL30" i="2" s="1"/>
  <c r="BZ30" i="2"/>
  <c r="BU30" i="2"/>
  <c r="BO30" i="2"/>
  <c r="BL30" i="2"/>
  <c r="BH30" i="2"/>
  <c r="BF30" i="2"/>
  <c r="AW30" i="2"/>
  <c r="AT30" i="2"/>
  <c r="AR30" i="2"/>
  <c r="DU30" i="2" s="1"/>
  <c r="AQ30" i="2"/>
  <c r="AA30" i="2" s="1"/>
  <c r="AN30" i="2"/>
  <c r="AB30" i="2"/>
  <c r="Z30" i="2"/>
  <c r="AE30" i="2" s="1"/>
  <c r="V30" i="2"/>
  <c r="T30" i="2"/>
  <c r="BT30" i="2" s="1"/>
  <c r="S30" i="2"/>
  <c r="Q30" i="2"/>
  <c r="P30" i="2"/>
  <c r="M30" i="2"/>
  <c r="C30" i="2"/>
  <c r="DN29" i="2"/>
  <c r="DM29" i="2"/>
  <c r="CW29" i="2"/>
  <c r="CS29" i="2"/>
  <c r="CR29" i="2"/>
  <c r="CV29" i="2" s="1"/>
  <c r="CQ29" i="2"/>
  <c r="CP29" i="2"/>
  <c r="CN29" i="2"/>
  <c r="CH29" i="2"/>
  <c r="CL29" i="2" s="1"/>
  <c r="CG29" i="2"/>
  <c r="CK29" i="2" s="1"/>
  <c r="CF29" i="2"/>
  <c r="BZ29" i="2"/>
  <c r="BU29" i="2"/>
  <c r="BO29" i="2"/>
  <c r="BL29" i="2"/>
  <c r="BH29" i="2"/>
  <c r="BG29" i="2"/>
  <c r="BF29" i="2"/>
  <c r="AW29" i="2"/>
  <c r="AT29" i="2"/>
  <c r="AR29" i="2"/>
  <c r="DU29" i="2" s="1"/>
  <c r="AQ29" i="2"/>
  <c r="AN29" i="2"/>
  <c r="AB29" i="2"/>
  <c r="AA29" i="2"/>
  <c r="V29" i="2"/>
  <c r="S29" i="2"/>
  <c r="T29" i="2" s="1"/>
  <c r="BT29" i="2" s="1"/>
  <c r="Q29" i="2"/>
  <c r="P29" i="2"/>
  <c r="M29" i="2"/>
  <c r="C29" i="2"/>
  <c r="DM28" i="2"/>
  <c r="DN28" i="2" s="1"/>
  <c r="CW28" i="2"/>
  <c r="CR28" i="2"/>
  <c r="CS28" i="2" s="1"/>
  <c r="CQ28" i="2"/>
  <c r="CP28" i="2"/>
  <c r="CH28" i="2" s="1"/>
  <c r="CN28" i="2"/>
  <c r="CG28" i="2"/>
  <c r="CL28" i="2" s="1"/>
  <c r="BZ28" i="2"/>
  <c r="BU28" i="2"/>
  <c r="BO28" i="2"/>
  <c r="BL28" i="2"/>
  <c r="BH28" i="2"/>
  <c r="BF28" i="2"/>
  <c r="AW28" i="2"/>
  <c r="AT28" i="2"/>
  <c r="AR28" i="2"/>
  <c r="AQ28" i="2"/>
  <c r="AA28" i="2" s="1"/>
  <c r="AN28" i="2"/>
  <c r="AB28" i="2"/>
  <c r="DU28" i="2" s="1"/>
  <c r="Z28" i="2"/>
  <c r="AE28" i="2" s="1"/>
  <c r="V28" i="2"/>
  <c r="T28" i="2"/>
  <c r="BT28" i="2" s="1"/>
  <c r="S28" i="2"/>
  <c r="Q28" i="2"/>
  <c r="P28" i="2"/>
  <c r="M28" i="2"/>
  <c r="K28" i="2" s="1"/>
  <c r="C28" i="2"/>
  <c r="DM27" i="2"/>
  <c r="DN27" i="2" s="1"/>
  <c r="CW27" i="2"/>
  <c r="CR27" i="2"/>
  <c r="CS27" i="2" s="1"/>
  <c r="CQ27" i="2"/>
  <c r="CP27" i="2"/>
  <c r="CH27" i="2" s="1"/>
  <c r="CN27" i="2"/>
  <c r="CG27" i="2"/>
  <c r="CL27" i="2" s="1"/>
  <c r="BZ27" i="2"/>
  <c r="BU27" i="2"/>
  <c r="BO27" i="2"/>
  <c r="BL27" i="2"/>
  <c r="BH27" i="2"/>
  <c r="BF27" i="2"/>
  <c r="AW27" i="2"/>
  <c r="AT27" i="2"/>
  <c r="AR27" i="2"/>
  <c r="AQ27" i="2"/>
  <c r="AA27" i="2" s="1"/>
  <c r="AN27" i="2"/>
  <c r="AB27" i="2"/>
  <c r="DU27" i="2" s="1"/>
  <c r="Z27" i="2"/>
  <c r="V27" i="2"/>
  <c r="T27" i="2"/>
  <c r="BT27" i="2" s="1"/>
  <c r="S27" i="2"/>
  <c r="Q27" i="2"/>
  <c r="P27" i="2"/>
  <c r="M27" i="2"/>
  <c r="C27" i="2"/>
  <c r="DN26" i="2"/>
  <c r="DM26" i="2"/>
  <c r="CW26" i="2"/>
  <c r="CS26" i="2"/>
  <c r="CR26" i="2"/>
  <c r="CV26" i="2" s="1"/>
  <c r="CQ26" i="2"/>
  <c r="CP26" i="2"/>
  <c r="CN26" i="2"/>
  <c r="CH26" i="2"/>
  <c r="CL26" i="2" s="1"/>
  <c r="CG26" i="2"/>
  <c r="CK26" i="2" s="1"/>
  <c r="CF26" i="2"/>
  <c r="BZ26" i="2"/>
  <c r="BU26" i="2"/>
  <c r="BO26" i="2"/>
  <c r="BL26" i="2"/>
  <c r="BH26" i="2"/>
  <c r="BG26" i="2"/>
  <c r="BF26" i="2"/>
  <c r="AW26" i="2"/>
  <c r="AT26" i="2"/>
  <c r="AR26" i="2"/>
  <c r="DU26" i="2" s="1"/>
  <c r="AQ26" i="2"/>
  <c r="AN26" i="2"/>
  <c r="AB26" i="2"/>
  <c r="AA26" i="2"/>
  <c r="V26" i="2"/>
  <c r="S26" i="2"/>
  <c r="T26" i="2" s="1"/>
  <c r="BT26" i="2" s="1"/>
  <c r="Q26" i="2"/>
  <c r="P26" i="2"/>
  <c r="M26" i="2"/>
  <c r="K26" i="2"/>
  <c r="C26" i="2"/>
  <c r="DN25" i="2"/>
  <c r="DM25" i="2"/>
  <c r="CW25" i="2"/>
  <c r="CS25" i="2"/>
  <c r="CR25" i="2"/>
  <c r="CV25" i="2" s="1"/>
  <c r="CQ25" i="2"/>
  <c r="CP25" i="2"/>
  <c r="CN25" i="2"/>
  <c r="CH25" i="2"/>
  <c r="CL25" i="2" s="1"/>
  <c r="CG25" i="2"/>
  <c r="CK25" i="2" s="1"/>
  <c r="CF25" i="2"/>
  <c r="BZ25" i="2"/>
  <c r="BU25" i="2"/>
  <c r="BO25" i="2"/>
  <c r="BL25" i="2"/>
  <c r="BH25" i="2"/>
  <c r="BG25" i="2"/>
  <c r="BF25" i="2"/>
  <c r="AW25" i="2"/>
  <c r="AT25" i="2"/>
  <c r="AR25" i="2"/>
  <c r="AQ25" i="2"/>
  <c r="AN25" i="2"/>
  <c r="AC25" i="2"/>
  <c r="AB25" i="2"/>
  <c r="AA25" i="2"/>
  <c r="AE25" i="2" s="1"/>
  <c r="Z25" i="2"/>
  <c r="AM25" i="2" s="1"/>
  <c r="BN25" i="2" s="1"/>
  <c r="Y25" i="2"/>
  <c r="W25" i="2"/>
  <c r="V25" i="2"/>
  <c r="S25" i="2"/>
  <c r="T25" i="2" s="1"/>
  <c r="BT25" i="2" s="1"/>
  <c r="Q25" i="2"/>
  <c r="P25" i="2"/>
  <c r="M25" i="2"/>
  <c r="C25" i="2"/>
  <c r="DM24" i="2"/>
  <c r="DN24" i="2" s="1"/>
  <c r="CW24" i="2"/>
  <c r="CR24" i="2"/>
  <c r="CV24" i="2" s="1"/>
  <c r="CQ24" i="2"/>
  <c r="CP24" i="2"/>
  <c r="CH24" i="2" s="1"/>
  <c r="CN24" i="2"/>
  <c r="CG24" i="2"/>
  <c r="CK24" i="2" s="1"/>
  <c r="BZ24" i="2"/>
  <c r="BU24" i="2"/>
  <c r="BO24" i="2"/>
  <c r="BL24" i="2"/>
  <c r="BH24" i="2"/>
  <c r="BF24" i="2"/>
  <c r="AW24" i="2"/>
  <c r="AT24" i="2"/>
  <c r="AR24" i="2"/>
  <c r="AQ24" i="2"/>
  <c r="AA24" i="2" s="1"/>
  <c r="AN24" i="2"/>
  <c r="AB24" i="2"/>
  <c r="DU24" i="2" s="1"/>
  <c r="Z24" i="2"/>
  <c r="AM24" i="2" s="1"/>
  <c r="V24" i="2"/>
  <c r="T24" i="2"/>
  <c r="BT24" i="2" s="1"/>
  <c r="S24" i="2"/>
  <c r="Q24" i="2"/>
  <c r="P24" i="2"/>
  <c r="M24" i="2"/>
  <c r="C24" i="2"/>
  <c r="DN23" i="2"/>
  <c r="DM23" i="2"/>
  <c r="CW23" i="2"/>
  <c r="CS23" i="2"/>
  <c r="CR23" i="2"/>
  <c r="CV23" i="2" s="1"/>
  <c r="CQ23" i="2"/>
  <c r="CP23" i="2"/>
  <c r="CN23" i="2"/>
  <c r="CH23" i="2"/>
  <c r="CL23" i="2" s="1"/>
  <c r="CG23" i="2"/>
  <c r="CK23" i="2" s="1"/>
  <c r="CF23" i="2"/>
  <c r="DV23" i="2" s="1"/>
  <c r="BZ23" i="2"/>
  <c r="BU23" i="2"/>
  <c r="BO23" i="2"/>
  <c r="BL23" i="2"/>
  <c r="BH23" i="2"/>
  <c r="BG23" i="2"/>
  <c r="BF23" i="2"/>
  <c r="AW23" i="2"/>
  <c r="AT23" i="2"/>
  <c r="AR23" i="2"/>
  <c r="DU23" i="2" s="1"/>
  <c r="AQ23" i="2"/>
  <c r="AN23" i="2"/>
  <c r="AB23" i="2"/>
  <c r="AA23" i="2"/>
  <c r="V23" i="2"/>
  <c r="S23" i="2"/>
  <c r="T23" i="2" s="1"/>
  <c r="BT23" i="2" s="1"/>
  <c r="Q23" i="2"/>
  <c r="P23" i="2"/>
  <c r="M23" i="2"/>
  <c r="C23" i="2"/>
  <c r="DM22" i="2"/>
  <c r="DN22" i="2" s="1"/>
  <c r="CW22" i="2"/>
  <c r="CR22" i="2"/>
  <c r="CV22" i="2" s="1"/>
  <c r="CQ22" i="2"/>
  <c r="CP22" i="2"/>
  <c r="CH22" i="2" s="1"/>
  <c r="CN22" i="2"/>
  <c r="CG22" i="2"/>
  <c r="CK22" i="2" s="1"/>
  <c r="BZ22" i="2"/>
  <c r="BU22" i="2"/>
  <c r="BO22" i="2"/>
  <c r="BL22" i="2"/>
  <c r="BH22" i="2"/>
  <c r="BF22" i="2"/>
  <c r="AW22" i="2"/>
  <c r="AT22" i="2"/>
  <c r="AR22" i="2"/>
  <c r="AQ22" i="2"/>
  <c r="AA22" i="2" s="1"/>
  <c r="AN22" i="2"/>
  <c r="AB22" i="2"/>
  <c r="DU22" i="2" s="1"/>
  <c r="Z22" i="2"/>
  <c r="AM22" i="2" s="1"/>
  <c r="V22" i="2"/>
  <c r="T22" i="2"/>
  <c r="BT22" i="2" s="1"/>
  <c r="S22" i="2"/>
  <c r="Q22" i="2"/>
  <c r="P22" i="2"/>
  <c r="M22" i="2"/>
  <c r="C22" i="2"/>
  <c r="DN21" i="2"/>
  <c r="DM21" i="2"/>
  <c r="CW21" i="2"/>
  <c r="CS21" i="2"/>
  <c r="CR21" i="2"/>
  <c r="CV21" i="2" s="1"/>
  <c r="CQ21" i="2"/>
  <c r="CP21" i="2"/>
  <c r="CN21" i="2"/>
  <c r="CH21" i="2"/>
  <c r="CL21" i="2" s="1"/>
  <c r="CG21" i="2"/>
  <c r="CK21" i="2" s="1"/>
  <c r="CF21" i="2"/>
  <c r="DV21" i="2" s="1"/>
  <c r="BZ21" i="2"/>
  <c r="BU21" i="2"/>
  <c r="BO21" i="2"/>
  <c r="BL21" i="2"/>
  <c r="BH21" i="2"/>
  <c r="BG21" i="2"/>
  <c r="BF21" i="2"/>
  <c r="AW21" i="2"/>
  <c r="AT21" i="2"/>
  <c r="AR21" i="2"/>
  <c r="DU21" i="2" s="1"/>
  <c r="AQ21" i="2"/>
  <c r="AN21" i="2"/>
  <c r="AB21" i="2"/>
  <c r="AA21" i="2"/>
  <c r="V21" i="2"/>
  <c r="S21" i="2"/>
  <c r="T21" i="2" s="1"/>
  <c r="BT21" i="2" s="1"/>
  <c r="Q21" i="2"/>
  <c r="P21" i="2"/>
  <c r="M21" i="2"/>
  <c r="K21" i="2"/>
  <c r="C21" i="2"/>
  <c r="DN20" i="2"/>
  <c r="DM20" i="2"/>
  <c r="CW20" i="2"/>
  <c r="CS20" i="2"/>
  <c r="CR20" i="2"/>
  <c r="CV20" i="2" s="1"/>
  <c r="CQ20" i="2"/>
  <c r="CP20" i="2"/>
  <c r="CN20" i="2"/>
  <c r="CH20" i="2"/>
  <c r="CL20" i="2" s="1"/>
  <c r="CG20" i="2"/>
  <c r="CK20" i="2" s="1"/>
  <c r="CF20" i="2"/>
  <c r="DV20" i="2" s="1"/>
  <c r="BZ20" i="2"/>
  <c r="BU20" i="2"/>
  <c r="BO20" i="2"/>
  <c r="BL20" i="2"/>
  <c r="BH20" i="2"/>
  <c r="BG20" i="2"/>
  <c r="BF20" i="2"/>
  <c r="AW20" i="2"/>
  <c r="AT20" i="2"/>
  <c r="AR20" i="2"/>
  <c r="DU20" i="2" s="1"/>
  <c r="AQ20" i="2"/>
  <c r="AN20" i="2"/>
  <c r="AB20" i="2"/>
  <c r="AA20" i="2"/>
  <c r="V20" i="2"/>
  <c r="S20" i="2"/>
  <c r="T20" i="2" s="1"/>
  <c r="BT20" i="2" s="1"/>
  <c r="Q20" i="2"/>
  <c r="P20" i="2"/>
  <c r="M20" i="2"/>
  <c r="K20" i="2"/>
  <c r="C20" i="2"/>
  <c r="DN18" i="2"/>
  <c r="DM18" i="2"/>
  <c r="CW18" i="2"/>
  <c r="CS18" i="2"/>
  <c r="CR18" i="2"/>
  <c r="CV18" i="2" s="1"/>
  <c r="CQ18" i="2"/>
  <c r="CP18" i="2"/>
  <c r="CN18" i="2"/>
  <c r="CH18" i="2"/>
  <c r="CL18" i="2" s="1"/>
  <c r="CG18" i="2"/>
  <c r="CK18" i="2" s="1"/>
  <c r="CF18" i="2"/>
  <c r="BZ18" i="2"/>
  <c r="BU18" i="2"/>
  <c r="BO18" i="2"/>
  <c r="BL18" i="2"/>
  <c r="BH18" i="2"/>
  <c r="BG18" i="2"/>
  <c r="BF18" i="2"/>
  <c r="AW18" i="2"/>
  <c r="AT18" i="2"/>
  <c r="AR18" i="2"/>
  <c r="AQ18" i="2"/>
  <c r="AN18" i="2"/>
  <c r="AB18" i="2"/>
  <c r="AA18" i="2"/>
  <c r="V18" i="2"/>
  <c r="S18" i="2"/>
  <c r="T18" i="2" s="1"/>
  <c r="BT18" i="2" s="1"/>
  <c r="Q18" i="2"/>
  <c r="P18" i="2"/>
  <c r="M18" i="2"/>
  <c r="C18" i="2"/>
  <c r="E12" i="2"/>
  <c r="E5" i="2"/>
  <c r="DM35" i="1"/>
  <c r="DN35" i="1" s="1"/>
  <c r="CW35" i="1"/>
  <c r="CR35" i="1"/>
  <c r="CS35" i="1" s="1"/>
  <c r="CQ35" i="1"/>
  <c r="CP35" i="1"/>
  <c r="CN35" i="1"/>
  <c r="CH35" i="1"/>
  <c r="CG35" i="1"/>
  <c r="CL35" i="1" s="1"/>
  <c r="CF35" i="1"/>
  <c r="DV35" i="1" s="1"/>
  <c r="BZ35" i="1"/>
  <c r="BU35" i="1"/>
  <c r="BO35" i="1"/>
  <c r="BL35" i="1"/>
  <c r="BH35" i="1"/>
  <c r="BG35" i="1"/>
  <c r="BF35" i="1"/>
  <c r="AW35" i="1"/>
  <c r="AT35" i="1"/>
  <c r="AR35" i="1"/>
  <c r="DU35" i="1" s="1"/>
  <c r="AQ35" i="1"/>
  <c r="AN35" i="1"/>
  <c r="AB35" i="1"/>
  <c r="AA35" i="1"/>
  <c r="Z35" i="1"/>
  <c r="AE35" i="1" s="1"/>
  <c r="Y35" i="1"/>
  <c r="V35" i="1"/>
  <c r="S35" i="1"/>
  <c r="T35" i="1" s="1"/>
  <c r="BT35" i="1" s="1"/>
  <c r="Q35" i="1"/>
  <c r="P35" i="1"/>
  <c r="M35" i="1"/>
  <c r="C35" i="1"/>
  <c r="DM34" i="1"/>
  <c r="DN34" i="1" s="1"/>
  <c r="CW34" i="1"/>
  <c r="CR34" i="1"/>
  <c r="CV34" i="1" s="1"/>
  <c r="CQ34" i="1"/>
  <c r="CP34" i="1"/>
  <c r="CH34" i="1" s="1"/>
  <c r="CN34" i="1"/>
  <c r="CG34" i="1"/>
  <c r="CK34" i="1" s="1"/>
  <c r="BZ34" i="1"/>
  <c r="BU34" i="1"/>
  <c r="BO34" i="1"/>
  <c r="BL34" i="1"/>
  <c r="BH34" i="1"/>
  <c r="BG34" i="1"/>
  <c r="BF34" i="1"/>
  <c r="AW34" i="1"/>
  <c r="AT34" i="1"/>
  <c r="AR34" i="1"/>
  <c r="DU34" i="1" s="1"/>
  <c r="AQ34" i="1"/>
  <c r="AN34" i="1"/>
  <c r="AB34" i="1"/>
  <c r="AA34" i="1"/>
  <c r="Z34" i="1"/>
  <c r="AM34" i="1" s="1"/>
  <c r="Y34" i="1"/>
  <c r="V34" i="1"/>
  <c r="S34" i="1"/>
  <c r="T34" i="1" s="1"/>
  <c r="BT34" i="1" s="1"/>
  <c r="Q34" i="1"/>
  <c r="P34" i="1"/>
  <c r="M34" i="1"/>
  <c r="K34" i="1"/>
  <c r="C34" i="1"/>
  <c r="DN33" i="1"/>
  <c r="DM33" i="1"/>
  <c r="CW33" i="1"/>
  <c r="CS33" i="1"/>
  <c r="CR33" i="1"/>
  <c r="CV33" i="1" s="1"/>
  <c r="CQ33" i="1"/>
  <c r="CP33" i="1"/>
  <c r="CN33" i="1"/>
  <c r="CH33" i="1"/>
  <c r="CL33" i="1" s="1"/>
  <c r="CG33" i="1"/>
  <c r="CK33" i="1" s="1"/>
  <c r="CF33" i="1"/>
  <c r="BZ33" i="1"/>
  <c r="BU33" i="1"/>
  <c r="BO33" i="1"/>
  <c r="BL33" i="1"/>
  <c r="BH33" i="1"/>
  <c r="BG33" i="1"/>
  <c r="BF33" i="1"/>
  <c r="AW33" i="1"/>
  <c r="AT33" i="1"/>
  <c r="AR33" i="1"/>
  <c r="DU33" i="1" s="1"/>
  <c r="AQ33" i="1"/>
  <c r="AN33" i="1"/>
  <c r="AB33" i="1"/>
  <c r="AA33" i="1"/>
  <c r="V33" i="1"/>
  <c r="S33" i="1"/>
  <c r="T33" i="1" s="1"/>
  <c r="BT33" i="1" s="1"/>
  <c r="Q33" i="1"/>
  <c r="P33" i="1"/>
  <c r="M33" i="1"/>
  <c r="C33" i="1"/>
  <c r="DM32" i="1"/>
  <c r="DN32" i="1" s="1"/>
  <c r="CW32" i="1"/>
  <c r="CR32" i="1"/>
  <c r="CS32" i="1" s="1"/>
  <c r="CQ32" i="1"/>
  <c r="CP32" i="1"/>
  <c r="CH32" i="1" s="1"/>
  <c r="CN32" i="1"/>
  <c r="CG32" i="1"/>
  <c r="CL32" i="1" s="1"/>
  <c r="BZ32" i="1"/>
  <c r="BU32" i="1"/>
  <c r="BO32" i="1"/>
  <c r="BL32" i="1"/>
  <c r="BH32" i="1"/>
  <c r="BG32" i="1"/>
  <c r="BF32" i="1"/>
  <c r="AW32" i="1"/>
  <c r="AT32" i="1"/>
  <c r="AR32" i="1"/>
  <c r="AQ32" i="1"/>
  <c r="AA32" i="1" s="1"/>
  <c r="AN32" i="1"/>
  <c r="AB32" i="1"/>
  <c r="DU32" i="1" s="1"/>
  <c r="Z32" i="1"/>
  <c r="V32" i="1"/>
  <c r="T32" i="1"/>
  <c r="BT32" i="1" s="1"/>
  <c r="S32" i="1"/>
  <c r="Q32" i="1"/>
  <c r="P32" i="1"/>
  <c r="M32" i="1"/>
  <c r="C32" i="1"/>
  <c r="DN31" i="1"/>
  <c r="DM31" i="1"/>
  <c r="CW31" i="1"/>
  <c r="CS31" i="1"/>
  <c r="CR31" i="1"/>
  <c r="CV31" i="1" s="1"/>
  <c r="CQ31" i="1"/>
  <c r="CP31" i="1"/>
  <c r="CN31" i="1"/>
  <c r="CH31" i="1"/>
  <c r="CL31" i="1" s="1"/>
  <c r="CG31" i="1"/>
  <c r="CK31" i="1" s="1"/>
  <c r="CF31" i="1"/>
  <c r="BZ31" i="1"/>
  <c r="BU31" i="1"/>
  <c r="BO31" i="1"/>
  <c r="BL31" i="1"/>
  <c r="BH31" i="1"/>
  <c r="BG31" i="1"/>
  <c r="BF31" i="1"/>
  <c r="AW31" i="1"/>
  <c r="AT31" i="1"/>
  <c r="AR31" i="1"/>
  <c r="DU31" i="1" s="1"/>
  <c r="AQ31" i="1"/>
  <c r="AN31" i="1"/>
  <c r="AB31" i="1"/>
  <c r="AA31" i="1"/>
  <c r="V31" i="1"/>
  <c r="S31" i="1"/>
  <c r="T31" i="1" s="1"/>
  <c r="BT31" i="1" s="1"/>
  <c r="Q31" i="1"/>
  <c r="P31" i="1"/>
  <c r="M31" i="1"/>
  <c r="C31" i="1"/>
  <c r="DM30" i="1"/>
  <c r="DN30" i="1" s="1"/>
  <c r="CW30" i="1"/>
  <c r="CR30" i="1"/>
  <c r="CS30" i="1" s="1"/>
  <c r="CQ30" i="1"/>
  <c r="CP30" i="1"/>
  <c r="CH30" i="1" s="1"/>
  <c r="CN30" i="1"/>
  <c r="CG30" i="1"/>
  <c r="CL30" i="1" s="1"/>
  <c r="BZ30" i="1"/>
  <c r="BU30" i="1"/>
  <c r="BO30" i="1"/>
  <c r="BL30" i="1"/>
  <c r="BH30" i="1"/>
  <c r="BF30" i="1"/>
  <c r="AW30" i="1"/>
  <c r="AT30" i="1"/>
  <c r="AR30" i="1"/>
  <c r="AQ30" i="1"/>
  <c r="AA30" i="1" s="1"/>
  <c r="AN30" i="1"/>
  <c r="AB30" i="1"/>
  <c r="DU30" i="1" s="1"/>
  <c r="Z30" i="1"/>
  <c r="V30" i="1"/>
  <c r="T30" i="1"/>
  <c r="BT30" i="1" s="1"/>
  <c r="S30" i="1"/>
  <c r="Q30" i="1"/>
  <c r="P30" i="1"/>
  <c r="M30" i="1"/>
  <c r="C30" i="1"/>
  <c r="DN29" i="1"/>
  <c r="DM29" i="1"/>
  <c r="CW29" i="1"/>
  <c r="CS29" i="1"/>
  <c r="CR29" i="1"/>
  <c r="CV29" i="1" s="1"/>
  <c r="CQ29" i="1"/>
  <c r="CP29" i="1"/>
  <c r="CN29" i="1"/>
  <c r="CH29" i="1"/>
  <c r="CL29" i="1" s="1"/>
  <c r="CG29" i="1"/>
  <c r="CK29" i="1" s="1"/>
  <c r="CF29" i="1"/>
  <c r="BZ29" i="1"/>
  <c r="BU29" i="1"/>
  <c r="BO29" i="1"/>
  <c r="BL29" i="1"/>
  <c r="BH29" i="1"/>
  <c r="BG29" i="1"/>
  <c r="BF29" i="1"/>
  <c r="AW29" i="1"/>
  <c r="AT29" i="1"/>
  <c r="AR29" i="1"/>
  <c r="AQ29" i="1"/>
  <c r="AN29" i="1"/>
  <c r="AB29" i="1"/>
  <c r="AA29" i="1"/>
  <c r="V29" i="1"/>
  <c r="S29" i="1"/>
  <c r="Q29" i="1"/>
  <c r="P29" i="1"/>
  <c r="M29" i="1"/>
  <c r="C29" i="1"/>
  <c r="DM28" i="1"/>
  <c r="DN28" i="1" s="1"/>
  <c r="CW28" i="1"/>
  <c r="CR28" i="1"/>
  <c r="CS28" i="1" s="1"/>
  <c r="CQ28" i="1"/>
  <c r="CP28" i="1"/>
  <c r="CH28" i="1" s="1"/>
  <c r="CN28" i="1"/>
  <c r="CG28" i="1"/>
  <c r="CL28" i="1" s="1"/>
  <c r="BZ28" i="1"/>
  <c r="BU28" i="1"/>
  <c r="BO28" i="1"/>
  <c r="BL28" i="1"/>
  <c r="BH28" i="1"/>
  <c r="BF28" i="1"/>
  <c r="AW28" i="1"/>
  <c r="AT28" i="1"/>
  <c r="AR28" i="1"/>
  <c r="DU28" i="1" s="1"/>
  <c r="AQ28" i="1"/>
  <c r="AA28" i="1" s="1"/>
  <c r="AN28" i="1"/>
  <c r="AB28" i="1"/>
  <c r="Z28" i="1"/>
  <c r="V28" i="1"/>
  <c r="S28" i="1"/>
  <c r="T28" i="1" s="1"/>
  <c r="BT28" i="1" s="1"/>
  <c r="Q28" i="1"/>
  <c r="P28" i="1"/>
  <c r="M28" i="1"/>
  <c r="C28" i="1"/>
  <c r="DM27" i="1"/>
  <c r="DN27" i="1" s="1"/>
  <c r="CW27" i="1"/>
  <c r="CR27" i="1"/>
  <c r="CV27" i="1" s="1"/>
  <c r="CQ27" i="1"/>
  <c r="CP27" i="1"/>
  <c r="CH27" i="1" s="1"/>
  <c r="CN27" i="1"/>
  <c r="CG27" i="1"/>
  <c r="CK27" i="1" s="1"/>
  <c r="BZ27" i="1"/>
  <c r="BU27" i="1"/>
  <c r="BO27" i="1"/>
  <c r="BL27" i="1"/>
  <c r="BH27" i="1"/>
  <c r="BF27" i="1"/>
  <c r="AW27" i="1"/>
  <c r="AT27" i="1"/>
  <c r="AR27" i="1"/>
  <c r="DU27" i="1" s="1"/>
  <c r="AQ27" i="1"/>
  <c r="AA27" i="1" s="1"/>
  <c r="AN27" i="1"/>
  <c r="AB27" i="1"/>
  <c r="Z27" i="1"/>
  <c r="AM27" i="1" s="1"/>
  <c r="V27" i="1"/>
  <c r="S27" i="1"/>
  <c r="T27" i="1" s="1"/>
  <c r="BT27" i="1" s="1"/>
  <c r="Q27" i="1"/>
  <c r="P27" i="1"/>
  <c r="M27" i="1"/>
  <c r="K27" i="1" s="1"/>
  <c r="C27" i="1"/>
  <c r="DM26" i="1"/>
  <c r="DN26" i="1" s="1"/>
  <c r="CW26" i="1"/>
  <c r="CR26" i="1"/>
  <c r="CV26" i="1" s="1"/>
  <c r="CQ26" i="1"/>
  <c r="CP26" i="1"/>
  <c r="CH26" i="1" s="1"/>
  <c r="CN26" i="1"/>
  <c r="CG26" i="1"/>
  <c r="CK26" i="1" s="1"/>
  <c r="BZ26" i="1"/>
  <c r="BU26" i="1"/>
  <c r="BO26" i="1"/>
  <c r="BL26" i="1"/>
  <c r="BH26" i="1"/>
  <c r="BF26" i="1"/>
  <c r="AW26" i="1"/>
  <c r="AT26" i="1"/>
  <c r="AR26" i="1"/>
  <c r="DU26" i="1" s="1"/>
  <c r="AQ26" i="1"/>
  <c r="AA26" i="1" s="1"/>
  <c r="AN26" i="1"/>
  <c r="AB26" i="1"/>
  <c r="Z26" i="1"/>
  <c r="AM26" i="1" s="1"/>
  <c r="V26" i="1"/>
  <c r="S26" i="1"/>
  <c r="T26" i="1" s="1"/>
  <c r="BT26" i="1" s="1"/>
  <c r="Q26" i="1"/>
  <c r="P26" i="1"/>
  <c r="M26" i="1"/>
  <c r="C26" i="1"/>
  <c r="DM25" i="1"/>
  <c r="DN25" i="1" s="1"/>
  <c r="CW25" i="1"/>
  <c r="CR25" i="1"/>
  <c r="CS25" i="1" s="1"/>
  <c r="CQ25" i="1"/>
  <c r="CP25" i="1"/>
  <c r="CH25" i="1" s="1"/>
  <c r="CN25" i="1"/>
  <c r="CG25" i="1"/>
  <c r="CL25" i="1" s="1"/>
  <c r="BZ25" i="1"/>
  <c r="BU25" i="1"/>
  <c r="BO25" i="1"/>
  <c r="BL25" i="1"/>
  <c r="BH25" i="1"/>
  <c r="BF25" i="1"/>
  <c r="AW25" i="1"/>
  <c r="AT25" i="1"/>
  <c r="AR25" i="1"/>
  <c r="DU25" i="1" s="1"/>
  <c r="AQ25" i="1"/>
  <c r="AA25" i="1" s="1"/>
  <c r="AN25" i="1"/>
  <c r="AB25" i="1"/>
  <c r="Z25" i="1"/>
  <c r="V25" i="1"/>
  <c r="S25" i="1"/>
  <c r="T25" i="1" s="1"/>
  <c r="BT25" i="1" s="1"/>
  <c r="Q25" i="1"/>
  <c r="P25" i="1"/>
  <c r="M25" i="1"/>
  <c r="C25" i="1"/>
  <c r="DM24" i="1"/>
  <c r="DN24" i="1" s="1"/>
  <c r="CW24" i="1"/>
  <c r="CR24" i="1"/>
  <c r="CV24" i="1" s="1"/>
  <c r="CQ24" i="1"/>
  <c r="CP24" i="1"/>
  <c r="CH24" i="1" s="1"/>
  <c r="CN24" i="1"/>
  <c r="CG24" i="1"/>
  <c r="CK24" i="1" s="1"/>
  <c r="BZ24" i="1"/>
  <c r="BU24" i="1"/>
  <c r="BO24" i="1"/>
  <c r="BL24" i="1"/>
  <c r="BH24" i="1"/>
  <c r="BF24" i="1"/>
  <c r="AW24" i="1"/>
  <c r="AT24" i="1"/>
  <c r="AR24" i="1"/>
  <c r="AQ24" i="1"/>
  <c r="AA24" i="1" s="1"/>
  <c r="AN24" i="1"/>
  <c r="AB24" i="1"/>
  <c r="DU24" i="1" s="1"/>
  <c r="Z24" i="1"/>
  <c r="AM24" i="1" s="1"/>
  <c r="V24" i="1"/>
  <c r="T24" i="1"/>
  <c r="BT24" i="1" s="1"/>
  <c r="S24" i="1"/>
  <c r="Q24" i="1"/>
  <c r="P24" i="1"/>
  <c r="M24" i="1"/>
  <c r="C24" i="1"/>
  <c r="DN22" i="1"/>
  <c r="DM22" i="1"/>
  <c r="CW22" i="1"/>
  <c r="CS22" i="1"/>
  <c r="CR22" i="1"/>
  <c r="CV22" i="1" s="1"/>
  <c r="CQ22" i="1"/>
  <c r="CP22" i="1"/>
  <c r="CN22" i="1"/>
  <c r="CH22" i="1"/>
  <c r="CL22" i="1" s="1"/>
  <c r="CG22" i="1"/>
  <c r="CK22" i="1" s="1"/>
  <c r="CF22" i="1"/>
  <c r="DV22" i="1" s="1"/>
  <c r="BZ22" i="1"/>
  <c r="BU22" i="1"/>
  <c r="BO22" i="1"/>
  <c r="BL22" i="1"/>
  <c r="BH22" i="1"/>
  <c r="BG22" i="1"/>
  <c r="BF22" i="1"/>
  <c r="AW22" i="1"/>
  <c r="AT22" i="1"/>
  <c r="AR22" i="1"/>
  <c r="DU22" i="1" s="1"/>
  <c r="AQ22" i="1"/>
  <c r="AN22" i="1"/>
  <c r="AB22" i="1"/>
  <c r="AA22" i="1"/>
  <c r="V22" i="1"/>
  <c r="S22" i="1"/>
  <c r="T22" i="1" s="1"/>
  <c r="BT22" i="1" s="1"/>
  <c r="Q22" i="1"/>
  <c r="P22" i="1"/>
  <c r="M22" i="1"/>
  <c r="C22" i="1"/>
  <c r="DN21" i="1"/>
  <c r="DM21" i="1"/>
  <c r="CW21" i="1"/>
  <c r="CS21" i="1"/>
  <c r="CR21" i="1"/>
  <c r="CV21" i="1" s="1"/>
  <c r="CQ21" i="1"/>
  <c r="CP21" i="1"/>
  <c r="CN21" i="1"/>
  <c r="CH21" i="1"/>
  <c r="CL21" i="1" s="1"/>
  <c r="CG21" i="1"/>
  <c r="CK21" i="1" s="1"/>
  <c r="CF21" i="1"/>
  <c r="DV21" i="1" s="1"/>
  <c r="BZ21" i="1"/>
  <c r="BU21" i="1"/>
  <c r="BO21" i="1"/>
  <c r="BL21" i="1"/>
  <c r="BH21" i="1"/>
  <c r="BG21" i="1"/>
  <c r="BF21" i="1"/>
  <c r="AW21" i="1"/>
  <c r="AT21" i="1"/>
  <c r="AR21" i="1"/>
  <c r="DU21" i="1" s="1"/>
  <c r="AQ21" i="1"/>
  <c r="AN21" i="1"/>
  <c r="AB21" i="1"/>
  <c r="AA21" i="1"/>
  <c r="V21" i="1"/>
  <c r="S21" i="1"/>
  <c r="T21" i="1" s="1"/>
  <c r="BT21" i="1" s="1"/>
  <c r="Q21" i="1"/>
  <c r="P21" i="1"/>
  <c r="M21" i="1"/>
  <c r="C21" i="1"/>
  <c r="DM19" i="1"/>
  <c r="DN19" i="1" s="1"/>
  <c r="CW19" i="1"/>
  <c r="CR19" i="1"/>
  <c r="CV19" i="1" s="1"/>
  <c r="CQ19" i="1"/>
  <c r="CP19" i="1"/>
  <c r="CH19" i="1" s="1"/>
  <c r="CN19" i="1"/>
  <c r="CG19" i="1"/>
  <c r="CK19" i="1" s="1"/>
  <c r="BZ19" i="1"/>
  <c r="BU19" i="1"/>
  <c r="BO19" i="1"/>
  <c r="BL19" i="1"/>
  <c r="BH19" i="1"/>
  <c r="BF19" i="1"/>
  <c r="AW19" i="1"/>
  <c r="AT19" i="1"/>
  <c r="AR19" i="1"/>
  <c r="DU19" i="1" s="1"/>
  <c r="AQ19" i="1"/>
  <c r="AA19" i="1" s="1"/>
  <c r="AN19" i="1"/>
  <c r="AB19" i="1"/>
  <c r="Z19" i="1"/>
  <c r="AM19" i="1" s="1"/>
  <c r="V19" i="1"/>
  <c r="S19" i="1"/>
  <c r="T19" i="1" s="1"/>
  <c r="BT19" i="1" s="1"/>
  <c r="Q19" i="1"/>
  <c r="P19" i="1"/>
  <c r="M19" i="1"/>
  <c r="C19" i="1"/>
  <c r="DU16" i="1"/>
  <c r="DM16" i="1"/>
  <c r="DN16" i="1" s="1"/>
  <c r="CW16" i="1"/>
  <c r="CR16" i="1"/>
  <c r="CS16" i="1" s="1"/>
  <c r="CQ16" i="1"/>
  <c r="CP16" i="1"/>
  <c r="CH16" i="1" s="1"/>
  <c r="CN16" i="1"/>
  <c r="CG16" i="1"/>
  <c r="CL16" i="1" s="1"/>
  <c r="BZ16" i="1"/>
  <c r="BU16" i="1"/>
  <c r="BT16" i="1"/>
  <c r="BO16" i="1"/>
  <c r="BL16" i="1"/>
  <c r="DU14" i="1"/>
  <c r="DN14" i="1"/>
  <c r="DM14" i="1"/>
  <c r="CW14" i="1"/>
  <c r="CS14" i="1"/>
  <c r="CR14" i="1"/>
  <c r="CV14" i="1" s="1"/>
  <c r="CQ14" i="1"/>
  <c r="CP14" i="1"/>
  <c r="CN14" i="1"/>
  <c r="CH14" i="1"/>
  <c r="CL14" i="1" s="1"/>
  <c r="CG14" i="1"/>
  <c r="CK14" i="1" s="1"/>
  <c r="CF14" i="1"/>
  <c r="BZ14" i="1"/>
  <c r="BU14" i="1"/>
  <c r="BT14" i="1"/>
  <c r="BO14" i="1"/>
  <c r="BL14" i="1"/>
  <c r="E13" i="1"/>
  <c r="E6" i="1"/>
  <c r="DU18" i="2" l="1"/>
  <c r="Z18" i="2"/>
  <c r="DV18" i="2"/>
  <c r="W22" i="2"/>
  <c r="BN22" i="2"/>
  <c r="W24" i="2"/>
  <c r="BN24" i="2"/>
  <c r="CI18" i="2"/>
  <c r="CJ18" i="2" s="1"/>
  <c r="Z20" i="2"/>
  <c r="CI20" i="2"/>
  <c r="CJ20" i="2" s="1"/>
  <c r="Z21" i="2"/>
  <c r="CI21" i="2"/>
  <c r="CJ21" i="2" s="1"/>
  <c r="Y22" i="2"/>
  <c r="AC22" i="2"/>
  <c r="AE22" i="2"/>
  <c r="CF22" i="2"/>
  <c r="CL22" i="2"/>
  <c r="CS22" i="2"/>
  <c r="Z23" i="2"/>
  <c r="CI23" i="2"/>
  <c r="CJ23" i="2" s="1"/>
  <c r="Y24" i="2"/>
  <c r="AC24" i="2"/>
  <c r="AE24" i="2"/>
  <c r="CF24" i="2"/>
  <c r="CL24" i="2"/>
  <c r="CS24" i="2"/>
  <c r="BM25" i="2"/>
  <c r="AD25" i="2"/>
  <c r="DU25" i="2"/>
  <c r="CM25" i="2"/>
  <c r="CE25" i="2" s="1"/>
  <c r="AE27" i="2"/>
  <c r="AD22" i="2"/>
  <c r="BM22" i="2"/>
  <c r="CI22" i="2"/>
  <c r="CJ22" i="2" s="1"/>
  <c r="AD24" i="2"/>
  <c r="BM24" i="2"/>
  <c r="CI24" i="2"/>
  <c r="CJ24" i="2" s="1"/>
  <c r="DV25" i="2"/>
  <c r="DV26" i="2"/>
  <c r="AD27" i="2"/>
  <c r="AM27" i="2"/>
  <c r="CI27" i="2"/>
  <c r="CJ27" i="2" s="1"/>
  <c r="CK27" i="2"/>
  <c r="CV27" i="2"/>
  <c r="AD28" i="2"/>
  <c r="AM28" i="2"/>
  <c r="CI28" i="2"/>
  <c r="CJ28" i="2" s="1"/>
  <c r="CK28" i="2"/>
  <c r="CV28" i="2"/>
  <c r="DV29" i="2"/>
  <c r="AD30" i="2"/>
  <c r="AM30" i="2"/>
  <c r="CI30" i="2"/>
  <c r="CJ30" i="2" s="1"/>
  <c r="CK30" i="2"/>
  <c r="CV30" i="2"/>
  <c r="AD31" i="2"/>
  <c r="AM31" i="2"/>
  <c r="CE31" i="2"/>
  <c r="CI31" i="2"/>
  <c r="CJ31" i="2" s="1"/>
  <c r="CK31" i="2"/>
  <c r="CM31" i="2"/>
  <c r="CV31" i="2"/>
  <c r="CI25" i="2"/>
  <c r="CJ25" i="2" s="1"/>
  <c r="Z26" i="2"/>
  <c r="CI26" i="2"/>
  <c r="CJ26" i="2" s="1"/>
  <c r="Y27" i="2"/>
  <c r="AC27" i="2"/>
  <c r="CF27" i="2"/>
  <c r="Y28" i="2"/>
  <c r="AC28" i="2"/>
  <c r="CF28" i="2"/>
  <c r="Z29" i="2"/>
  <c r="CI29" i="2"/>
  <c r="CJ29" i="2" s="1"/>
  <c r="Y30" i="2"/>
  <c r="AC30" i="2"/>
  <c r="CF30" i="2"/>
  <c r="AC31" i="2"/>
  <c r="W19" i="1"/>
  <c r="BN19" i="1"/>
  <c r="BM19" i="1" s="1"/>
  <c r="DV14" i="1"/>
  <c r="CI16" i="1"/>
  <c r="CJ16" i="1" s="1"/>
  <c r="CK16" i="1"/>
  <c r="CV16" i="1"/>
  <c r="Y19" i="1"/>
  <c r="AC19" i="1"/>
  <c r="AE19" i="1"/>
  <c r="CF19" i="1"/>
  <c r="CL19" i="1"/>
  <c r="CS19" i="1"/>
  <c r="Z21" i="1"/>
  <c r="CI21" i="1"/>
  <c r="CJ21" i="1" s="1"/>
  <c r="CI14" i="1"/>
  <c r="CJ14" i="1" s="1"/>
  <c r="CF16" i="1"/>
  <c r="AD19" i="1"/>
  <c r="CI19" i="1"/>
  <c r="CJ19" i="1" s="1"/>
  <c r="W24" i="1"/>
  <c r="BN24" i="1"/>
  <c r="AE25" i="1"/>
  <c r="W26" i="1"/>
  <c r="BN26" i="1"/>
  <c r="BM26" i="1" s="1"/>
  <c r="W27" i="1"/>
  <c r="BN27" i="1"/>
  <c r="BM27" i="1" s="1"/>
  <c r="AE28" i="1"/>
  <c r="Z22" i="1"/>
  <c r="CI22" i="1"/>
  <c r="CJ22" i="1" s="1"/>
  <c r="Y24" i="1"/>
  <c r="AC24" i="1"/>
  <c r="AE24" i="1"/>
  <c r="CF24" i="1"/>
  <c r="CL24" i="1"/>
  <c r="CS24" i="1"/>
  <c r="AD25" i="1"/>
  <c r="AM25" i="1"/>
  <c r="CI25" i="1"/>
  <c r="CJ25" i="1" s="1"/>
  <c r="CK25" i="1"/>
  <c r="CV25" i="1"/>
  <c r="Y26" i="1"/>
  <c r="AC26" i="1"/>
  <c r="AE26" i="1"/>
  <c r="CF26" i="1"/>
  <c r="CL26" i="1"/>
  <c r="CS26" i="1"/>
  <c r="Y27" i="1"/>
  <c r="AC27" i="1"/>
  <c r="AE27" i="1"/>
  <c r="CF27" i="1"/>
  <c r="CL27" i="1"/>
  <c r="CS27" i="1"/>
  <c r="AD28" i="1"/>
  <c r="AM28" i="1"/>
  <c r="CI28" i="1"/>
  <c r="CJ28" i="1" s="1"/>
  <c r="CK28" i="1"/>
  <c r="CV28" i="1"/>
  <c r="T29" i="1"/>
  <c r="BT29" i="1" s="1"/>
  <c r="AD24" i="1"/>
  <c r="BM24" i="1"/>
  <c r="CI24" i="1"/>
  <c r="CJ24" i="1" s="1"/>
  <c r="Y25" i="1"/>
  <c r="AC25" i="1"/>
  <c r="CF25" i="1"/>
  <c r="AD26" i="1"/>
  <c r="CI26" i="1"/>
  <c r="CJ26" i="1" s="1"/>
  <c r="AD27" i="1"/>
  <c r="CI27" i="1"/>
  <c r="CJ27" i="1" s="1"/>
  <c r="Y28" i="1"/>
  <c r="AC28" i="1"/>
  <c r="CF28" i="1"/>
  <c r="DU29" i="1"/>
  <c r="Z29" i="1"/>
  <c r="AE30" i="1"/>
  <c r="AE32" i="1"/>
  <c r="W34" i="1"/>
  <c r="BN34" i="1"/>
  <c r="BM34" i="1" s="1"/>
  <c r="DV29" i="1"/>
  <c r="AD30" i="1"/>
  <c r="AM30" i="1"/>
  <c r="CI30" i="1"/>
  <c r="CJ30" i="1" s="1"/>
  <c r="CK30" i="1"/>
  <c r="CV30" i="1"/>
  <c r="DV31" i="1"/>
  <c r="AD32" i="1"/>
  <c r="AM32" i="1"/>
  <c r="CI32" i="1"/>
  <c r="CJ32" i="1" s="1"/>
  <c r="CK32" i="1"/>
  <c r="CV32" i="1"/>
  <c r="DV33" i="1"/>
  <c r="AC34" i="1"/>
  <c r="AE34" i="1"/>
  <c r="CF34" i="1"/>
  <c r="CL34" i="1"/>
  <c r="CS34" i="1"/>
  <c r="AD35" i="1"/>
  <c r="AM35" i="1"/>
  <c r="CE35" i="1"/>
  <c r="CI35" i="1"/>
  <c r="CJ35" i="1" s="1"/>
  <c r="CK35" i="1"/>
  <c r="CM35" i="1"/>
  <c r="CV35" i="1"/>
  <c r="CI29" i="1"/>
  <c r="CJ29" i="1" s="1"/>
  <c r="Y30" i="1"/>
  <c r="AC30" i="1"/>
  <c r="CF30" i="1"/>
  <c r="Z31" i="1"/>
  <c r="CI31" i="1"/>
  <c r="CJ31" i="1" s="1"/>
  <c r="Y32" i="1"/>
  <c r="AC32" i="1"/>
  <c r="CF32" i="1"/>
  <c r="Z33" i="1"/>
  <c r="CI33" i="1"/>
  <c r="CJ33" i="1" s="1"/>
  <c r="AD34" i="1"/>
  <c r="CI34" i="1"/>
  <c r="CJ34" i="1" s="1"/>
  <c r="AC35" i="1"/>
  <c r="DV30" i="2" l="1"/>
  <c r="BG30" i="2"/>
  <c r="CM30" i="2"/>
  <c r="CE30" i="2"/>
  <c r="DV28" i="2"/>
  <c r="BG28" i="2"/>
  <c r="CM28" i="2"/>
  <c r="CE28" i="2"/>
  <c r="AM26" i="2"/>
  <c r="AD26" i="2"/>
  <c r="AE26" i="2"/>
  <c r="AC26" i="2"/>
  <c r="Y26" i="2"/>
  <c r="BN31" i="2"/>
  <c r="BM31" i="2" s="1"/>
  <c r="W31" i="2"/>
  <c r="BN28" i="2"/>
  <c r="BM28" i="2" s="1"/>
  <c r="W28" i="2"/>
  <c r="BN27" i="2"/>
  <c r="BM27" i="2" s="1"/>
  <c r="W27" i="2"/>
  <c r="AE23" i="2"/>
  <c r="AC23" i="2"/>
  <c r="Y23" i="2"/>
  <c r="AM23" i="2"/>
  <c r="AD23" i="2"/>
  <c r="AE21" i="2"/>
  <c r="AC21" i="2"/>
  <c r="Y21" i="2"/>
  <c r="AM21" i="2"/>
  <c r="AD21" i="2"/>
  <c r="AE20" i="2"/>
  <c r="AC20" i="2"/>
  <c r="Y20" i="2"/>
  <c r="AM20" i="2"/>
  <c r="AD20" i="2"/>
  <c r="AM18" i="2"/>
  <c r="AD18" i="2"/>
  <c r="AE18" i="2"/>
  <c r="Y18" i="2"/>
  <c r="AC18" i="2"/>
  <c r="AM29" i="2"/>
  <c r="AD29" i="2"/>
  <c r="AE29" i="2"/>
  <c r="AC29" i="2"/>
  <c r="Y29" i="2"/>
  <c r="DV27" i="2"/>
  <c r="BG27" i="2"/>
  <c r="CM27" i="2"/>
  <c r="CE27" i="2" s="1"/>
  <c r="BN30" i="2"/>
  <c r="BM30" i="2" s="1"/>
  <c r="W30" i="2"/>
  <c r="CM24" i="2"/>
  <c r="DV24" i="2"/>
  <c r="BG24" i="2"/>
  <c r="CE24" i="2" s="1"/>
  <c r="CM22" i="2"/>
  <c r="DV22" i="2"/>
  <c r="BG22" i="2"/>
  <c r="CE22" i="2" s="1"/>
  <c r="DV32" i="1"/>
  <c r="CM32" i="1"/>
  <c r="CE32" i="1"/>
  <c r="DV30" i="1"/>
  <c r="BG30" i="1"/>
  <c r="CM30" i="1"/>
  <c r="CE30" i="1" s="1"/>
  <c r="BN35" i="1"/>
  <c r="BM35" i="1" s="1"/>
  <c r="W35" i="1"/>
  <c r="CM34" i="1"/>
  <c r="CE34" i="1" s="1"/>
  <c r="DV34" i="1"/>
  <c r="BN32" i="1"/>
  <c r="BM32" i="1" s="1"/>
  <c r="W32" i="1"/>
  <c r="DV28" i="1"/>
  <c r="BG28" i="1"/>
  <c r="CM28" i="1"/>
  <c r="CE28" i="1"/>
  <c r="BN28" i="1"/>
  <c r="BM28" i="1" s="1"/>
  <c r="W28" i="1"/>
  <c r="CM27" i="1"/>
  <c r="DV27" i="1"/>
  <c r="BG27" i="1"/>
  <c r="CE27" i="1" s="1"/>
  <c r="CM26" i="1"/>
  <c r="DV26" i="1"/>
  <c r="BG26" i="1"/>
  <c r="CE26" i="1" s="1"/>
  <c r="AE22" i="1"/>
  <c r="AC22" i="1"/>
  <c r="Y22" i="1"/>
  <c r="AM22" i="1"/>
  <c r="AD22" i="1"/>
  <c r="DV16" i="1"/>
  <c r="CM19" i="1"/>
  <c r="CE19" i="1" s="1"/>
  <c r="DV19" i="1"/>
  <c r="BG19" i="1"/>
  <c r="AM33" i="1"/>
  <c r="AD33" i="1"/>
  <c r="AE33" i="1"/>
  <c r="AC33" i="1"/>
  <c r="Y33" i="1"/>
  <c r="AM31" i="1"/>
  <c r="AD31" i="1"/>
  <c r="AE31" i="1"/>
  <c r="AC31" i="1"/>
  <c r="Y31" i="1"/>
  <c r="BN30" i="1"/>
  <c r="BM30" i="1" s="1"/>
  <c r="W30" i="1"/>
  <c r="AM29" i="1"/>
  <c r="AD29" i="1"/>
  <c r="AC29" i="1"/>
  <c r="AE29" i="1"/>
  <c r="Y29" i="1"/>
  <c r="DV25" i="1"/>
  <c r="BG25" i="1"/>
  <c r="CM25" i="1"/>
  <c r="CE25" i="1" s="1"/>
  <c r="BN25" i="1"/>
  <c r="BM25" i="1" s="1"/>
  <c r="W25" i="1"/>
  <c r="CM24" i="1"/>
  <c r="DV24" i="1"/>
  <c r="BG24" i="1"/>
  <c r="CE24" i="1" s="1"/>
  <c r="AE21" i="1"/>
  <c r="AC21" i="1"/>
  <c r="Y21" i="1"/>
  <c r="AM21" i="1"/>
  <c r="AD21" i="1"/>
  <c r="BN29" i="2" l="1"/>
  <c r="BM29" i="2" s="1"/>
  <c r="W29" i="2"/>
  <c r="CM29" i="2"/>
  <c r="CE29" i="2" s="1"/>
  <c r="BN21" i="2"/>
  <c r="BM21" i="2" s="1"/>
  <c r="W21" i="2"/>
  <c r="CM21" i="2"/>
  <c r="CE21" i="2" s="1"/>
  <c r="BN26" i="2"/>
  <c r="BM26" i="2" s="1"/>
  <c r="CM26" i="2"/>
  <c r="CE26" i="2" s="1"/>
  <c r="W26" i="2"/>
  <c r="BN18" i="2"/>
  <c r="BM18" i="2" s="1"/>
  <c r="W18" i="2"/>
  <c r="CM18" i="2"/>
  <c r="CE18" i="2" s="1"/>
  <c r="BN20" i="2"/>
  <c r="BM20" i="2" s="1"/>
  <c r="CM20" i="2"/>
  <c r="CE20" i="2" s="1"/>
  <c r="W20" i="2"/>
  <c r="BN23" i="2"/>
  <c r="BM23" i="2" s="1"/>
  <c r="CM23" i="2"/>
  <c r="CE23" i="2" s="1"/>
  <c r="W23" i="2"/>
  <c r="BN29" i="1"/>
  <c r="BM29" i="1" s="1"/>
  <c r="BN14" i="1"/>
  <c r="BM14" i="1" s="1"/>
  <c r="CM14" i="1"/>
  <c r="CE14" i="1" s="1"/>
  <c r="W29" i="1"/>
  <c r="CM29" i="1"/>
  <c r="CE29" i="1" s="1"/>
  <c r="BN33" i="1"/>
  <c r="BM33" i="1" s="1"/>
  <c r="W33" i="1"/>
  <c r="CM33" i="1"/>
  <c r="CE33" i="1" s="1"/>
  <c r="BN22" i="1"/>
  <c r="BM22" i="1" s="1"/>
  <c r="W22" i="1"/>
  <c r="CM22" i="1"/>
  <c r="CE22" i="1" s="1"/>
  <c r="BN21" i="1"/>
  <c r="BM21" i="1" s="1"/>
  <c r="W21" i="1"/>
  <c r="CM21" i="1"/>
  <c r="CE21" i="1" s="1"/>
  <c r="BN31" i="1"/>
  <c r="BM31" i="1" s="1"/>
  <c r="BN16" i="1"/>
  <c r="BM16" i="1" s="1"/>
  <c r="CM31" i="1"/>
  <c r="CE31" i="1" s="1"/>
  <c r="W31" i="1"/>
  <c r="CM16" i="1"/>
  <c r="CE16" i="1" s="1"/>
</calcChain>
</file>

<file path=xl/sharedStrings.xml><?xml version="1.0" encoding="utf-8"?>
<sst xmlns="http://schemas.openxmlformats.org/spreadsheetml/2006/main" count="919" uniqueCount="218">
  <si>
    <t xml:space="preserve"> HỌC VIỆN HÀNH CHÍNH QUỐC GIA</t>
  </si>
  <si>
    <t>CỘNG HÒA XÃ HỘI CHỦ NGHĨA VIỆT NAM</t>
  </si>
  <si>
    <t>BAN TỔ CHỨC - CÁN BỘ</t>
  </si>
  <si>
    <t>Độc lập - Tự do - Hạnh phúc</t>
  </si>
  <si>
    <t>Hà Nội, ngày 02 tháng 3 năm 2015</t>
  </si>
  <si>
    <t>Tổng số:</t>
  </si>
  <si>
    <t>trường hợp</t>
  </si>
  <si>
    <t>và trên Website Học viện Hành chính Quốc gia kèm theo 02 văn bản mới dưới đây (liên quan đến một số thay đổi đối với một số ngạch):</t>
  </si>
  <si>
    <t xml:space="preserve">          + Thông tư số 11/2014/TT-BNV ngày 09/10/2014 của Bộ Nội vụ quy định chức danh, mã số ngạch và tiêu chuẩn nghiệp vụ chuyên môn các ngạch công chức chuyên ngành hành chính (có hiệu lực thi hành kể từ ngày 01/12/2014); 
          + Thông tư liên tịch số 36/2014/TTLT-BGDĐT-BNV ngày 28/11/2014 của Bộ Giáo dục và Đào tạo và Bộ Nội vụ quy định mã số và tiêu chuẩn chức danh nghề nghiệp viên chức giảng dạy trong các cơ sở giáo dục đại học công lập (có hiệu lực thi hành kể từ ngày 01/02/2015).
         (Tuy nhiên, các văn bản trên không đề cập đến thay đổi về thang, bảng lương đối với các ngạch và chức danh nghề nghiệp mới). </t>
  </si>
  <si>
    <t xml:space="preserve">        - Thực hiện chỉ đạo của lãnh đạo Học viện, Ban TC- CB lập và thông báo công khai Danh sách này bao gồm tất cả các trường hợp đủ điều kiện, tiêu chuẩn nâng lương trong tháng 02/2015. Tuy nhiên, Học viện tạm dừng thực hiện nâng bậc lương thường xuyên đối với các trường hợp thuộc đối tượng đủ điều kiện xét nâng bậc lương trước thời hạn năm 2014 do lập thành tích xuất sắc trong thực hiện nhiệm vụ (chi tiết tại Phần II Danh sách này). </t>
  </si>
  <si>
    <t xml:space="preserve">           </t>
  </si>
  <si>
    <t>(người tiếp nhận: Đỗ Văn Huyên, ĐT: 0438 359 295/ 0976 652 966).</t>
  </si>
  <si>
    <t>Tổng số CC, VC và NLĐ:</t>
  </si>
  <si>
    <t>công chức, viên chức</t>
  </si>
  <si>
    <t>01</t>
  </si>
  <si>
    <t>/</t>
  </si>
  <si>
    <t>7</t>
  </si>
  <si>
    <t>SỐ
TT</t>
  </si>
  <si>
    <t>HỌ TÊN</t>
  </si>
  <si>
    <t>GIỚI TÍNH</t>
  </si>
  <si>
    <t>ĐƠN VỊ</t>
  </si>
  <si>
    <t>NGẠCH/
CHỨC DANH NGHỀ NGHIỆP
VÀ MÃ SỐ</t>
  </si>
  <si>
    <t>NGẠCH</t>
  </si>
  <si>
    <t>MÃ SỐ NGẠCH</t>
  </si>
  <si>
    <t>ĐỦ ĐIỀU KIỆN, TIÊU CHUẨN NÂNG LƯƠNG</t>
  </si>
  <si>
    <t>GHI CHÚ</t>
  </si>
  <si>
    <t>Ghi 
chú</t>
  </si>
  <si>
    <t>GHI 
CHÚ</t>
  </si>
  <si>
    <t>Từ 
bậc</t>
  </si>
  <si>
    <t xml:space="preserve">Hệ số </t>
  </si>
  <si>
    <t>Lên 
bậc</t>
  </si>
  <si>
    <t>Hệ 
số</t>
  </si>
  <si>
    <t>Kể 
từ ngày</t>
  </si>
  <si>
    <t>lao động hợp đồng</t>
  </si>
  <si>
    <t>Bộ môn Khoa học hành chính,</t>
  </si>
  <si>
    <t>8</t>
  </si>
  <si>
    <t>2011</t>
  </si>
  <si>
    <t>I</t>
  </si>
  <si>
    <t>TRƯỜNG HỢP THỰC HIỆN NÂNG LƯƠNG TRONG THÁNG 03/2015</t>
  </si>
  <si>
    <t>Vũ Thị Hương Thảo</t>
  </si>
  <si>
    <t>Nữ</t>
  </si>
  <si>
    <t>22</t>
  </si>
  <si>
    <t>Khoa Văn bản và Công nghệ hành chính</t>
  </si>
  <si>
    <t>Chức danh nghề nghiệp</t>
  </si>
  <si>
    <t>Giảng viên (hạng III)</t>
  </si>
  <si>
    <t>V.07.01.03</t>
  </si>
  <si>
    <t>02</t>
  </si>
  <si>
    <t>%</t>
  </si>
  <si>
    <t xml:space="preserve">Bộ môn Văn bản hành chính, </t>
  </si>
  <si>
    <t>II</t>
  </si>
  <si>
    <t>CÁC TRƯỜNG HỢP TẠM DỪNG THỰC HIỆN NÂNG BẬC LƯƠNG THƯỜNG XUYÊN (ĐẾN SAU KHI XÉT NÂNG BẬC LƯƠNG TRƯỚC THỜI HẠN NĂM 2014)</t>
  </si>
  <si>
    <t>Trần Mạnh Hùng</t>
  </si>
  <si>
    <t>Nam</t>
  </si>
  <si>
    <t>11</t>
  </si>
  <si>
    <t>Ban Đào tạo</t>
  </si>
  <si>
    <t>Ngạch</t>
  </si>
  <si>
    <t>Chuyên viên</t>
  </si>
  <si>
    <t>Nâng 10/2014</t>
  </si>
  <si>
    <t>Phòng Đào tạo tại chức,</t>
  </si>
  <si>
    <t>2009</t>
  </si>
  <si>
    <t>Đoàn Thị Mỹ Hạnh</t>
  </si>
  <si>
    <t>25</t>
  </si>
  <si>
    <t>1977</t>
  </si>
  <si>
    <t>Bộ môn Ngoại ngữ</t>
  </si>
  <si>
    <t>ko lương 03/6/2014-15/7/2014</t>
  </si>
  <si>
    <t>2012</t>
  </si>
  <si>
    <t>(Hiện hưởng bậc: 4/9, hệ số: 3,33 từ tháng 01/2012. Nghỉ không hưởng lương từ 03/6/2014 đến 15/7/2014: Theo quy định, tháng 6/2014 không được tính vào thời gian xét nâng bậc lương lần sau; tháng 7/2014 vẫn được tính vào thời gian xét nâng lương lần sau vì có 12 ngày làm việc từ 16/7 đến 31/7).</t>
  </si>
  <si>
    <t>Lê Thị Kim Thịnh</t>
  </si>
  <si>
    <t>19</t>
  </si>
  <si>
    <t>12</t>
  </si>
  <si>
    <t>Khoa Đào tạo, Bồi dưỡng công chức và Tại chức</t>
  </si>
  <si>
    <t>người lao động</t>
  </si>
  <si>
    <t>Phòng Bồi dưỡng cán bộ, công chức, viên chức,</t>
  </si>
  <si>
    <t>Nguyễn Mạnh Chủ</t>
  </si>
  <si>
    <t>17</t>
  </si>
  <si>
    <t>Khoa Hành chính học</t>
  </si>
  <si>
    <t>CN</t>
  </si>
  <si>
    <t>Bộ môn Tâm lý học,</t>
  </si>
  <si>
    <t>Hoàng Thị Quỳnh Mai</t>
  </si>
  <si>
    <t>21</t>
  </si>
  <si>
    <t>Khoa Nhà nước và Pháp luật</t>
  </si>
  <si>
    <t>Bộ môn Thể chế nhà nước,</t>
  </si>
  <si>
    <t>15</t>
  </si>
  <si>
    <t>Nguyễn Thị La</t>
  </si>
  <si>
    <t>27</t>
  </si>
  <si>
    <t>Trưởng bộ môn</t>
  </si>
  <si>
    <t>Giảng viên chính (hạng II)</t>
  </si>
  <si>
    <t>V.07.01.02</t>
  </si>
  <si>
    <t>Bộ môn Kỹ thuật hành chính,</t>
  </si>
  <si>
    <t>Nguyễn Trọng Biên</t>
  </si>
  <si>
    <t>1957</t>
  </si>
  <si>
    <t>10</t>
  </si>
  <si>
    <t>Bộ môn Văn bản hành chính,</t>
  </si>
  <si>
    <t>Nguyễn Việt Hà</t>
  </si>
  <si>
    <t>6</t>
  </si>
  <si>
    <t>Phòng Khảo thí và Kiểm định chất lượng giáo dục</t>
  </si>
  <si>
    <t>2</t>
  </si>
  <si>
    <t>Dương Thị Hồng Ngọc</t>
  </si>
  <si>
    <t>Văn phòng Học viện</t>
  </si>
  <si>
    <t>Kế toán viên</t>
  </si>
  <si>
    <t>Phòng Tài vụ - Kế toán,</t>
  </si>
  <si>
    <t>Nguyễn Thị Hồng Nhung</t>
  </si>
  <si>
    <t>08</t>
  </si>
  <si>
    <t>1982</t>
  </si>
  <si>
    <t>Viện Nghiên cứu Khoa học hành chính</t>
  </si>
  <si>
    <t>Ko Lg:8 + 9/13</t>
  </si>
  <si>
    <t>Phòng Quản lý khoa học và Đào tạo,</t>
  </si>
  <si>
    <t>Vũ Tất Đạt</t>
  </si>
  <si>
    <t>Bộ môn Mác - Lê nin và Tư tưởng Hồ Chí Minh,</t>
  </si>
  <si>
    <t>Cơ sở Học viện Hành chính Quốc gia tại Thành phố Hồ Chí Minh</t>
  </si>
  <si>
    <t xml:space="preserve">Nguyễn Anh Vũ </t>
  </si>
  <si>
    <t>26</t>
  </si>
  <si>
    <t>4</t>
  </si>
  <si>
    <t>Bộ môn Nhà nước và Pháp luật,</t>
  </si>
  <si>
    <t>Phan Ánh Hè</t>
  </si>
  <si>
    <t>Phó Trưởng bộ môn</t>
  </si>
  <si>
    <t>Bộ môn Quản lý nhà nước về Kinh tế,</t>
  </si>
  <si>
    <t>Nguyễn Hồng Phương</t>
  </si>
  <si>
    <t>1985</t>
  </si>
  <si>
    <t>Phòng Quản trị,</t>
  </si>
  <si>
    <t>Nhân viên kỹ thuật</t>
  </si>
  <si>
    <t>Xếp lại 10/2013</t>
  </si>
  <si>
    <t>Văn phòng,</t>
  </si>
  <si>
    <t xml:space="preserve">Nơi nhận: </t>
  </si>
  <si>
    <t>KT. TRƯỞNG BAN</t>
  </si>
  <si>
    <t>- Các cơ sở, phân viện thuộc Học viện;</t>
  </si>
  <si>
    <t xml:space="preserve">PHÓ TRƯỞNG BAN </t>
  </si>
  <si>
    <t>- GĐ, các PGĐ Học viện (để b/c);</t>
  </si>
  <si>
    <t>- Trung tâm THHC&amp;CNTT (để đăng Website Học viện);</t>
  </si>
  <si>
    <t>(Đã ký)</t>
  </si>
  <si>
    <t>- Lưu: TC-CB.</t>
  </si>
  <si>
    <t>Nguyễn Thị Thu Vân</t>
  </si>
  <si>
    <r>
      <t>DANH SÁCH CÔNG CHỨC, VIÊN CHỨC VÀ NGƯỜI LAO ĐỘNG THUỘC HỌC VIỆN HÀNH CHÍNH QUỐC GIA 
ĐỦ ĐIỀU KIỆN, TIÊU CHUẨN NÂNG LƯƠNG TRONG THÁNG</t>
    </r>
    <r>
      <rPr>
        <b/>
        <sz val="12"/>
        <color indexed="12"/>
        <rFont val="Arial Narrow"/>
        <family val="2"/>
      </rPr>
      <t xml:space="preserve"> 02</t>
    </r>
    <r>
      <rPr>
        <b/>
        <sz val="12"/>
        <rFont val="Arial Narrow"/>
        <family val="2"/>
      </rPr>
      <t xml:space="preserve"> NĂM </t>
    </r>
    <r>
      <rPr>
        <b/>
        <sz val="12"/>
        <color indexed="12"/>
        <rFont val="Arial Narrow"/>
        <family val="2"/>
      </rPr>
      <t>2015</t>
    </r>
  </si>
  <si>
    <r>
      <t xml:space="preserve"> </t>
    </r>
    <r>
      <rPr>
        <b/>
        <sz val="11"/>
        <rFont val="Arial Narrow"/>
        <family val="2"/>
      </rPr>
      <t xml:space="preserve">* </t>
    </r>
    <r>
      <rPr>
        <b/>
        <u/>
        <sz val="11"/>
        <rFont val="Arial Narrow"/>
        <family val="2"/>
      </rPr>
      <t>Lưu ý:</t>
    </r>
    <r>
      <rPr>
        <b/>
        <sz val="11"/>
        <rFont val="Arial Narrow"/>
        <family val="2"/>
      </rPr>
      <t xml:space="preserve">   </t>
    </r>
    <r>
      <rPr>
        <sz val="11"/>
        <rFont val="Arial Narrow"/>
        <family val="2"/>
      </rPr>
      <t xml:space="preserve">- Danh sách này thay cho thông báo, được công khai trên bảng tin nhà A tại trụ sở Học viện ở Hà Nội, bảng tin tại các cơ sở, phân viện thuộc Học viện </t>
    </r>
  </si>
  <si>
    <r>
      <t xml:space="preserve">          - Các ý kiến thắc mắc liên quan (nếu có), đề nghị phản hồi tới Ban Tổ chức - Cán bộ trước ngày</t>
    </r>
    <r>
      <rPr>
        <b/>
        <sz val="11"/>
        <rFont val="Arial Narrow"/>
        <family val="2"/>
      </rPr>
      <t xml:space="preserve"> </t>
    </r>
    <r>
      <rPr>
        <b/>
        <sz val="11"/>
        <color indexed="12"/>
        <rFont val="Arial Narrow"/>
        <family val="2"/>
      </rPr>
      <t xml:space="preserve"> 10/3/2015</t>
    </r>
  </si>
  <si>
    <t xml:space="preserve"> </t>
  </si>
  <si>
    <r>
      <t xml:space="preserve">DANH SÁCH NHÀ GIÁO THUỘC HỌC VIỆN HÀNH CHÍNH QUỐC GIA ĐỦ ĐIỀU KIỆN NÂNG PHỤ CẤP THÂM NIÊN TRONG THÁNG </t>
    </r>
    <r>
      <rPr>
        <b/>
        <sz val="12"/>
        <color indexed="12"/>
        <rFont val="Arial Narrow"/>
        <family val="2"/>
      </rPr>
      <t>02 NĂM 2015</t>
    </r>
  </si>
  <si>
    <t xml:space="preserve">Tổng số: </t>
  </si>
  <si>
    <t>nhà giáo</t>
  </si>
  <si>
    <t>Tháng</t>
  </si>
  <si>
    <r>
      <t xml:space="preserve">* </t>
    </r>
    <r>
      <rPr>
        <b/>
        <u/>
        <sz val="11"/>
        <rFont val="Arial Narrow"/>
        <family val="2"/>
      </rPr>
      <t>Lưu ý:</t>
    </r>
    <r>
      <rPr>
        <sz val="11"/>
        <rFont val="Arial Narrow"/>
        <family val="2"/>
      </rPr>
      <t xml:space="preserve"> - Danh sách này thay cho thông báo, được công khai trên bảng tin nhà A tại trụ sở Học viện ở Hà Nội, bảng tin tại các  cơ sở, </t>
    </r>
  </si>
  <si>
    <t xml:space="preserve">                 phân viện thuộc Học viện và trên Website Học viện Hành chính Quốc gia;</t>
  </si>
  <si>
    <r>
      <t xml:space="preserve">                - Các ý kiến thắc mắc liên quan (nếu có), đề nghị phản hồi tới Ban Tổ chức - Cán bộ trước ngày</t>
    </r>
    <r>
      <rPr>
        <b/>
        <sz val="11"/>
        <rFont val="Arial Narrow"/>
        <family val="2"/>
      </rPr>
      <t xml:space="preserve"> 10/3</t>
    </r>
    <r>
      <rPr>
        <b/>
        <sz val="11"/>
        <color indexed="12"/>
        <rFont val="Arial Narrow"/>
        <family val="2"/>
      </rPr>
      <t>/2015</t>
    </r>
  </si>
  <si>
    <t xml:space="preserve">                  (người tiếp nhận: Đỗ Văn Huyên, ĐT: 0438 359 295/ 0976 652 966).</t>
  </si>
  <si>
    <t xml:space="preserve">               - Theo Thông tư liên tịch số 36/2014/TTLT-BGDĐT-BNV ngày 28/11/2014, kể từ ngày 01/02/2015, các ngạch: Giảng viên cao cấp (15.109), Giảng viên chính (15.110) và Giảng viên (15.111) lần lượt đổi thành các chức danh nghề nghiệp: Giảng viên cao cấp (hạng I) - mã số: V.07.01.01, Giảng viên chính (hạng II) - mã số: V.07.01.02 và Giảng viên (hạng III) - mã số: V.07.01.03. Tuy nhiên, đến nay, chưa có thay đổi về thang, bảng lương đối với các chức danh nghề nghiệp mới nêu trên. </t>
  </si>
  <si>
    <t>Tổng số nhà giáo:</t>
  </si>
  <si>
    <t>HỌ TÊN 
NHÀ GIÁO</t>
  </si>
  <si>
    <t>Ngày sinh</t>
  </si>
  <si>
    <t>ĐƠN VỊ CÔNG TÁC</t>
  </si>
  <si>
    <t>NGẠCH/ 
CHỨC DANH NGHỀ NGHIỆP
VÀ MÃ SỐ</t>
  </si>
  <si>
    <t>ĐỦ ĐIỀU KIỆN 
NÂNG PCTN</t>
  </si>
  <si>
    <t>ĐỦ ĐIỀU KIỆN NÂNG PCTN</t>
  </si>
  <si>
    <t>GHI
CHÚ</t>
  </si>
  <si>
    <t>Từ mức</t>
  </si>
  <si>
    <t>Lên mức</t>
  </si>
  <si>
    <t>Kể từ</t>
  </si>
  <si>
    <t>Thời gian Ko đc tính</t>
  </si>
  <si>
    <t>Thời gian giữ mức Pc</t>
  </si>
  <si>
    <t>Ds đủ ĐK nâng PC</t>
  </si>
  <si>
    <t>Kể từ 
tháng</t>
  </si>
  <si>
    <t>TT</t>
  </si>
  <si>
    <t>TEN</t>
  </si>
  <si>
    <t>GT</t>
  </si>
  <si>
    <t>BP</t>
  </si>
  <si>
    <t>DV</t>
  </si>
  <si>
    <t>Ma Ngach</t>
  </si>
  <si>
    <t>Pc1</t>
  </si>
  <si>
    <t>Pc2</t>
  </si>
  <si>
    <t>m</t>
  </si>
  <si>
    <t>y</t>
  </si>
  <si>
    <t>1</t>
  </si>
  <si>
    <t>(Hiện hưởng PCTN mức: 11% từ 01/2014. Nghỉ không hưởng lương từ 03/6/2014 đến 15/7/2014: Tháng 6/2014 không được tính; tháng 7/2014 được tính vào thời gian giữ mức PCTN hiện hưởng (vận dụng cách làm tròn tháng như chế độ nâng bậc lương thường xuyên tại Thông tư số 08/2013/TT-BNV).</t>
  </si>
  <si>
    <t>Nguyễn Thị Thu Cúc</t>
  </si>
  <si>
    <t>29</t>
  </si>
  <si>
    <t>9</t>
  </si>
  <si>
    <t>1971</t>
  </si>
  <si>
    <t>Trưởng phòng</t>
  </si>
  <si>
    <t>Phòng Dự án,</t>
  </si>
  <si>
    <t>Ban Hợp tác quốc tế</t>
  </si>
  <si>
    <t>Hoàng Quang Đạt</t>
  </si>
  <si>
    <t>28</t>
  </si>
  <si>
    <t>1958</t>
  </si>
  <si>
    <t>Trưởng khoa</t>
  </si>
  <si>
    <t>Khoa Đào tạo, bồi dưỡng công chức và Tại chức</t>
  </si>
  <si>
    <t>Giảng viên cao cấp (hạng I)</t>
  </si>
  <si>
    <t>Lê Văn Hòa</t>
  </si>
  <si>
    <t>1969</t>
  </si>
  <si>
    <t>Bộ môn Chính sách công,</t>
  </si>
  <si>
    <t>Hạ Thu Quyên</t>
  </si>
  <si>
    <t>Nguyễn Thanh Nga</t>
  </si>
  <si>
    <t>Bộ môn Những nguyên lý cơ bản của Chủ nghĩa Mác - Lê nin,</t>
  </si>
  <si>
    <t>Khoa Lý luận cơ sở</t>
  </si>
  <si>
    <t>Lương Thanh  Cường</t>
  </si>
  <si>
    <t>16</t>
  </si>
  <si>
    <t>Nâng PGS 02/2014</t>
  </si>
  <si>
    <t>Hoàng Văn Chức</t>
  </si>
  <si>
    <t>03</t>
  </si>
  <si>
    <t>Nguyên Trưởng khoa</t>
  </si>
  <si>
    <t>Khoa Quản lý nhà nước về Đô thị và Nông thôn</t>
  </si>
  <si>
    <t>V.07.01.01</t>
  </si>
  <si>
    <t>15.109</t>
  </si>
  <si>
    <t>PGS</t>
  </si>
  <si>
    <t>Dìu Đức Hà</t>
  </si>
  <si>
    <t>Bộ môn Nguyên lý Kinh tế,</t>
  </si>
  <si>
    <t>Khoa Quản lý nhà nước về Kinh tế</t>
  </si>
  <si>
    <t>3</t>
  </si>
  <si>
    <t>Tạ Thị Hương</t>
  </si>
  <si>
    <t>20</t>
  </si>
  <si>
    <t>Bộ môn Dân số - Lao động - Bảo trợ xã hội,</t>
  </si>
  <si>
    <t>Khoa Quản lý nhà nước về Xã hội</t>
  </si>
  <si>
    <t>Phan Thị Mỹ Bình</t>
  </si>
  <si>
    <t>Bộ môn Khoa học - Tôn giáo - An ninh,</t>
  </si>
  <si>
    <t>Chu Xuân Khánh</t>
  </si>
  <si>
    <t>1959</t>
  </si>
  <si>
    <t>Giám đốc (cấp vụ)</t>
  </si>
  <si>
    <t>Trung tâm Tin học - Thư viện</t>
  </si>
  <si>
    <t>5</t>
  </si>
  <si>
    <t xml:space="preserve">(Đã ký) </t>
  </si>
</sst>
</file>

<file path=xl/styles.xml><?xml version="1.0" encoding="utf-8"?>
<styleSheet xmlns="http://schemas.openxmlformats.org/spreadsheetml/2006/main" xmlns:mc="http://schemas.openxmlformats.org/markup-compatibility/2006" xmlns:x14ac="http://schemas.microsoft.com/office/spreadsheetml/2009/9/ac" mc:Ignorable="x14ac">
  <fonts count="53" x14ac:knownFonts="1">
    <font>
      <sz val="11"/>
      <color theme="1"/>
      <name val="Calibri"/>
      <family val="2"/>
      <scheme val="minor"/>
    </font>
    <font>
      <b/>
      <sz val="11"/>
      <name val="Arial Narrow"/>
      <family val="2"/>
    </font>
    <font>
      <sz val="11"/>
      <name val="Arial Narrow"/>
      <family val="2"/>
    </font>
    <font>
      <b/>
      <sz val="12"/>
      <name val="Arial Narrow"/>
      <family val="2"/>
    </font>
    <font>
      <i/>
      <sz val="12"/>
      <name val="Arial Narrow"/>
      <family val="2"/>
    </font>
    <font>
      <i/>
      <sz val="11"/>
      <color indexed="12"/>
      <name val="Arial Narrow"/>
      <family val="2"/>
    </font>
    <font>
      <b/>
      <sz val="12"/>
      <color indexed="12"/>
      <name val="Arial Narrow"/>
      <family val="2"/>
    </font>
    <font>
      <sz val="12"/>
      <name val="Arial Narrow"/>
      <family val="2"/>
    </font>
    <font>
      <sz val="14"/>
      <color indexed="8"/>
      <name val="Times New Roman"/>
      <family val="1"/>
    </font>
    <font>
      <b/>
      <sz val="11"/>
      <color indexed="12"/>
      <name val="Arial Narrow"/>
      <family val="2"/>
    </font>
    <font>
      <b/>
      <sz val="11"/>
      <color indexed="8"/>
      <name val="Arial Narrow"/>
      <family val="2"/>
    </font>
    <font>
      <b/>
      <sz val="11"/>
      <color indexed="13"/>
      <name val="Arial Narrow"/>
      <family val="2"/>
    </font>
    <font>
      <b/>
      <sz val="11"/>
      <color indexed="58"/>
      <name val="Arial Narrow"/>
      <family val="2"/>
    </font>
    <font>
      <b/>
      <sz val="11"/>
      <color indexed="16"/>
      <name val="Arial Narrow"/>
      <family val="2"/>
    </font>
    <font>
      <b/>
      <sz val="10"/>
      <name val="Arial Narrow"/>
      <family val="2"/>
    </font>
    <font>
      <b/>
      <u/>
      <sz val="11"/>
      <name val="Arial Narrow"/>
      <family val="2"/>
    </font>
    <font>
      <sz val="11"/>
      <color indexed="12"/>
      <name val="Arial Narrow"/>
      <family val="2"/>
    </font>
    <font>
      <sz val="11"/>
      <color indexed="8"/>
      <name val="Arial Narrow"/>
      <family val="2"/>
    </font>
    <font>
      <sz val="11"/>
      <color indexed="13"/>
      <name val="Arial Narrow"/>
      <family val="2"/>
    </font>
    <font>
      <sz val="11"/>
      <color indexed="58"/>
      <name val="Arial Narrow"/>
      <family val="2"/>
    </font>
    <font>
      <sz val="11"/>
      <color indexed="16"/>
      <name val="Arial Narrow"/>
      <family val="2"/>
    </font>
    <font>
      <i/>
      <sz val="11"/>
      <name val="Arial Narrow"/>
      <family val="2"/>
    </font>
    <font>
      <sz val="11"/>
      <color indexed="10"/>
      <name val="Arial Narrow"/>
      <family val="2"/>
    </font>
    <font>
      <b/>
      <sz val="11"/>
      <color indexed="9"/>
      <name val="Arial Narrow"/>
      <family val="2"/>
    </font>
    <font>
      <sz val="10"/>
      <name val="Arial Narrow"/>
      <family val="2"/>
    </font>
    <font>
      <sz val="10"/>
      <color indexed="8"/>
      <name val="Arial Narrow"/>
      <family val="2"/>
    </font>
    <font>
      <b/>
      <sz val="10"/>
      <name val="Arial"/>
      <family val="2"/>
    </font>
    <font>
      <i/>
      <sz val="10"/>
      <name val="Arial"/>
      <family val="2"/>
    </font>
    <font>
      <b/>
      <sz val="11"/>
      <color indexed="10"/>
      <name val="Arial Narrow"/>
      <family val="2"/>
    </font>
    <font>
      <sz val="11"/>
      <name val="Arial"/>
      <family val="2"/>
    </font>
    <font>
      <b/>
      <i/>
      <sz val="11"/>
      <name val="Arial Narrow"/>
      <family val="2"/>
    </font>
    <font>
      <b/>
      <sz val="12"/>
      <name val="Arial"/>
      <family val="2"/>
    </font>
    <font>
      <sz val="8"/>
      <name val="Arial Narrow"/>
      <family val="2"/>
    </font>
    <font>
      <b/>
      <sz val="12"/>
      <color indexed="8"/>
      <name val="Arial Narrow"/>
      <family val="2"/>
    </font>
    <font>
      <b/>
      <sz val="8"/>
      <color indexed="12"/>
      <name val="Arial Narrow"/>
      <family val="2"/>
    </font>
    <font>
      <b/>
      <sz val="8"/>
      <name val="Arial Narrow"/>
      <family val="2"/>
    </font>
    <font>
      <sz val="8"/>
      <color indexed="12"/>
      <name val="Arial Narrow"/>
      <family val="2"/>
    </font>
    <font>
      <b/>
      <i/>
      <sz val="12"/>
      <color indexed="9"/>
      <name val="Arial Narrow"/>
      <family val="2"/>
    </font>
    <font>
      <b/>
      <sz val="13"/>
      <name val="Arial"/>
      <family val="2"/>
    </font>
    <font>
      <b/>
      <sz val="13"/>
      <name val="Arial Narrow"/>
      <family val="2"/>
    </font>
    <font>
      <b/>
      <sz val="11"/>
      <color theme="0"/>
      <name val="Arial Narrow"/>
      <family val="2"/>
    </font>
    <font>
      <sz val="11"/>
      <color theme="0"/>
      <name val="Arial Narrow"/>
      <family val="2"/>
    </font>
    <font>
      <i/>
      <sz val="10"/>
      <color theme="0"/>
      <name val="Arial"/>
      <family val="2"/>
    </font>
    <font>
      <sz val="12"/>
      <color theme="0"/>
      <name val="Arial Narrow"/>
      <family val="2"/>
    </font>
    <font>
      <b/>
      <sz val="12"/>
      <color theme="0"/>
      <name val="Arial Narrow"/>
      <family val="2"/>
    </font>
    <font>
      <sz val="8"/>
      <color theme="0"/>
      <name val="Arial Narrow"/>
      <family val="2"/>
    </font>
    <font>
      <sz val="9"/>
      <color theme="0"/>
      <name val="Arial Narrow"/>
      <family val="2"/>
    </font>
    <font>
      <b/>
      <sz val="8"/>
      <color theme="0"/>
      <name val="Arial Narrow"/>
      <family val="2"/>
    </font>
    <font>
      <b/>
      <i/>
      <sz val="11"/>
      <color indexed="12"/>
      <name val="Arial Narrow"/>
      <family val="2"/>
    </font>
    <font>
      <sz val="11"/>
      <color indexed="9"/>
      <name val="Arial Narrow"/>
      <family val="2"/>
    </font>
    <font>
      <b/>
      <i/>
      <sz val="12"/>
      <name val="Arial"/>
      <family val="2"/>
    </font>
    <font>
      <sz val="10"/>
      <name val="Arial"/>
      <family val="2"/>
    </font>
    <font>
      <b/>
      <i/>
      <sz val="12"/>
      <color rgb="FF0000FF"/>
      <name val="Arial Narrow"/>
      <family val="2"/>
    </font>
  </fonts>
  <fills count="10">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27"/>
        <bgColor indexed="64"/>
      </patternFill>
    </fill>
    <fill>
      <patternFill patternType="solid">
        <fgColor theme="0"/>
        <bgColor indexed="64"/>
      </patternFill>
    </fill>
    <fill>
      <patternFill patternType="solid">
        <fgColor indexed="12"/>
        <bgColor indexed="64"/>
      </patternFill>
    </fill>
  </fills>
  <borders count="74">
    <border>
      <left/>
      <right/>
      <top/>
      <bottom/>
      <diagonal/>
    </border>
    <border>
      <left style="double">
        <color indexed="64"/>
      </left>
      <right/>
      <top/>
      <bottom style="double">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right style="double">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18">
    <xf numFmtId="0" fontId="0" fillId="0" borderId="0" xfId="0"/>
    <xf numFmtId="0" fontId="1" fillId="2" borderId="0" xfId="0" applyNumberFormat="1" applyFont="1" applyFill="1" applyAlignment="1">
      <alignment horizontal="center" vertical="center" wrapText="1"/>
    </xf>
    <xf numFmtId="0" fontId="2" fillId="0" borderId="0" xfId="0" applyFont="1" applyAlignment="1">
      <alignment horizontal="center"/>
    </xf>
    <xf numFmtId="0" fontId="2" fillId="0" borderId="0" xfId="0" applyFont="1" applyAlignment="1"/>
    <xf numFmtId="49" fontId="1" fillId="2" borderId="0" xfId="0" applyNumberFormat="1" applyFont="1" applyFill="1" applyBorder="1" applyAlignment="1">
      <alignment horizontal="center" vertical="center" wrapText="1"/>
    </xf>
    <xf numFmtId="0" fontId="1" fillId="0" borderId="0" xfId="0" applyFont="1" applyAlignment="1">
      <alignment horizontal="center"/>
    </xf>
    <xf numFmtId="2" fontId="1" fillId="2" borderId="0" xfId="0" applyNumberFormat="1" applyFont="1" applyFill="1" applyAlignment="1">
      <alignment horizontal="center" vertical="center"/>
    </xf>
    <xf numFmtId="0" fontId="1" fillId="0" borderId="0" xfId="0" applyFont="1" applyAlignment="1"/>
    <xf numFmtId="0" fontId="3" fillId="0" borderId="0" xfId="0" applyFont="1" applyAlignment="1">
      <alignment horizontal="center"/>
    </xf>
    <xf numFmtId="0" fontId="2" fillId="2" borderId="0" xfId="0" applyNumberFormat="1" applyFont="1" applyFill="1" applyAlignment="1">
      <alignment horizontal="center" wrapText="1"/>
    </xf>
    <xf numFmtId="0" fontId="2" fillId="2" borderId="0" xfId="0" applyNumberFormat="1" applyFont="1" applyFill="1" applyAlignment="1">
      <alignment horizontal="left" wrapText="1"/>
    </xf>
    <xf numFmtId="49" fontId="1" fillId="2" borderId="0" xfId="0" applyNumberFormat="1" applyFont="1" applyFill="1" applyBorder="1" applyAlignment="1">
      <alignment horizontal="left" wrapText="1"/>
    </xf>
    <xf numFmtId="49" fontId="1" fillId="2" borderId="0" xfId="0" applyNumberFormat="1" applyFont="1" applyFill="1" applyBorder="1" applyAlignment="1">
      <alignment horizontal="center" wrapText="1"/>
    </xf>
    <xf numFmtId="0" fontId="4" fillId="0" borderId="0" xfId="0" applyFont="1" applyAlignment="1">
      <alignment horizontal="center"/>
    </xf>
    <xf numFmtId="2" fontId="5" fillId="2" borderId="0" xfId="0" applyNumberFormat="1" applyFont="1" applyFill="1" applyAlignment="1"/>
    <xf numFmtId="2" fontId="2" fillId="2" borderId="0" xfId="0" applyNumberFormat="1" applyFont="1" applyFill="1" applyAlignment="1"/>
    <xf numFmtId="0" fontId="3" fillId="0" borderId="0" xfId="0" applyFont="1" applyAlignment="1">
      <alignment horizontal="center" vertical="center" wrapText="1"/>
    </xf>
    <xf numFmtId="2" fontId="7" fillId="2" borderId="0" xfId="0" applyNumberFormat="1" applyFont="1" applyFill="1" applyAlignment="1">
      <alignment vertical="center"/>
    </xf>
    <xf numFmtId="0" fontId="7" fillId="0" borderId="0" xfId="0" applyFont="1" applyAlignment="1">
      <alignment horizontal="center" vertical="center"/>
    </xf>
    <xf numFmtId="0" fontId="8" fillId="2" borderId="0" xfId="0" applyFont="1" applyFill="1" applyAlignment="1">
      <alignment vertical="center" wrapText="1"/>
    </xf>
    <xf numFmtId="3" fontId="8" fillId="2" borderId="0" xfId="0" applyNumberFormat="1" applyFont="1" applyFill="1" applyAlignment="1">
      <alignment vertical="center" wrapText="1"/>
    </xf>
    <xf numFmtId="0" fontId="7" fillId="0" borderId="0" xfId="0" applyFont="1" applyAlignment="1">
      <alignment vertical="center" wrapText="1"/>
    </xf>
    <xf numFmtId="0" fontId="7" fillId="0" borderId="0" xfId="0" applyFont="1" applyAlignment="1">
      <alignment vertical="center"/>
    </xf>
    <xf numFmtId="49" fontId="7" fillId="0" borderId="0" xfId="0" applyNumberFormat="1" applyFont="1" applyAlignment="1">
      <alignment vertical="center"/>
    </xf>
    <xf numFmtId="0" fontId="7" fillId="3" borderId="0" xfId="0" applyFont="1" applyFill="1" applyAlignment="1">
      <alignment vertical="center"/>
    </xf>
    <xf numFmtId="0" fontId="7" fillId="2" borderId="0" xfId="0" applyFont="1" applyFill="1" applyAlignment="1">
      <alignment vertical="center"/>
    </xf>
    <xf numFmtId="0" fontId="1" fillId="2" borderId="0" xfId="0" applyFont="1" applyFill="1" applyBorder="1" applyAlignment="1"/>
    <xf numFmtId="0" fontId="1" fillId="2" borderId="0" xfId="0" applyFont="1" applyFill="1" applyBorder="1" applyAlignment="1">
      <alignment horizontal="center"/>
    </xf>
    <xf numFmtId="0" fontId="1" fillId="0" borderId="0" xfId="0" applyFont="1" applyBorder="1" applyAlignment="1">
      <alignment horizontal="right"/>
    </xf>
    <xf numFmtId="0" fontId="1" fillId="0" borderId="0" xfId="0" applyFont="1" applyBorder="1" applyAlignment="1"/>
    <xf numFmtId="0" fontId="1" fillId="2" borderId="0" xfId="0" applyFont="1" applyFill="1" applyBorder="1" applyAlignment="1">
      <alignment horizontal="left"/>
    </xf>
    <xf numFmtId="0" fontId="1" fillId="0" borderId="0" xfId="0" applyFont="1" applyBorder="1" applyAlignment="1">
      <alignment horizontal="left"/>
    </xf>
    <xf numFmtId="2" fontId="9" fillId="2" borderId="0" xfId="0" applyNumberFormat="1" applyFont="1" applyFill="1" applyBorder="1" applyAlignment="1">
      <alignment horizontal="right"/>
    </xf>
    <xf numFmtId="2" fontId="9" fillId="2" borderId="0" xfId="0" applyNumberFormat="1" applyFont="1" applyFill="1" applyBorder="1" applyAlignment="1">
      <alignment horizontal="left" wrapText="1"/>
    </xf>
    <xf numFmtId="2" fontId="9" fillId="2" borderId="0" xfId="0" applyNumberFormat="1" applyFont="1" applyFill="1" applyBorder="1" applyAlignment="1">
      <alignment horizontal="center"/>
    </xf>
    <xf numFmtId="0" fontId="9" fillId="2" borderId="0" xfId="0" applyFont="1" applyFill="1" applyBorder="1" applyAlignment="1">
      <alignment horizontal="left"/>
    </xf>
    <xf numFmtId="49" fontId="9" fillId="2" borderId="0" xfId="0" applyNumberFormat="1" applyFont="1" applyFill="1" applyBorder="1" applyAlignment="1">
      <alignment horizontal="center"/>
    </xf>
    <xf numFmtId="0" fontId="1" fillId="0" borderId="0" xfId="0" applyNumberFormat="1" applyFont="1" applyBorder="1" applyAlignment="1"/>
    <xf numFmtId="0" fontId="9" fillId="0" borderId="0" xfId="0" applyNumberFormat="1" applyFont="1" applyBorder="1" applyAlignment="1"/>
    <xf numFmtId="0" fontId="9" fillId="0" borderId="0" xfId="0" applyNumberFormat="1" applyFont="1" applyBorder="1" applyAlignment="1">
      <alignment horizontal="left"/>
    </xf>
    <xf numFmtId="2" fontId="9" fillId="0" borderId="0" xfId="0" applyNumberFormat="1" applyFont="1" applyBorder="1" applyAlignment="1">
      <alignment horizontal="center"/>
    </xf>
    <xf numFmtId="1" fontId="9" fillId="0" borderId="0" xfId="0" applyNumberFormat="1" applyFont="1" applyBorder="1" applyAlignment="1">
      <alignment horizontal="right"/>
    </xf>
    <xf numFmtId="2" fontId="9" fillId="0" borderId="0" xfId="0" applyNumberFormat="1" applyFont="1" applyBorder="1" applyAlignment="1"/>
    <xf numFmtId="0" fontId="0" fillId="0" borderId="0" xfId="0"/>
    <xf numFmtId="1" fontId="10" fillId="0" borderId="0" xfId="0" applyNumberFormat="1" applyFont="1" applyBorder="1" applyAlignment="1">
      <alignment horizontal="center" wrapText="1"/>
    </xf>
    <xf numFmtId="0" fontId="11" fillId="2" borderId="0" xfId="0" applyNumberFormat="1" applyFont="1" applyFill="1" applyBorder="1" applyAlignment="1">
      <alignment horizontal="center"/>
    </xf>
    <xf numFmtId="49" fontId="12" fillId="0" borderId="0" xfId="0" applyNumberFormat="1" applyFont="1" applyBorder="1" applyAlignment="1"/>
    <xf numFmtId="1" fontId="1" fillId="2" borderId="0" xfId="0" applyNumberFormat="1" applyFont="1" applyFill="1" applyBorder="1" applyAlignment="1">
      <alignment horizontal="center"/>
    </xf>
    <xf numFmtId="2" fontId="1" fillId="0" borderId="0" xfId="0" applyNumberFormat="1" applyFont="1" applyBorder="1" applyAlignment="1">
      <alignment horizontal="center"/>
    </xf>
    <xf numFmtId="1" fontId="9" fillId="2" borderId="0" xfId="0" applyNumberFormat="1" applyFont="1" applyFill="1" applyBorder="1" applyAlignment="1"/>
    <xf numFmtId="2" fontId="1" fillId="0" borderId="0" xfId="0" applyNumberFormat="1" applyFont="1" applyBorder="1" applyAlignment="1"/>
    <xf numFmtId="0" fontId="9" fillId="0" borderId="0" xfId="0" applyFont="1" applyBorder="1" applyAlignment="1">
      <alignment horizontal="center"/>
    </xf>
    <xf numFmtId="2" fontId="13" fillId="2" borderId="0" xfId="0" applyNumberFormat="1" applyFont="1" applyFill="1" applyBorder="1" applyAlignment="1"/>
    <xf numFmtId="2" fontId="13" fillId="2" borderId="0" xfId="0" applyNumberFormat="1" applyFont="1" applyFill="1" applyBorder="1" applyAlignment="1">
      <alignment horizontal="right"/>
    </xf>
    <xf numFmtId="0" fontId="9" fillId="0" borderId="0" xfId="0" applyFont="1" applyBorder="1" applyAlignment="1"/>
    <xf numFmtId="0" fontId="13" fillId="0" borderId="0" xfId="0" applyFont="1" applyBorder="1" applyAlignment="1"/>
    <xf numFmtId="2" fontId="9" fillId="0" borderId="0" xfId="0" applyNumberFormat="1" applyFont="1" applyBorder="1" applyAlignment="1">
      <alignment horizontal="right"/>
    </xf>
    <xf numFmtId="1" fontId="14" fillId="2" borderId="0" xfId="0" applyNumberFormat="1" applyFont="1" applyFill="1" applyAlignment="1"/>
    <xf numFmtId="2" fontId="1" fillId="2" borderId="0" xfId="0" applyNumberFormat="1" applyFont="1" applyFill="1" applyAlignment="1"/>
    <xf numFmtId="0" fontId="1" fillId="0" borderId="0" xfId="0" applyFont="1" applyAlignment="1">
      <alignment horizontal="center"/>
    </xf>
    <xf numFmtId="0" fontId="1" fillId="0" borderId="0" xfId="0" applyFont="1" applyAlignment="1">
      <alignment wrapText="1"/>
    </xf>
    <xf numFmtId="49" fontId="1" fillId="0" borderId="0" xfId="0" applyNumberFormat="1" applyFont="1" applyAlignment="1"/>
    <xf numFmtId="0" fontId="1" fillId="3" borderId="0" xfId="0" applyFont="1" applyFill="1" applyAlignment="1"/>
    <xf numFmtId="0" fontId="1" fillId="2" borderId="0" xfId="0" applyFont="1" applyFill="1" applyAlignment="1"/>
    <xf numFmtId="0" fontId="2" fillId="2" borderId="0" xfId="0" applyNumberFormat="1" applyFont="1" applyFill="1" applyBorder="1" applyAlignment="1">
      <alignment vertical="top"/>
    </xf>
    <xf numFmtId="0" fontId="2" fillId="0" borderId="0" xfId="0" applyNumberFormat="1" applyFont="1" applyBorder="1" applyAlignment="1">
      <alignment horizontal="left" vertical="top"/>
    </xf>
    <xf numFmtId="0" fontId="2" fillId="0" borderId="0" xfId="0" applyNumberFormat="1" applyFont="1" applyBorder="1" applyAlignment="1">
      <alignment vertical="top"/>
    </xf>
    <xf numFmtId="0" fontId="2" fillId="2" borderId="0" xfId="0" applyNumberFormat="1" applyFont="1" applyFill="1" applyBorder="1" applyAlignment="1">
      <alignment horizontal="center" vertical="top"/>
    </xf>
    <xf numFmtId="0" fontId="2" fillId="0" borderId="0" xfId="0" applyNumberFormat="1" applyFont="1" applyBorder="1" applyAlignment="1">
      <alignment horizontal="right" vertical="top"/>
    </xf>
    <xf numFmtId="0" fontId="2" fillId="2" borderId="0" xfId="0" applyNumberFormat="1" applyFont="1" applyFill="1" applyBorder="1" applyAlignment="1">
      <alignment horizontal="left" vertical="top"/>
    </xf>
    <xf numFmtId="0" fontId="16" fillId="2" borderId="0" xfId="0" applyNumberFormat="1" applyFont="1" applyFill="1" applyBorder="1" applyAlignment="1">
      <alignment horizontal="right" vertical="top"/>
    </xf>
    <xf numFmtId="0" fontId="16" fillId="2" borderId="0" xfId="0" applyNumberFormat="1" applyFont="1" applyFill="1" applyBorder="1" applyAlignment="1">
      <alignment horizontal="left" vertical="top" wrapText="1"/>
    </xf>
    <xf numFmtId="0" fontId="16" fillId="2" borderId="0" xfId="0" applyNumberFormat="1" applyFont="1" applyFill="1" applyBorder="1" applyAlignment="1">
      <alignment horizontal="center" vertical="top"/>
    </xf>
    <xf numFmtId="0" fontId="16" fillId="2" borderId="0" xfId="0" applyNumberFormat="1" applyFont="1" applyFill="1" applyBorder="1" applyAlignment="1">
      <alignment horizontal="left" vertical="top"/>
    </xf>
    <xf numFmtId="0" fontId="16" fillId="0" borderId="0" xfId="0" applyNumberFormat="1" applyFont="1" applyBorder="1" applyAlignment="1">
      <alignment vertical="top"/>
    </xf>
    <xf numFmtId="0" fontId="16" fillId="0" borderId="0" xfId="0" applyNumberFormat="1" applyFont="1" applyBorder="1" applyAlignment="1">
      <alignment horizontal="left" vertical="top"/>
    </xf>
    <xf numFmtId="0" fontId="16" fillId="0" borderId="0" xfId="0" applyNumberFormat="1" applyFont="1" applyBorder="1" applyAlignment="1">
      <alignment horizontal="center" vertical="top"/>
    </xf>
    <xf numFmtId="0" fontId="16" fillId="0" borderId="0" xfId="0" applyNumberFormat="1" applyFont="1" applyBorder="1" applyAlignment="1">
      <alignment horizontal="right" vertical="top"/>
    </xf>
    <xf numFmtId="0" fontId="2" fillId="2" borderId="0" xfId="0" applyNumberFormat="1" applyFont="1" applyFill="1" applyBorder="1" applyAlignment="1">
      <alignment horizontal="right" vertical="top"/>
    </xf>
    <xf numFmtId="0" fontId="2" fillId="2" borderId="0" xfId="0" applyNumberFormat="1" applyFont="1" applyFill="1" applyBorder="1" applyAlignment="1">
      <alignment horizontal="center" vertical="top" wrapText="1"/>
    </xf>
    <xf numFmtId="0" fontId="2" fillId="2" borderId="0" xfId="0" applyNumberFormat="1" applyFont="1" applyFill="1" applyBorder="1" applyAlignment="1">
      <alignment horizontal="left" vertical="top" wrapText="1"/>
    </xf>
    <xf numFmtId="0" fontId="17" fillId="0" borderId="0" xfId="0" applyNumberFormat="1" applyFont="1" applyBorder="1" applyAlignment="1">
      <alignment horizontal="center" vertical="top" wrapText="1"/>
    </xf>
    <xf numFmtId="0" fontId="18" fillId="2" borderId="0" xfId="0" applyNumberFormat="1" applyFont="1" applyFill="1" applyBorder="1" applyAlignment="1">
      <alignment horizontal="center" vertical="top"/>
    </xf>
    <xf numFmtId="0" fontId="19" fillId="0" borderId="0" xfId="0" applyNumberFormat="1" applyFont="1" applyBorder="1" applyAlignment="1">
      <alignment vertical="top"/>
    </xf>
    <xf numFmtId="0" fontId="1" fillId="2" borderId="0" xfId="0" applyNumberFormat="1" applyFont="1" applyFill="1" applyBorder="1" applyAlignment="1">
      <alignment horizontal="center" vertical="top"/>
    </xf>
    <xf numFmtId="0" fontId="2" fillId="0" borderId="0" xfId="0" applyNumberFormat="1" applyFont="1" applyBorder="1" applyAlignment="1">
      <alignment horizontal="center" vertical="top"/>
    </xf>
    <xf numFmtId="0" fontId="16" fillId="2" borderId="0" xfId="0" applyNumberFormat="1" applyFont="1" applyFill="1" applyBorder="1" applyAlignment="1">
      <alignment vertical="top"/>
    </xf>
    <xf numFmtId="0" fontId="9" fillId="0" borderId="0" xfId="0" applyNumberFormat="1" applyFont="1" applyBorder="1" applyAlignment="1">
      <alignment horizontal="center" vertical="top"/>
    </xf>
    <xf numFmtId="0" fontId="9" fillId="2" borderId="0" xfId="0" applyNumberFormat="1" applyFont="1" applyFill="1" applyBorder="1" applyAlignment="1">
      <alignment vertical="top"/>
    </xf>
    <xf numFmtId="0" fontId="20" fillId="2" borderId="0" xfId="0" applyNumberFormat="1" applyFont="1" applyFill="1" applyBorder="1" applyAlignment="1">
      <alignment vertical="top"/>
    </xf>
    <xf numFmtId="0" fontId="20" fillId="2" borderId="0" xfId="0" applyNumberFormat="1" applyFont="1" applyFill="1" applyBorder="1" applyAlignment="1">
      <alignment horizontal="right" vertical="top"/>
    </xf>
    <xf numFmtId="0" fontId="20" fillId="0" borderId="0" xfId="0" applyNumberFormat="1" applyFont="1" applyBorder="1" applyAlignment="1">
      <alignment vertical="top"/>
    </xf>
    <xf numFmtId="0" fontId="2" fillId="2" borderId="0" xfId="0" applyNumberFormat="1" applyFont="1" applyFill="1" applyAlignment="1">
      <alignment vertical="top"/>
    </xf>
    <xf numFmtId="0" fontId="2" fillId="0" borderId="0" xfId="0" applyNumberFormat="1" applyFont="1" applyAlignment="1">
      <alignment horizontal="center" vertical="top"/>
    </xf>
    <xf numFmtId="0" fontId="17" fillId="2" borderId="0" xfId="0" applyNumberFormat="1" applyFont="1" applyFill="1" applyAlignment="1">
      <alignment vertical="top" wrapText="1"/>
    </xf>
    <xf numFmtId="0" fontId="2" fillId="0" borderId="0" xfId="0" applyNumberFormat="1" applyFont="1" applyAlignment="1">
      <alignment vertical="top" wrapText="1"/>
    </xf>
    <xf numFmtId="0" fontId="2" fillId="0" borderId="0" xfId="0" applyNumberFormat="1" applyFont="1" applyAlignment="1">
      <alignment vertical="top"/>
    </xf>
    <xf numFmtId="0" fontId="2" fillId="3" borderId="0" xfId="0" applyNumberFormat="1" applyFont="1" applyFill="1" applyAlignment="1">
      <alignment vertical="top"/>
    </xf>
    <xf numFmtId="0" fontId="2" fillId="0" borderId="0" xfId="0" applyFont="1"/>
    <xf numFmtId="0" fontId="2" fillId="0" borderId="0" xfId="0" applyNumberFormat="1" applyFont="1" applyAlignment="1">
      <alignment horizontal="left" vertical="top" wrapText="1"/>
    </xf>
    <xf numFmtId="0" fontId="21" fillId="2" borderId="0" xfId="0" applyNumberFormat="1" applyFont="1" applyFill="1" applyBorder="1" applyAlignment="1">
      <alignment vertical="top"/>
    </xf>
    <xf numFmtId="0" fontId="21" fillId="0" borderId="0" xfId="0" applyNumberFormat="1" applyFont="1" applyAlignment="1">
      <alignment vertical="top"/>
    </xf>
    <xf numFmtId="0" fontId="21" fillId="0" borderId="0" xfId="0" applyNumberFormat="1" applyFont="1" applyBorder="1" applyAlignment="1">
      <alignment vertical="top" wrapText="1"/>
    </xf>
    <xf numFmtId="0" fontId="2" fillId="0" borderId="0" xfId="0" applyFont="1" applyAlignment="1">
      <alignment vertical="top" wrapText="1"/>
    </xf>
    <xf numFmtId="0" fontId="21" fillId="2" borderId="0" xfId="0" applyNumberFormat="1" applyFont="1" applyFill="1" applyAlignment="1">
      <alignment vertical="top"/>
    </xf>
    <xf numFmtId="0" fontId="21" fillId="0" borderId="0" xfId="0" applyNumberFormat="1" applyFont="1" applyAlignment="1">
      <alignment horizontal="center" vertical="top"/>
    </xf>
    <xf numFmtId="0" fontId="2" fillId="2" borderId="0" xfId="0" applyNumberFormat="1" applyFont="1" applyFill="1" applyAlignment="1">
      <alignment vertical="top" wrapText="1"/>
    </xf>
    <xf numFmtId="0" fontId="21" fillId="0" borderId="0" xfId="0" applyNumberFormat="1" applyFont="1" applyAlignment="1">
      <alignment vertical="top" wrapText="1"/>
    </xf>
    <xf numFmtId="0" fontId="21" fillId="3" borderId="0" xfId="0" applyNumberFormat="1" applyFont="1" applyFill="1" applyAlignment="1">
      <alignment vertical="top"/>
    </xf>
    <xf numFmtId="0" fontId="1" fillId="2" borderId="1" xfId="0" applyNumberFormat="1" applyFont="1" applyFill="1" applyBorder="1" applyAlignment="1">
      <alignment horizontal="center" vertical="top" wrapText="1"/>
    </xf>
    <xf numFmtId="0" fontId="1" fillId="2" borderId="0" xfId="0" applyNumberFormat="1" applyFont="1" applyFill="1" applyBorder="1" applyAlignment="1">
      <alignment horizontal="right" vertical="top"/>
    </xf>
    <xf numFmtId="0" fontId="1" fillId="2" borderId="0" xfId="0" applyNumberFormat="1" applyFont="1" applyFill="1" applyBorder="1" applyAlignment="1">
      <alignment horizontal="center" vertical="top" wrapText="1"/>
    </xf>
    <xf numFmtId="0" fontId="1" fillId="2" borderId="0" xfId="0" applyNumberFormat="1" applyFont="1" applyFill="1" applyBorder="1" applyAlignment="1">
      <alignment vertical="top" wrapText="1"/>
    </xf>
    <xf numFmtId="0" fontId="1" fillId="2" borderId="0" xfId="0" applyNumberFormat="1" applyFont="1" applyFill="1" applyBorder="1" applyAlignment="1">
      <alignment horizontal="left" vertical="top" wrapText="1"/>
    </xf>
    <xf numFmtId="0" fontId="2" fillId="4" borderId="2" xfId="0" applyNumberFormat="1" applyFont="1" applyFill="1" applyBorder="1" applyAlignment="1">
      <alignment horizontal="center" vertical="top" wrapText="1"/>
    </xf>
    <xf numFmtId="0" fontId="2" fillId="2" borderId="0" xfId="0" applyNumberFormat="1" applyFont="1" applyFill="1" applyBorder="1" applyAlignment="1">
      <alignment horizontal="right" vertical="top" wrapText="1"/>
    </xf>
    <xf numFmtId="0" fontId="2" fillId="2" borderId="0" xfId="0" applyNumberFormat="1" applyFont="1" applyFill="1" applyBorder="1" applyAlignment="1">
      <alignment vertical="top" wrapText="1"/>
    </xf>
    <xf numFmtId="0" fontId="2" fillId="4" borderId="3" xfId="0" applyNumberFormat="1" applyFont="1" applyFill="1" applyBorder="1" applyAlignment="1">
      <alignment horizontal="center" vertical="top"/>
    </xf>
    <xf numFmtId="0" fontId="2" fillId="4" borderId="3" xfId="0" applyNumberFormat="1" applyFont="1" applyFill="1" applyBorder="1" applyAlignment="1">
      <alignment horizontal="center" vertical="top" wrapText="1"/>
    </xf>
    <xf numFmtId="0" fontId="2" fillId="4" borderId="0" xfId="0" applyNumberFormat="1" applyFont="1" applyFill="1" applyBorder="1" applyAlignment="1">
      <alignment horizontal="center" vertical="top" wrapText="1"/>
    </xf>
    <xf numFmtId="0" fontId="2" fillId="4" borderId="4" xfId="0" applyNumberFormat="1" applyFont="1" applyFill="1" applyBorder="1" applyAlignment="1">
      <alignment horizontal="center" vertical="top"/>
    </xf>
    <xf numFmtId="0" fontId="2" fillId="4" borderId="5" xfId="0" applyNumberFormat="1" applyFont="1" applyFill="1" applyBorder="1" applyAlignment="1">
      <alignment horizontal="center" vertical="top"/>
    </xf>
    <xf numFmtId="0" fontId="2" fillId="4" borderId="0" xfId="0" applyNumberFormat="1" applyFont="1" applyFill="1" applyBorder="1" applyAlignment="1">
      <alignment horizontal="center" vertical="top"/>
    </xf>
    <xf numFmtId="0" fontId="2" fillId="4" borderId="2" xfId="0" applyNumberFormat="1" applyFont="1" applyFill="1" applyBorder="1" applyAlignment="1">
      <alignment horizontal="center" vertical="top"/>
    </xf>
    <xf numFmtId="0" fontId="1" fillId="5" borderId="2" xfId="0" applyNumberFormat="1" applyFont="1" applyFill="1" applyBorder="1" applyAlignment="1">
      <alignment horizontal="center" vertical="center" wrapText="1"/>
    </xf>
    <xf numFmtId="1" fontId="1" fillId="2" borderId="0" xfId="0" applyNumberFormat="1" applyFont="1" applyFill="1" applyBorder="1" applyAlignment="1">
      <alignment horizontal="right"/>
    </xf>
    <xf numFmtId="0" fontId="9" fillId="2" borderId="0" xfId="0" applyFont="1" applyFill="1" applyBorder="1" applyAlignment="1">
      <alignment horizontal="center"/>
    </xf>
    <xf numFmtId="0" fontId="1" fillId="2" borderId="0" xfId="0" applyFont="1" applyFill="1" applyBorder="1" applyAlignment="1">
      <alignment horizontal="right"/>
    </xf>
    <xf numFmtId="49" fontId="1" fillId="2" borderId="0" xfId="0" applyNumberFormat="1" applyFont="1" applyFill="1" applyBorder="1" applyAlignment="1">
      <alignment horizontal="right"/>
    </xf>
    <xf numFmtId="49" fontId="1" fillId="2" borderId="0" xfId="0" applyNumberFormat="1" applyFont="1" applyFill="1" applyBorder="1" applyAlignment="1">
      <alignment horizontal="left"/>
    </xf>
    <xf numFmtId="0" fontId="1" fillId="2" borderId="0" xfId="0" applyFont="1" applyFill="1" applyBorder="1" applyAlignment="1">
      <alignment horizontal="left" wrapText="1"/>
    </xf>
    <xf numFmtId="0" fontId="1" fillId="0" borderId="0" xfId="0" applyFont="1" applyFill="1" applyBorder="1" applyAlignment="1">
      <alignment horizontal="center"/>
    </xf>
    <xf numFmtId="0" fontId="22" fillId="0" borderId="0" xfId="0" applyFont="1" applyFill="1" applyBorder="1" applyAlignment="1">
      <alignment horizontal="center"/>
    </xf>
    <xf numFmtId="0" fontId="2" fillId="0" borderId="0" xfId="0" applyFont="1" applyFill="1" applyBorder="1" applyAlignment="1">
      <alignment horizontal="right"/>
    </xf>
    <xf numFmtId="1" fontId="23" fillId="0" borderId="0" xfId="0" applyNumberFormat="1" applyFont="1" applyFill="1" applyBorder="1" applyAlignment="1">
      <alignment horizontal="center" textRotation="90"/>
    </xf>
    <xf numFmtId="0" fontId="2" fillId="0" borderId="0" xfId="0" applyFont="1" applyFill="1" applyBorder="1" applyAlignment="1">
      <alignment horizontal="center"/>
    </xf>
    <xf numFmtId="0" fontId="2" fillId="2" borderId="0" xfId="0" applyFont="1" applyFill="1" applyBorder="1" applyAlignment="1">
      <alignment horizontal="right"/>
    </xf>
    <xf numFmtId="0" fontId="1" fillId="5" borderId="0" xfId="0" applyFont="1" applyFill="1" applyAlignment="1">
      <alignment vertical="center"/>
    </xf>
    <xf numFmtId="0" fontId="2" fillId="2" borderId="6" xfId="0" applyNumberFormat="1" applyFont="1" applyFill="1" applyBorder="1" applyAlignment="1">
      <alignment horizontal="center" vertical="center" wrapText="1"/>
    </xf>
    <xf numFmtId="0" fontId="24" fillId="2" borderId="0" xfId="0" applyNumberFormat="1" applyFont="1" applyFill="1" applyAlignment="1">
      <alignment horizontal="center" vertical="center"/>
    </xf>
    <xf numFmtId="0" fontId="24" fillId="2" borderId="0" xfId="0" applyNumberFormat="1" applyFont="1" applyFill="1" applyAlignment="1">
      <alignment horizontal="left" vertical="center" wrapText="1"/>
    </xf>
    <xf numFmtId="0" fontId="24" fillId="2" borderId="0" xfId="0" applyNumberFormat="1" applyFont="1" applyFill="1" applyAlignment="1">
      <alignment horizontal="center" vertical="center" wrapText="1"/>
    </xf>
    <xf numFmtId="0" fontId="24" fillId="2" borderId="0" xfId="0" applyNumberFormat="1" applyFont="1" applyFill="1" applyAlignment="1">
      <alignment vertical="center" wrapText="1"/>
    </xf>
    <xf numFmtId="0" fontId="24" fillId="2" borderId="0" xfId="0" applyNumberFormat="1" applyFont="1" applyFill="1" applyAlignment="1">
      <alignment vertical="center"/>
    </xf>
    <xf numFmtId="1" fontId="24" fillId="2" borderId="0" xfId="0" applyNumberFormat="1" applyFont="1" applyFill="1" applyBorder="1" applyAlignment="1">
      <alignment horizontal="left" vertical="center"/>
    </xf>
    <xf numFmtId="1" fontId="24" fillId="2" borderId="0" xfId="0" applyNumberFormat="1" applyFont="1" applyFill="1" applyBorder="1" applyAlignment="1">
      <alignment horizontal="left" vertical="center" wrapText="1"/>
    </xf>
    <xf numFmtId="1" fontId="24" fillId="2" borderId="0" xfId="0" applyNumberFormat="1" applyFont="1" applyFill="1" applyBorder="1" applyAlignment="1">
      <alignment horizontal="center" vertical="center"/>
    </xf>
    <xf numFmtId="2" fontId="24" fillId="2" borderId="0" xfId="0" applyNumberFormat="1" applyFont="1" applyFill="1" applyAlignment="1">
      <alignment horizontal="left" vertical="center"/>
    </xf>
    <xf numFmtId="49" fontId="24" fillId="2" borderId="0" xfId="0" applyNumberFormat="1" applyFont="1" applyFill="1" applyBorder="1" applyAlignment="1">
      <alignment horizontal="center" vertical="center"/>
    </xf>
    <xf numFmtId="49" fontId="24" fillId="2" borderId="0" xfId="0" applyNumberFormat="1" applyFont="1" applyFill="1" applyBorder="1" applyAlignment="1">
      <alignment vertical="center"/>
    </xf>
    <xf numFmtId="2" fontId="24" fillId="2" borderId="0" xfId="0" applyNumberFormat="1" applyFont="1" applyFill="1" applyBorder="1" applyAlignment="1">
      <alignment horizontal="center" vertical="center"/>
    </xf>
    <xf numFmtId="49" fontId="24" fillId="2" borderId="0" xfId="0" applyNumberFormat="1" applyFont="1" applyFill="1" applyBorder="1" applyAlignment="1">
      <alignment horizontal="right" vertical="center"/>
    </xf>
    <xf numFmtId="49" fontId="24" fillId="2" borderId="0" xfId="0" applyNumberFormat="1" applyFont="1" applyFill="1" applyBorder="1" applyAlignment="1">
      <alignment horizontal="left" vertical="center"/>
    </xf>
    <xf numFmtId="49" fontId="24" fillId="2" borderId="0" xfId="0" applyNumberFormat="1" applyFont="1" applyFill="1" applyBorder="1" applyAlignment="1">
      <alignment horizontal="right" vertical="center" wrapText="1"/>
    </xf>
    <xf numFmtId="2" fontId="24" fillId="2" borderId="0" xfId="0" applyNumberFormat="1" applyFont="1" applyFill="1" applyBorder="1" applyAlignment="1">
      <alignment horizontal="center" vertical="center" wrapText="1"/>
    </xf>
    <xf numFmtId="0" fontId="24" fillId="2" borderId="0" xfId="0" applyNumberFormat="1" applyFont="1" applyFill="1" applyBorder="1" applyAlignment="1">
      <alignment horizontal="center" vertical="center" wrapText="1"/>
    </xf>
    <xf numFmtId="0" fontId="24" fillId="2" borderId="0" xfId="0" applyNumberFormat="1" applyFont="1" applyFill="1" applyBorder="1" applyAlignment="1">
      <alignment vertical="center" wrapText="1"/>
    </xf>
    <xf numFmtId="0" fontId="24" fillId="2" borderId="0" xfId="0" applyNumberFormat="1" applyFont="1" applyFill="1" applyBorder="1" applyAlignment="1">
      <alignment horizontal="left" vertical="center" wrapText="1"/>
    </xf>
    <xf numFmtId="1" fontId="25" fillId="2" borderId="0" xfId="0" applyNumberFormat="1" applyFont="1" applyFill="1" applyAlignment="1">
      <alignment horizontal="center" vertical="center" wrapText="1"/>
    </xf>
    <xf numFmtId="2" fontId="24" fillId="2" borderId="0" xfId="0" applyNumberFormat="1" applyFont="1" applyFill="1" applyAlignment="1">
      <alignment vertical="center"/>
    </xf>
    <xf numFmtId="2" fontId="24" fillId="2" borderId="0" xfId="0" applyNumberFormat="1" applyFont="1" applyFill="1" applyAlignment="1">
      <alignment horizontal="center" vertical="center"/>
    </xf>
    <xf numFmtId="1" fontId="2" fillId="2" borderId="7" xfId="0" applyNumberFormat="1"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NumberFormat="1" applyFont="1" applyFill="1" applyBorder="1" applyAlignment="1">
      <alignment horizontal="center" vertical="center" wrapText="1"/>
    </xf>
    <xf numFmtId="0" fontId="2" fillId="2" borderId="0" xfId="0" applyFont="1" applyFill="1" applyAlignment="1">
      <alignment vertical="center"/>
    </xf>
    <xf numFmtId="2" fontId="2" fillId="2" borderId="7" xfId="0" applyNumberFormat="1" applyFont="1" applyFill="1" applyBorder="1" applyAlignment="1">
      <alignment horizontal="left" vertical="center"/>
    </xf>
    <xf numFmtId="1" fontId="1" fillId="2" borderId="6" xfId="0" applyNumberFormat="1" applyFont="1" applyFill="1" applyBorder="1" applyAlignment="1">
      <alignment horizontal="center" vertical="center"/>
    </xf>
    <xf numFmtId="1" fontId="2" fillId="2" borderId="7" xfId="0" applyNumberFormat="1" applyFont="1" applyFill="1" applyBorder="1" applyAlignment="1">
      <alignment horizontal="center" vertical="center" wrapText="1"/>
    </xf>
    <xf numFmtId="1" fontId="1" fillId="2" borderId="6" xfId="0" applyNumberFormat="1" applyFont="1" applyFill="1" applyBorder="1" applyAlignment="1">
      <alignment horizontal="right" vertical="center"/>
    </xf>
    <xf numFmtId="2" fontId="9" fillId="2" borderId="7" xfId="0" applyNumberFormat="1" applyFont="1" applyFill="1" applyBorder="1" applyAlignment="1">
      <alignment horizontal="center" vertical="center"/>
    </xf>
    <xf numFmtId="0" fontId="16" fillId="2" borderId="7" xfId="0" applyFont="1" applyFill="1" applyBorder="1" applyAlignment="1">
      <alignment vertical="center"/>
    </xf>
    <xf numFmtId="0" fontId="2" fillId="2" borderId="12" xfId="0" applyNumberFormat="1" applyFont="1" applyFill="1" applyBorder="1" applyAlignment="1">
      <alignment horizontal="center" vertical="center" wrapText="1"/>
    </xf>
    <xf numFmtId="0" fontId="1" fillId="2" borderId="12" xfId="0" applyNumberFormat="1" applyFont="1" applyFill="1" applyBorder="1" applyAlignment="1">
      <alignment horizontal="center" vertical="center" wrapText="1"/>
    </xf>
    <xf numFmtId="0" fontId="26" fillId="0" borderId="7" xfId="0" applyFont="1" applyBorder="1" applyAlignment="1">
      <alignment horizontal="center" vertical="center" wrapText="1"/>
    </xf>
    <xf numFmtId="1" fontId="2" fillId="2" borderId="12" xfId="0" applyNumberFormat="1" applyFont="1" applyFill="1" applyBorder="1" applyAlignment="1">
      <alignment horizontal="center" vertical="center"/>
    </xf>
    <xf numFmtId="0" fontId="2" fillId="2" borderId="12" xfId="0" applyFont="1" applyFill="1" applyBorder="1" applyAlignment="1">
      <alignment horizontal="center" vertical="center"/>
    </xf>
    <xf numFmtId="0" fontId="2" fillId="2" borderId="12" xfId="0" applyNumberFormat="1" applyFont="1" applyFill="1" applyBorder="1" applyAlignment="1">
      <alignment horizontal="center" vertical="center"/>
    </xf>
    <xf numFmtId="0" fontId="2" fillId="2" borderId="12" xfId="0" applyFont="1" applyFill="1" applyBorder="1" applyAlignment="1">
      <alignment vertical="center"/>
    </xf>
    <xf numFmtId="2" fontId="2" fillId="2" borderId="12" xfId="0" applyNumberFormat="1" applyFont="1" applyFill="1" applyBorder="1" applyAlignment="1">
      <alignment horizontal="left" vertical="center"/>
    </xf>
    <xf numFmtId="1" fontId="1" fillId="2" borderId="12" xfId="0" applyNumberFormat="1" applyFont="1" applyFill="1" applyBorder="1" applyAlignment="1">
      <alignment horizontal="center" vertical="center"/>
    </xf>
    <xf numFmtId="1" fontId="2" fillId="2" borderId="12" xfId="0" applyNumberFormat="1" applyFont="1" applyFill="1" applyBorder="1" applyAlignment="1">
      <alignment horizontal="center" vertical="center" wrapText="1"/>
    </xf>
    <xf numFmtId="1" fontId="1" fillId="2" borderId="12" xfId="0" applyNumberFormat="1" applyFont="1" applyFill="1" applyBorder="1" applyAlignment="1">
      <alignment horizontal="right" vertical="center"/>
    </xf>
    <xf numFmtId="2" fontId="9" fillId="2" borderId="12" xfId="0" applyNumberFormat="1" applyFont="1" applyFill="1" applyBorder="1" applyAlignment="1">
      <alignment horizontal="center" vertical="center"/>
    </xf>
    <xf numFmtId="0" fontId="16" fillId="2" borderId="12" xfId="0" applyFont="1" applyFill="1" applyBorder="1" applyAlignment="1">
      <alignment vertical="center"/>
    </xf>
    <xf numFmtId="49" fontId="1" fillId="2" borderId="7" xfId="0" applyNumberFormat="1" applyFont="1" applyFill="1" applyBorder="1" applyAlignment="1">
      <alignment horizontal="center" vertical="center" wrapText="1"/>
    </xf>
    <xf numFmtId="0" fontId="1" fillId="2" borderId="7" xfId="0" applyNumberFormat="1" applyFont="1" applyFill="1" applyBorder="1" applyAlignment="1">
      <alignment horizontal="center" vertical="center" wrapText="1"/>
    </xf>
    <xf numFmtId="0" fontId="26" fillId="0" borderId="7"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2" fontId="1" fillId="2" borderId="7" xfId="0" applyNumberFormat="1" applyFont="1" applyFill="1" applyBorder="1" applyAlignment="1">
      <alignment horizontal="center" vertical="center" wrapText="1"/>
    </xf>
    <xf numFmtId="0" fontId="27" fillId="0" borderId="0" xfId="0" applyFont="1" applyAlignment="1">
      <alignment horizontal="center" vertical="center"/>
    </xf>
    <xf numFmtId="0" fontId="27" fillId="6" borderId="12" xfId="0" applyFont="1" applyFill="1" applyBorder="1" applyAlignment="1">
      <alignment horizontal="center" vertical="center"/>
    </xf>
    <xf numFmtId="0" fontId="27" fillId="6" borderId="12" xfId="0" applyFont="1" applyFill="1" applyBorder="1" applyAlignment="1">
      <alignment horizontal="center" vertical="center"/>
    </xf>
    <xf numFmtId="0" fontId="2" fillId="7" borderId="15" xfId="0" applyNumberFormat="1" applyFont="1" applyFill="1" applyBorder="1" applyAlignment="1">
      <alignment horizontal="center" vertical="center" wrapText="1"/>
    </xf>
    <xf numFmtId="0" fontId="1" fillId="7" borderId="5" xfId="0" applyFont="1" applyFill="1" applyBorder="1" applyAlignment="1">
      <alignment horizontal="center" vertical="center"/>
    </xf>
    <xf numFmtId="0" fontId="1" fillId="7" borderId="3" xfId="0" applyFont="1" applyFill="1" applyBorder="1" applyAlignment="1">
      <alignment horizontal="left" vertical="center"/>
    </xf>
    <xf numFmtId="2" fontId="28" fillId="7"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49" fontId="1" fillId="7" borderId="3" xfId="0" applyNumberFormat="1" applyFont="1" applyFill="1" applyBorder="1" applyAlignment="1">
      <alignment horizontal="center" vertical="center" wrapText="1"/>
    </xf>
    <xf numFmtId="0" fontId="1" fillId="7" borderId="3" xfId="0" applyNumberFormat="1" applyFont="1" applyFill="1" applyBorder="1" applyAlignment="1">
      <alignment horizontal="left" vertical="center" wrapText="1"/>
    </xf>
    <xf numFmtId="0" fontId="1" fillId="7" borderId="3" xfId="0" applyFont="1" applyFill="1" applyBorder="1" applyAlignment="1">
      <alignment horizontal="left" vertical="center" wrapText="1"/>
    </xf>
    <xf numFmtId="0" fontId="1" fillId="7" borderId="3" xfId="0" applyNumberFormat="1" applyFont="1" applyFill="1" applyBorder="1" applyAlignment="1">
      <alignment vertical="center" wrapText="1"/>
    </xf>
    <xf numFmtId="0" fontId="1" fillId="7" borderId="2" xfId="0" applyNumberFormat="1" applyFont="1" applyFill="1" applyBorder="1" applyAlignment="1">
      <alignment vertical="center" wrapText="1"/>
    </xf>
    <xf numFmtId="0" fontId="1" fillId="7" borderId="16" xfId="0" applyNumberFormat="1" applyFont="1" applyFill="1" applyBorder="1" applyAlignment="1">
      <alignment horizontal="left" vertical="center" wrapText="1"/>
    </xf>
    <xf numFmtId="0" fontId="1" fillId="7" borderId="17" xfId="0" applyNumberFormat="1" applyFont="1" applyFill="1" applyBorder="1" applyAlignment="1">
      <alignment horizontal="center" vertical="center" wrapText="1"/>
    </xf>
    <xf numFmtId="2" fontId="9" fillId="7" borderId="3" xfId="0" applyNumberFormat="1" applyFont="1" applyFill="1" applyBorder="1" applyAlignment="1">
      <alignment horizontal="left" vertical="center"/>
    </xf>
    <xf numFmtId="0" fontId="1" fillId="7" borderId="2" xfId="0" applyNumberFormat="1" applyFont="1" applyFill="1" applyBorder="1" applyAlignment="1">
      <alignment horizontal="center" vertical="center" wrapText="1"/>
    </xf>
    <xf numFmtId="1" fontId="1" fillId="7" borderId="2" xfId="0" applyNumberFormat="1" applyFont="1" applyFill="1" applyBorder="1" applyAlignment="1">
      <alignment horizontal="center" vertical="center"/>
    </xf>
    <xf numFmtId="0" fontId="1" fillId="7" borderId="4" xfId="0" applyNumberFormat="1" applyFont="1" applyFill="1" applyBorder="1" applyAlignment="1">
      <alignment vertical="center"/>
    </xf>
    <xf numFmtId="0" fontId="1" fillId="7" borderId="5" xfId="0" applyNumberFormat="1" applyFont="1" applyFill="1" applyBorder="1" applyAlignment="1">
      <alignment horizontal="left" vertical="center"/>
    </xf>
    <xf numFmtId="0" fontId="1" fillId="7" borderId="3" xfId="0" applyFont="1" applyFill="1" applyBorder="1" applyAlignment="1">
      <alignment vertical="center"/>
    </xf>
    <xf numFmtId="2" fontId="1" fillId="7" borderId="2" xfId="0" applyNumberFormat="1" applyFont="1" applyFill="1" applyBorder="1" applyAlignment="1">
      <alignment horizontal="right" vertical="center"/>
    </xf>
    <xf numFmtId="0" fontId="1" fillId="7" borderId="4" xfId="0" applyNumberFormat="1" applyFont="1" applyFill="1" applyBorder="1" applyAlignment="1">
      <alignment horizontal="left" vertical="center"/>
    </xf>
    <xf numFmtId="0" fontId="1" fillId="7" borderId="3" xfId="0" applyNumberFormat="1" applyFont="1" applyFill="1" applyBorder="1" applyAlignment="1">
      <alignment horizontal="center" vertical="center"/>
    </xf>
    <xf numFmtId="49" fontId="2" fillId="7" borderId="4" xfId="0" applyNumberFormat="1" applyFont="1" applyFill="1" applyBorder="1" applyAlignment="1">
      <alignment horizontal="right" vertical="center" wrapText="1"/>
    </xf>
    <xf numFmtId="2" fontId="2" fillId="7" borderId="4" xfId="0" applyNumberFormat="1" applyFont="1" applyFill="1" applyBorder="1" applyAlignment="1">
      <alignment horizontal="center" vertical="center" wrapText="1"/>
    </xf>
    <xf numFmtId="0" fontId="2" fillId="7" borderId="4" xfId="0" applyNumberFormat="1" applyFont="1" applyFill="1" applyBorder="1" applyAlignment="1">
      <alignment horizontal="center" vertical="center" wrapText="1"/>
    </xf>
    <xf numFmtId="0" fontId="2" fillId="7" borderId="4" xfId="0" applyNumberFormat="1" applyFont="1" applyFill="1" applyBorder="1" applyAlignment="1">
      <alignment vertical="center" wrapText="1"/>
    </xf>
    <xf numFmtId="0" fontId="2" fillId="7" borderId="5" xfId="0" applyNumberFormat="1" applyFont="1" applyFill="1" applyBorder="1" applyAlignment="1">
      <alignment horizontal="left" vertical="center" wrapText="1"/>
    </xf>
    <xf numFmtId="1" fontId="10" fillId="7" borderId="18" xfId="0" applyNumberFormat="1" applyFont="1" applyFill="1" applyBorder="1" applyAlignment="1">
      <alignment horizontal="center" vertical="center" wrapText="1"/>
    </xf>
    <xf numFmtId="49" fontId="28" fillId="7" borderId="4" xfId="0" applyNumberFormat="1" applyFont="1" applyFill="1" applyBorder="1" applyAlignment="1">
      <alignment horizontal="center" vertical="center"/>
    </xf>
    <xf numFmtId="0" fontId="1" fillId="7" borderId="18" xfId="0" applyNumberFormat="1" applyFont="1" applyFill="1" applyBorder="1" applyAlignment="1">
      <alignment horizontal="left" vertical="center" wrapText="1"/>
    </xf>
    <xf numFmtId="0" fontId="11" fillId="7" borderId="4" xfId="0" applyNumberFormat="1" applyFont="1" applyFill="1" applyBorder="1" applyAlignment="1">
      <alignment horizontal="center" vertical="center"/>
    </xf>
    <xf numFmtId="2" fontId="2" fillId="7" borderId="3" xfId="0" applyNumberFormat="1" applyFont="1" applyFill="1" applyBorder="1" applyAlignment="1">
      <alignment horizontal="left" vertical="center"/>
    </xf>
    <xf numFmtId="0" fontId="9" fillId="7" borderId="2" xfId="0" applyNumberFormat="1" applyFont="1" applyFill="1" applyBorder="1" applyAlignment="1">
      <alignment horizontal="center" vertical="center" wrapText="1"/>
    </xf>
    <xf numFmtId="1" fontId="1" fillId="7" borderId="3" xfId="0" applyNumberFormat="1" applyFont="1" applyFill="1" applyBorder="1" applyAlignment="1">
      <alignment horizontal="center" vertical="center" wrapText="1"/>
    </xf>
    <xf numFmtId="1" fontId="9" fillId="7" borderId="2" xfId="0" applyNumberFormat="1" applyFont="1" applyFill="1" applyBorder="1" applyAlignment="1">
      <alignment horizontal="center" vertical="center"/>
    </xf>
    <xf numFmtId="0" fontId="9" fillId="7" borderId="3" xfId="0" applyFont="1" applyFill="1" applyBorder="1" applyAlignment="1">
      <alignment horizontal="center" vertical="center"/>
    </xf>
    <xf numFmtId="2" fontId="9" fillId="7" borderId="3" xfId="0" applyNumberFormat="1" applyFont="1" applyFill="1" applyBorder="1" applyAlignment="1">
      <alignment horizontal="center" vertical="center"/>
    </xf>
    <xf numFmtId="1" fontId="9" fillId="7" borderId="18" xfId="0" applyNumberFormat="1" applyFont="1" applyFill="1" applyBorder="1" applyAlignment="1">
      <alignment horizontal="center" vertical="center"/>
    </xf>
    <xf numFmtId="1" fontId="1" fillId="7" borderId="4" xfId="0" applyNumberFormat="1" applyFont="1" applyFill="1" applyBorder="1" applyAlignment="1">
      <alignment horizontal="right" vertical="center"/>
    </xf>
    <xf numFmtId="0" fontId="9" fillId="7" borderId="3" xfId="0" applyFont="1" applyFill="1" applyBorder="1" applyAlignment="1">
      <alignment vertical="center"/>
    </xf>
    <xf numFmtId="1" fontId="9" fillId="7" borderId="4" xfId="0" applyNumberFormat="1" applyFont="1" applyFill="1" applyBorder="1" applyAlignment="1">
      <alignment horizontal="center" vertical="center"/>
    </xf>
    <xf numFmtId="0" fontId="2" fillId="7" borderId="0" xfId="0" applyFont="1" applyFill="1" applyAlignment="1">
      <alignment vertical="center"/>
    </xf>
    <xf numFmtId="1" fontId="1" fillId="7" borderId="15" xfId="0" applyNumberFormat="1" applyFont="1" applyFill="1" applyBorder="1" applyAlignment="1">
      <alignment horizontal="right" vertical="center"/>
    </xf>
    <xf numFmtId="2" fontId="9" fillId="7" borderId="12" xfId="0" applyNumberFormat="1" applyFont="1" applyFill="1" applyBorder="1" applyAlignment="1">
      <alignment horizontal="center" vertical="center"/>
    </xf>
    <xf numFmtId="0" fontId="16" fillId="7" borderId="12" xfId="0" applyFont="1" applyFill="1" applyBorder="1" applyAlignment="1">
      <alignment vertical="center"/>
    </xf>
    <xf numFmtId="0" fontId="2" fillId="2" borderId="15" xfId="0" applyNumberFormat="1" applyFont="1" applyFill="1" applyBorder="1" applyAlignment="1">
      <alignment horizontal="center" vertical="center" wrapText="1"/>
    </xf>
    <xf numFmtId="0" fontId="2" fillId="2" borderId="12" xfId="0" applyFont="1" applyFill="1" applyBorder="1" applyAlignment="1">
      <alignment horizontal="left" vertical="center" wrapText="1"/>
    </xf>
    <xf numFmtId="49" fontId="2" fillId="2" borderId="23" xfId="0" applyNumberFormat="1"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0" fontId="2" fillId="2" borderId="25" xfId="0" applyNumberFormat="1" applyFont="1" applyFill="1" applyBorder="1" applyAlignment="1">
      <alignment horizontal="center" vertical="center" wrapText="1"/>
    </xf>
    <xf numFmtId="0" fontId="2" fillId="2" borderId="21" xfId="0" applyNumberFormat="1" applyFont="1" applyFill="1" applyBorder="1" applyAlignment="1">
      <alignment horizontal="center" vertical="center" wrapText="1"/>
    </xf>
    <xf numFmtId="0" fontId="2" fillId="2" borderId="26" xfId="0" applyFont="1" applyFill="1" applyBorder="1" applyAlignment="1">
      <alignment horizontal="left" vertical="center" wrapText="1"/>
    </xf>
    <xf numFmtId="0" fontId="2" fillId="2" borderId="27" xfId="0" applyNumberFormat="1" applyFont="1" applyFill="1" applyBorder="1" applyAlignment="1">
      <alignment horizontal="left" vertical="center" wrapText="1"/>
    </xf>
    <xf numFmtId="2" fontId="2" fillId="2" borderId="12" xfId="0" applyNumberFormat="1" applyFont="1" applyFill="1" applyBorder="1" applyAlignment="1">
      <alignment horizontal="right" vertical="center"/>
    </xf>
    <xf numFmtId="2" fontId="2" fillId="2" borderId="15" xfId="0" applyNumberFormat="1" applyFont="1" applyFill="1" applyBorder="1" applyAlignment="1">
      <alignment horizontal="right" vertical="center"/>
    </xf>
    <xf numFmtId="2" fontId="2" fillId="2" borderId="19" xfId="0" applyNumberFormat="1" applyFont="1" applyFill="1" applyBorder="1" applyAlignment="1">
      <alignment horizontal="center" vertical="center" wrapText="1"/>
    </xf>
    <xf numFmtId="2" fontId="2" fillId="2" borderId="20" xfId="0" applyNumberFormat="1" applyFont="1" applyFill="1" applyBorder="1" applyAlignment="1">
      <alignment horizontal="center" vertical="center"/>
    </xf>
    <xf numFmtId="0" fontId="2" fillId="2" borderId="19" xfId="0" applyNumberFormat="1" applyFont="1" applyFill="1" applyBorder="1" applyAlignment="1">
      <alignment horizontal="left" vertical="center" wrapText="1"/>
    </xf>
    <xf numFmtId="2" fontId="2" fillId="2" borderId="15" xfId="0" applyNumberFormat="1" applyFont="1" applyFill="1" applyBorder="1" applyAlignment="1">
      <alignment horizontal="center" vertical="center"/>
    </xf>
    <xf numFmtId="0" fontId="2" fillId="2" borderId="15" xfId="0" applyNumberFormat="1" applyFont="1" applyFill="1" applyBorder="1" applyAlignment="1">
      <alignment vertical="center" wrapText="1"/>
    </xf>
    <xf numFmtId="0" fontId="2" fillId="2" borderId="21" xfId="0" applyNumberFormat="1" applyFont="1" applyFill="1" applyBorder="1" applyAlignment="1">
      <alignment vertical="center" wrapText="1"/>
    </xf>
    <xf numFmtId="0" fontId="2" fillId="2" borderId="22" xfId="0" applyNumberFormat="1" applyFont="1" applyFill="1" applyBorder="1" applyAlignment="1">
      <alignment horizontal="left" vertical="center" wrapText="1"/>
    </xf>
    <xf numFmtId="2" fontId="2" fillId="2" borderId="12" xfId="0" applyNumberFormat="1" applyFont="1" applyFill="1" applyBorder="1" applyAlignment="1">
      <alignment horizontal="center" vertical="center" wrapText="1"/>
    </xf>
    <xf numFmtId="0" fontId="2" fillId="2" borderId="15" xfId="0" applyNumberFormat="1" applyFont="1" applyFill="1" applyBorder="1" applyAlignment="1">
      <alignment horizontal="right" vertical="center" wrapText="1"/>
    </xf>
    <xf numFmtId="2" fontId="2" fillId="2" borderId="15" xfId="0" applyNumberFormat="1" applyFont="1" applyFill="1" applyBorder="1" applyAlignment="1">
      <alignment horizontal="center" vertical="center" wrapText="1"/>
    </xf>
    <xf numFmtId="49" fontId="2" fillId="0" borderId="15" xfId="0" applyNumberFormat="1" applyFont="1" applyBorder="1" applyAlignment="1">
      <alignment horizontal="right" vertical="center"/>
    </xf>
    <xf numFmtId="2" fontId="2" fillId="0" borderId="21" xfId="0" applyNumberFormat="1" applyFont="1" applyBorder="1" applyAlignment="1">
      <alignment horizontal="center" vertical="center"/>
    </xf>
    <xf numFmtId="49" fontId="2" fillId="2" borderId="21" xfId="0" applyNumberFormat="1" applyFont="1" applyFill="1" applyBorder="1" applyAlignment="1">
      <alignment horizontal="center" vertical="center"/>
    </xf>
    <xf numFmtId="49" fontId="2" fillId="0" borderId="21" xfId="0" applyNumberFormat="1" applyFont="1" applyBorder="1" applyAlignment="1">
      <alignment vertical="center"/>
    </xf>
    <xf numFmtId="0" fontId="2" fillId="0" borderId="22" xfId="0" applyNumberFormat="1" applyFont="1" applyBorder="1" applyAlignment="1">
      <alignment horizontal="left" vertical="center"/>
    </xf>
    <xf numFmtId="1" fontId="2" fillId="2" borderId="28" xfId="0" applyNumberFormat="1" applyFont="1" applyFill="1" applyBorder="1" applyAlignment="1">
      <alignment horizontal="center" vertical="center" wrapText="1"/>
    </xf>
    <xf numFmtId="0" fontId="2" fillId="2" borderId="21" xfId="0" applyNumberFormat="1" applyFont="1" applyFill="1" applyBorder="1" applyAlignment="1">
      <alignment horizontal="center" vertical="center"/>
    </xf>
    <xf numFmtId="1" fontId="1" fillId="2" borderId="15" xfId="0" applyNumberFormat="1" applyFont="1" applyFill="1" applyBorder="1" applyAlignment="1">
      <alignment horizontal="center" vertical="center"/>
    </xf>
    <xf numFmtId="1" fontId="1" fillId="2" borderId="19" xfId="0" applyNumberFormat="1" applyFont="1" applyFill="1" applyBorder="1" applyAlignment="1">
      <alignment horizontal="center" vertical="center"/>
    </xf>
    <xf numFmtId="0" fontId="1" fillId="2" borderId="12" xfId="0" applyFont="1" applyFill="1" applyBorder="1" applyAlignment="1">
      <alignment horizontal="center" vertical="center"/>
    </xf>
    <xf numFmtId="2" fontId="2" fillId="3" borderId="12" xfId="0" applyNumberFormat="1" applyFont="1" applyFill="1" applyBorder="1" applyAlignment="1">
      <alignment horizontal="center" vertical="center"/>
    </xf>
    <xf numFmtId="1" fontId="2" fillId="2" borderId="29" xfId="0" applyNumberFormat="1" applyFont="1" applyFill="1" applyBorder="1" applyAlignment="1">
      <alignment horizontal="center" vertical="center"/>
    </xf>
    <xf numFmtId="2" fontId="1" fillId="2" borderId="22" xfId="0" applyNumberFormat="1" applyFont="1" applyFill="1" applyBorder="1" applyAlignment="1">
      <alignment horizontal="center" vertical="center"/>
    </xf>
    <xf numFmtId="1" fontId="1" fillId="2" borderId="30" xfId="0" applyNumberFormat="1" applyFont="1" applyFill="1" applyBorder="1" applyAlignment="1">
      <alignment horizontal="center" vertical="center" wrapText="1"/>
    </xf>
    <xf numFmtId="2" fontId="2" fillId="2" borderId="12" xfId="0" applyNumberFormat="1" applyFont="1" applyFill="1" applyBorder="1" applyAlignment="1">
      <alignment horizontal="center" vertical="center"/>
    </xf>
    <xf numFmtId="1" fontId="1" fillId="2" borderId="15" xfId="0" applyNumberFormat="1" applyFont="1" applyFill="1" applyBorder="1" applyAlignment="1">
      <alignment horizontal="right" vertical="center"/>
    </xf>
    <xf numFmtId="2" fontId="1" fillId="2" borderId="12" xfId="0" applyNumberFormat="1" applyFont="1" applyFill="1" applyBorder="1" applyAlignment="1">
      <alignment horizontal="center" vertical="center"/>
    </xf>
    <xf numFmtId="0" fontId="1" fillId="7" borderId="31" xfId="0" applyNumberFormat="1" applyFont="1" applyFill="1" applyBorder="1" applyAlignment="1">
      <alignment horizontal="left" vertical="center" wrapText="1"/>
    </xf>
    <xf numFmtId="0" fontId="1" fillId="7" borderId="32" xfId="0" applyFont="1" applyFill="1" applyBorder="1" applyAlignment="1">
      <alignment horizontal="left" vertical="center" wrapText="1"/>
    </xf>
    <xf numFmtId="0" fontId="1" fillId="7" borderId="16" xfId="0" applyNumberFormat="1" applyFont="1" applyFill="1" applyBorder="1" applyAlignment="1">
      <alignment horizontal="center" vertical="center" wrapText="1"/>
    </xf>
    <xf numFmtId="0" fontId="1" fillId="7" borderId="21" xfId="0" applyNumberFormat="1" applyFont="1" applyFill="1" applyBorder="1" applyAlignment="1">
      <alignment horizontal="left" vertical="center"/>
    </xf>
    <xf numFmtId="0" fontId="1" fillId="7" borderId="5" xfId="0" applyNumberFormat="1" applyFont="1" applyFill="1" applyBorder="1" applyAlignment="1">
      <alignment horizontal="center" vertical="center"/>
    </xf>
    <xf numFmtId="0" fontId="2" fillId="2" borderId="7" xfId="0" applyFont="1" applyFill="1" applyBorder="1" applyAlignment="1">
      <alignment horizontal="left" vertical="center" wrapText="1"/>
    </xf>
    <xf numFmtId="49" fontId="2" fillId="2" borderId="33" xfId="0" applyNumberFormat="1" applyFont="1" applyFill="1" applyBorder="1" applyAlignment="1">
      <alignment horizontal="center" vertical="center" wrapText="1"/>
    </xf>
    <xf numFmtId="49" fontId="2" fillId="2" borderId="34" xfId="0" applyNumberFormat="1" applyFont="1" applyFill="1" applyBorder="1" applyAlignment="1">
      <alignment horizontal="center" vertical="center" wrapText="1"/>
    </xf>
    <xf numFmtId="0" fontId="2" fillId="2" borderId="35"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36" xfId="0" applyFont="1" applyFill="1" applyBorder="1" applyAlignment="1">
      <alignment horizontal="left" vertical="center" wrapText="1"/>
    </xf>
    <xf numFmtId="0" fontId="2" fillId="2" borderId="37" xfId="0" applyNumberFormat="1" applyFont="1" applyFill="1" applyBorder="1" applyAlignment="1">
      <alignment horizontal="left" vertical="center" wrapText="1"/>
    </xf>
    <xf numFmtId="2" fontId="2" fillId="2" borderId="7" xfId="0" applyNumberFormat="1" applyFont="1" applyFill="1" applyBorder="1" applyAlignment="1">
      <alignment horizontal="right" vertical="center"/>
    </xf>
    <xf numFmtId="2" fontId="2" fillId="2" borderId="6" xfId="0" applyNumberFormat="1" applyFont="1" applyFill="1" applyBorder="1" applyAlignment="1">
      <alignment horizontal="right" vertical="center"/>
    </xf>
    <xf numFmtId="2" fontId="2" fillId="2" borderId="8" xfId="0" applyNumberFormat="1" applyFont="1" applyFill="1" applyBorder="1" applyAlignment="1">
      <alignment horizontal="center" vertical="center" wrapText="1"/>
    </xf>
    <xf numFmtId="2" fontId="2" fillId="2" borderId="9" xfId="0" applyNumberFormat="1" applyFont="1" applyFill="1" applyBorder="1" applyAlignment="1">
      <alignment horizontal="center" vertical="center"/>
    </xf>
    <xf numFmtId="0" fontId="2" fillId="2" borderId="8" xfId="0" applyNumberFormat="1" applyFont="1" applyFill="1" applyBorder="1" applyAlignment="1">
      <alignment horizontal="left" vertical="center" wrapText="1"/>
    </xf>
    <xf numFmtId="2" fontId="2" fillId="2" borderId="6" xfId="0" applyNumberFormat="1" applyFont="1" applyFill="1" applyBorder="1" applyAlignment="1">
      <alignment horizontal="center" vertical="center"/>
    </xf>
    <xf numFmtId="0" fontId="2" fillId="2" borderId="6" xfId="0" applyNumberFormat="1" applyFont="1" applyFill="1" applyBorder="1" applyAlignment="1">
      <alignment vertical="center" wrapText="1"/>
    </xf>
    <xf numFmtId="0" fontId="2" fillId="2" borderId="10" xfId="0" applyNumberFormat="1" applyFont="1" applyFill="1" applyBorder="1" applyAlignment="1">
      <alignment vertical="center" wrapText="1"/>
    </xf>
    <xf numFmtId="0" fontId="2" fillId="2" borderId="11" xfId="0" applyNumberFormat="1" applyFont="1" applyFill="1" applyBorder="1" applyAlignment="1">
      <alignment horizontal="left" vertical="center" wrapText="1"/>
    </xf>
    <xf numFmtId="2" fontId="2" fillId="2" borderId="7" xfId="0" applyNumberFormat="1" applyFont="1" applyFill="1" applyBorder="1" applyAlignment="1">
      <alignment horizontal="center" vertical="center" wrapText="1"/>
    </xf>
    <xf numFmtId="0" fontId="2" fillId="2" borderId="6" xfId="0" applyNumberFormat="1" applyFont="1" applyFill="1" applyBorder="1" applyAlignment="1">
      <alignment horizontal="right" vertical="center" wrapText="1"/>
    </xf>
    <xf numFmtId="2" fontId="2" fillId="2" borderId="6" xfId="0" applyNumberFormat="1" applyFont="1" applyFill="1" applyBorder="1" applyAlignment="1">
      <alignment horizontal="center" vertical="center" wrapText="1"/>
    </xf>
    <xf numFmtId="49" fontId="2" fillId="0" borderId="6" xfId="0" applyNumberFormat="1" applyFont="1" applyBorder="1" applyAlignment="1">
      <alignment horizontal="right" vertical="center"/>
    </xf>
    <xf numFmtId="2" fontId="2" fillId="0" borderId="10" xfId="0" applyNumberFormat="1" applyFont="1" applyBorder="1" applyAlignment="1">
      <alignment horizontal="center" vertical="center"/>
    </xf>
    <xf numFmtId="49" fontId="2" fillId="2" borderId="10" xfId="0" applyNumberFormat="1" applyFont="1" applyFill="1" applyBorder="1" applyAlignment="1">
      <alignment horizontal="center" vertical="center"/>
    </xf>
    <xf numFmtId="49" fontId="2" fillId="0" borderId="10" xfId="0" applyNumberFormat="1" applyFont="1" applyBorder="1" applyAlignment="1">
      <alignment vertical="center"/>
    </xf>
    <xf numFmtId="0" fontId="2" fillId="0" borderId="11" xfId="0" applyNumberFormat="1" applyFont="1" applyBorder="1" applyAlignment="1">
      <alignment horizontal="left" vertical="center"/>
    </xf>
    <xf numFmtId="1" fontId="2" fillId="2" borderId="38"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xf>
    <xf numFmtId="1" fontId="1" fillId="2" borderId="8" xfId="0" applyNumberFormat="1" applyFont="1" applyFill="1" applyBorder="1" applyAlignment="1">
      <alignment horizontal="center" vertical="center"/>
    </xf>
    <xf numFmtId="0" fontId="1" fillId="2" borderId="7" xfId="0" applyFont="1" applyFill="1" applyBorder="1" applyAlignment="1">
      <alignment horizontal="center" vertical="center"/>
    </xf>
    <xf numFmtId="2" fontId="2" fillId="3" borderId="7" xfId="0" applyNumberFormat="1" applyFont="1" applyFill="1" applyBorder="1" applyAlignment="1">
      <alignment horizontal="center" vertical="center"/>
    </xf>
    <xf numFmtId="1" fontId="2" fillId="2" borderId="39" xfId="0" applyNumberFormat="1" applyFont="1" applyFill="1" applyBorder="1" applyAlignment="1">
      <alignment horizontal="center" vertical="center"/>
    </xf>
    <xf numFmtId="2" fontId="1" fillId="2" borderId="11" xfId="0" applyNumberFormat="1" applyFont="1" applyFill="1" applyBorder="1" applyAlignment="1">
      <alignment horizontal="center" vertical="center"/>
    </xf>
    <xf numFmtId="0" fontId="2" fillId="2" borderId="7" xfId="0" applyFont="1" applyFill="1" applyBorder="1" applyAlignment="1">
      <alignment vertical="center"/>
    </xf>
    <xf numFmtId="1" fontId="1" fillId="2" borderId="7" xfId="0" applyNumberFormat="1" applyFont="1" applyFill="1" applyBorder="1" applyAlignment="1">
      <alignment horizontal="center" vertical="center"/>
    </xf>
    <xf numFmtId="0" fontId="2" fillId="2" borderId="3" xfId="0" applyFont="1" applyFill="1" applyBorder="1" applyAlignment="1">
      <alignment horizontal="center" vertical="center"/>
    </xf>
    <xf numFmtId="0" fontId="29" fillId="0" borderId="2" xfId="0" applyFont="1" applyBorder="1" applyAlignment="1">
      <alignment vertical="center" wrapText="1"/>
    </xf>
    <xf numFmtId="0" fontId="29" fillId="0" borderId="4" xfId="0" applyFont="1" applyBorder="1" applyAlignment="1">
      <alignment vertical="center" wrapText="1"/>
    </xf>
    <xf numFmtId="0" fontId="2" fillId="2" borderId="3" xfId="0" applyNumberFormat="1" applyFont="1" applyFill="1" applyBorder="1" applyAlignment="1">
      <alignment horizontal="center" vertical="center" wrapText="1"/>
    </xf>
    <xf numFmtId="1" fontId="2" fillId="2" borderId="3" xfId="0" applyNumberFormat="1" applyFont="1" applyFill="1" applyBorder="1" applyAlignment="1">
      <alignment horizontal="center" vertical="center" wrapText="1"/>
    </xf>
    <xf numFmtId="1" fontId="2" fillId="2" borderId="3" xfId="0" applyNumberFormat="1" applyFont="1" applyFill="1" applyBorder="1" applyAlignment="1">
      <alignment horizontal="center" vertical="center"/>
    </xf>
    <xf numFmtId="0" fontId="2" fillId="2" borderId="3" xfId="0" applyFont="1" applyFill="1" applyBorder="1" applyAlignment="1">
      <alignment vertical="center"/>
    </xf>
    <xf numFmtId="0" fontId="7" fillId="0" borderId="0" xfId="0" applyNumberFormat="1" applyFont="1" applyAlignment="1">
      <alignment horizontal="center"/>
    </xf>
    <xf numFmtId="0" fontId="30" fillId="0" borderId="0" xfId="0" applyNumberFormat="1" applyFont="1" applyBorder="1" applyAlignment="1">
      <alignment horizontal="left"/>
    </xf>
    <xf numFmtId="2" fontId="24" fillId="0" borderId="0" xfId="0" applyNumberFormat="1" applyFont="1" applyAlignment="1"/>
    <xf numFmtId="0" fontId="3" fillId="0" borderId="0" xfId="0" applyNumberFormat="1" applyFont="1" applyBorder="1" applyAlignment="1">
      <alignment wrapText="1"/>
    </xf>
    <xf numFmtId="0" fontId="3" fillId="0" borderId="0" xfId="0" applyNumberFormat="1" applyFont="1" applyBorder="1" applyAlignment="1">
      <alignment horizontal="left" wrapText="1"/>
    </xf>
    <xf numFmtId="0" fontId="3" fillId="0" borderId="0" xfId="0" applyNumberFormat="1" applyFont="1" applyBorder="1" applyAlignment="1">
      <alignment horizontal="center" wrapText="1"/>
    </xf>
    <xf numFmtId="0" fontId="31" fillId="0" borderId="0" xfId="0" applyFont="1" applyAlignment="1">
      <alignment horizontal="center" vertical="center"/>
    </xf>
    <xf numFmtId="2" fontId="7" fillId="0" borderId="0" xfId="0" applyNumberFormat="1" applyFont="1" applyAlignment="1"/>
    <xf numFmtId="0" fontId="3" fillId="0" borderId="0" xfId="0" applyNumberFormat="1" applyFont="1" applyAlignment="1">
      <alignment horizontal="center"/>
    </xf>
    <xf numFmtId="2" fontId="24" fillId="0" borderId="0" xfId="0" quotePrefix="1" applyNumberFormat="1" applyFont="1" applyAlignment="1"/>
    <xf numFmtId="0" fontId="7" fillId="0" borderId="0" xfId="0" applyNumberFormat="1" applyFont="1" applyAlignment="1">
      <alignment wrapText="1"/>
    </xf>
    <xf numFmtId="0" fontId="7" fillId="0" borderId="0" xfId="0" applyNumberFormat="1" applyFont="1" applyBorder="1" applyAlignment="1">
      <alignment horizontal="center" wrapText="1"/>
    </xf>
    <xf numFmtId="0" fontId="7" fillId="0" borderId="0" xfId="0" applyNumberFormat="1" applyFont="1" applyAlignment="1">
      <alignment horizontal="left"/>
    </xf>
    <xf numFmtId="0" fontId="7" fillId="0" borderId="0" xfId="0" applyNumberFormat="1" applyFont="1" applyBorder="1" applyAlignment="1">
      <alignment wrapText="1"/>
    </xf>
    <xf numFmtId="0" fontId="7" fillId="0" borderId="0" xfId="0" applyNumberFormat="1" applyFont="1" applyBorder="1" applyAlignment="1">
      <alignment horizontal="left" wrapText="1"/>
    </xf>
    <xf numFmtId="2" fontId="7" fillId="2" borderId="0" xfId="0" applyNumberFormat="1" applyFont="1" applyFill="1" applyBorder="1" applyAlignment="1">
      <alignment horizontal="center" vertical="center"/>
    </xf>
    <xf numFmtId="2" fontId="3" fillId="0" borderId="0" xfId="0" applyNumberFormat="1" applyFont="1" applyAlignment="1"/>
    <xf numFmtId="0" fontId="32" fillId="2" borderId="15" xfId="0" applyNumberFormat="1" applyFont="1" applyFill="1" applyBorder="1" applyAlignment="1">
      <alignment horizontal="center" vertical="center" wrapText="1"/>
    </xf>
    <xf numFmtId="0" fontId="24" fillId="0" borderId="0" xfId="0" quotePrefix="1" applyNumberFormat="1" applyFont="1" applyBorder="1" applyAlignment="1">
      <alignment horizontal="left"/>
    </xf>
    <xf numFmtId="0" fontId="3" fillId="0" borderId="0" xfId="0" applyNumberFormat="1" applyFont="1" applyBorder="1" applyAlignment="1">
      <alignment horizontal="center" vertical="center" wrapText="1"/>
    </xf>
    <xf numFmtId="1" fontId="33" fillId="0" borderId="0" xfId="0" applyNumberFormat="1" applyFont="1" applyAlignment="1">
      <alignment horizontal="center" vertical="center" wrapText="1"/>
    </xf>
    <xf numFmtId="2" fontId="3" fillId="0" borderId="0" xfId="0" applyNumberFormat="1" applyFont="1" applyAlignment="1">
      <alignment horizontal="center" vertical="center"/>
    </xf>
    <xf numFmtId="2" fontId="6" fillId="3" borderId="12" xfId="0" applyNumberFormat="1" applyFont="1" applyFill="1" applyBorder="1" applyAlignment="1">
      <alignment horizontal="center" vertical="center"/>
    </xf>
    <xf numFmtId="1" fontId="35" fillId="2" borderId="15" xfId="0" applyNumberFormat="1" applyFont="1" applyFill="1" applyBorder="1" applyAlignment="1">
      <alignment horizontal="right" vertical="center"/>
    </xf>
    <xf numFmtId="2" fontId="34" fillId="2" borderId="12" xfId="0" applyNumberFormat="1" applyFont="1" applyFill="1" applyBorder="1" applyAlignment="1">
      <alignment horizontal="center" vertical="center"/>
    </xf>
    <xf numFmtId="0" fontId="36" fillId="2" borderId="12" xfId="0" applyFont="1" applyFill="1" applyBorder="1" applyAlignment="1">
      <alignment vertical="center"/>
    </xf>
    <xf numFmtId="0" fontId="24" fillId="2" borderId="0" xfId="0" applyFont="1" applyFill="1" applyAlignment="1">
      <alignment vertical="center"/>
    </xf>
    <xf numFmtId="0" fontId="4" fillId="0" borderId="0" xfId="0" applyNumberFormat="1" applyFont="1" applyBorder="1" applyAlignment="1">
      <alignment wrapText="1"/>
    </xf>
    <xf numFmtId="0" fontId="4" fillId="0" borderId="0" xfId="0" applyNumberFormat="1" applyFont="1" applyBorder="1" applyAlignment="1">
      <alignment horizontal="left" wrapText="1"/>
    </xf>
    <xf numFmtId="0" fontId="4" fillId="0" borderId="0" xfId="0" applyNumberFormat="1" applyFont="1" applyBorder="1" applyAlignment="1">
      <alignment horizontal="center" wrapText="1"/>
    </xf>
    <xf numFmtId="0" fontId="37" fillId="2" borderId="0" xfId="0" applyNumberFormat="1" applyFont="1" applyFill="1" applyBorder="1" applyAlignment="1">
      <alignment horizontal="center" vertical="center" wrapText="1"/>
    </xf>
    <xf numFmtId="0" fontId="7" fillId="2" borderId="0" xfId="0" applyNumberFormat="1" applyFont="1" applyFill="1" applyAlignment="1">
      <alignment horizontal="center" wrapText="1"/>
    </xf>
    <xf numFmtId="0" fontId="7" fillId="0" borderId="0" xfId="0" quotePrefix="1" applyNumberFormat="1" applyFont="1" applyBorder="1" applyAlignment="1">
      <alignment horizontal="left"/>
    </xf>
    <xf numFmtId="0" fontId="38" fillId="0" borderId="0" xfId="0" applyFont="1" applyAlignment="1">
      <alignment horizontal="center" vertical="center"/>
    </xf>
    <xf numFmtId="0" fontId="40" fillId="8" borderId="0" xfId="0" applyFont="1" applyFill="1" applyAlignment="1">
      <alignment horizontal="left" vertical="center" wrapText="1"/>
    </xf>
    <xf numFmtId="0" fontId="40" fillId="8" borderId="0" xfId="0" applyFont="1" applyFill="1" applyAlignment="1">
      <alignment vertical="center"/>
    </xf>
    <xf numFmtId="0" fontId="41" fillId="8" borderId="7" xfId="0" applyFont="1" applyFill="1" applyBorder="1" applyAlignment="1">
      <alignment horizontal="center" vertical="center"/>
    </xf>
    <xf numFmtId="0" fontId="41" fillId="8" borderId="7" xfId="0" applyNumberFormat="1" applyFont="1" applyFill="1" applyBorder="1" applyAlignment="1">
      <alignment horizontal="center" vertical="center" wrapText="1"/>
    </xf>
    <xf numFmtId="49" fontId="41" fillId="8" borderId="7" xfId="0" applyNumberFormat="1" applyFont="1" applyFill="1" applyBorder="1" applyAlignment="1">
      <alignment vertical="center"/>
    </xf>
    <xf numFmtId="0" fontId="41" fillId="8" borderId="0" xfId="0" applyFont="1" applyFill="1" applyAlignment="1">
      <alignment vertical="center" wrapText="1"/>
    </xf>
    <xf numFmtId="0" fontId="41" fillId="8" borderId="8" xfId="0" applyNumberFormat="1" applyFont="1" applyFill="1" applyBorder="1" applyAlignment="1">
      <alignment horizontal="left" vertical="center"/>
    </xf>
    <xf numFmtId="0" fontId="41" fillId="8" borderId="9" xfId="0" applyNumberFormat="1" applyFont="1" applyFill="1" applyBorder="1" applyAlignment="1">
      <alignment horizontal="center" vertical="center"/>
    </xf>
    <xf numFmtId="0" fontId="41" fillId="8" borderId="8" xfId="0" applyNumberFormat="1" applyFont="1" applyFill="1" applyBorder="1" applyAlignment="1">
      <alignment vertical="center"/>
    </xf>
    <xf numFmtId="0" fontId="41" fillId="8" borderId="10" xfId="0" applyNumberFormat="1" applyFont="1" applyFill="1" applyBorder="1" applyAlignment="1">
      <alignment vertical="center"/>
    </xf>
    <xf numFmtId="0" fontId="41" fillId="8" borderId="7" xfId="0" applyNumberFormat="1" applyFont="1" applyFill="1" applyBorder="1" applyAlignment="1">
      <alignment horizontal="left" vertical="center"/>
    </xf>
    <xf numFmtId="0" fontId="41" fillId="8" borderId="0" xfId="0" applyFont="1" applyFill="1" applyAlignment="1">
      <alignment vertical="center"/>
    </xf>
    <xf numFmtId="49" fontId="41" fillId="8" borderId="11" xfId="0" applyNumberFormat="1" applyFont="1" applyFill="1" applyBorder="1" applyAlignment="1">
      <alignment horizontal="left" vertical="center"/>
    </xf>
    <xf numFmtId="0" fontId="41" fillId="8" borderId="0" xfId="0" applyNumberFormat="1" applyFont="1" applyFill="1" applyAlignment="1">
      <alignment horizontal="center" vertical="center"/>
    </xf>
    <xf numFmtId="2" fontId="41" fillId="8" borderId="7" xfId="0" applyNumberFormat="1" applyFont="1" applyFill="1" applyBorder="1" applyAlignment="1">
      <alignment horizontal="left" vertical="center"/>
    </xf>
    <xf numFmtId="0" fontId="40" fillId="8" borderId="7" xfId="0" applyNumberFormat="1" applyFont="1" applyFill="1" applyBorder="1" applyAlignment="1">
      <alignment horizontal="center" vertical="center" wrapText="1"/>
    </xf>
    <xf numFmtId="1" fontId="40" fillId="8" borderId="6" xfId="0" applyNumberFormat="1" applyFont="1" applyFill="1" applyBorder="1" applyAlignment="1">
      <alignment horizontal="center" vertical="center"/>
    </xf>
    <xf numFmtId="1" fontId="41" fillId="8" borderId="7" xfId="0" applyNumberFormat="1" applyFont="1" applyFill="1" applyBorder="1" applyAlignment="1">
      <alignment horizontal="center" vertical="center" wrapText="1"/>
    </xf>
    <xf numFmtId="1" fontId="41" fillId="8" borderId="7" xfId="0" applyNumberFormat="1" applyFont="1" applyFill="1" applyBorder="1" applyAlignment="1">
      <alignment horizontal="center" vertical="center"/>
    </xf>
    <xf numFmtId="1" fontId="40" fillId="8" borderId="8" xfId="0" applyNumberFormat="1" applyFont="1" applyFill="1" applyBorder="1" applyAlignment="1">
      <alignment horizontal="center" vertical="center"/>
    </xf>
    <xf numFmtId="0" fontId="40" fillId="8" borderId="7" xfId="0" applyFont="1" applyFill="1" applyBorder="1" applyAlignment="1">
      <alignment horizontal="center" vertical="center"/>
    </xf>
    <xf numFmtId="2" fontId="41" fillId="8" borderId="7" xfId="0" applyNumberFormat="1" applyFont="1" applyFill="1" applyBorder="1" applyAlignment="1">
      <alignment horizontal="center" vertical="center"/>
    </xf>
    <xf numFmtId="1" fontId="41" fillId="8" borderId="12" xfId="0" applyNumberFormat="1" applyFont="1" applyFill="1" applyBorder="1" applyAlignment="1">
      <alignment horizontal="center" vertical="center"/>
    </xf>
    <xf numFmtId="2" fontId="41" fillId="8" borderId="12" xfId="0" applyNumberFormat="1" applyFont="1" applyFill="1" applyBorder="1" applyAlignment="1">
      <alignment horizontal="center" vertical="center"/>
    </xf>
    <xf numFmtId="0" fontId="42" fillId="8" borderId="0" xfId="0" applyFont="1" applyFill="1" applyAlignment="1">
      <alignment horizontal="center" vertical="center"/>
    </xf>
    <xf numFmtId="2" fontId="43" fillId="8" borderId="0" xfId="0" applyNumberFormat="1" applyFont="1" applyFill="1" applyAlignment="1"/>
    <xf numFmtId="2" fontId="44" fillId="8" borderId="0" xfId="0" applyNumberFormat="1" applyFont="1" applyFill="1" applyAlignment="1"/>
    <xf numFmtId="0" fontId="45" fillId="8" borderId="12" xfId="0" applyNumberFormat="1" applyFont="1" applyFill="1" applyBorder="1" applyAlignment="1">
      <alignment horizontal="center" vertical="center" wrapText="1"/>
    </xf>
    <xf numFmtId="0" fontId="45" fillId="8" borderId="0" xfId="0" applyFont="1" applyFill="1" applyAlignment="1">
      <alignment vertical="center" wrapText="1"/>
    </xf>
    <xf numFmtId="0" fontId="45" fillId="8" borderId="19" xfId="0" applyNumberFormat="1" applyFont="1" applyFill="1" applyBorder="1" applyAlignment="1">
      <alignment horizontal="left" vertical="center"/>
    </xf>
    <xf numFmtId="0" fontId="45" fillId="8" borderId="20" xfId="0" applyNumberFormat="1" applyFont="1" applyFill="1" applyBorder="1" applyAlignment="1">
      <alignment horizontal="center" vertical="center"/>
    </xf>
    <xf numFmtId="0" fontId="45" fillId="8" borderId="19" xfId="0" applyNumberFormat="1" applyFont="1" applyFill="1" applyBorder="1" applyAlignment="1">
      <alignment vertical="center"/>
    </xf>
    <xf numFmtId="0" fontId="45" fillId="8" borderId="21" xfId="0" applyNumberFormat="1" applyFont="1" applyFill="1" applyBorder="1" applyAlignment="1">
      <alignment vertical="center"/>
    </xf>
    <xf numFmtId="0" fontId="45" fillId="8" borderId="12" xfId="0" applyNumberFormat="1" applyFont="1" applyFill="1" applyBorder="1" applyAlignment="1">
      <alignment horizontal="left" vertical="center"/>
    </xf>
    <xf numFmtId="0" fontId="45" fillId="8" borderId="0" xfId="0" applyFont="1" applyFill="1" applyAlignment="1">
      <alignment vertical="center"/>
    </xf>
    <xf numFmtId="49" fontId="45" fillId="8" borderId="22" xfId="0" applyNumberFormat="1" applyFont="1" applyFill="1" applyBorder="1" applyAlignment="1">
      <alignment horizontal="left" vertical="center"/>
    </xf>
    <xf numFmtId="0" fontId="46" fillId="8" borderId="0" xfId="0" applyNumberFormat="1" applyFont="1" applyFill="1" applyAlignment="1">
      <alignment horizontal="center" vertical="center"/>
    </xf>
    <xf numFmtId="2" fontId="45" fillId="8" borderId="12" xfId="0" applyNumberFormat="1" applyFont="1" applyFill="1" applyBorder="1" applyAlignment="1">
      <alignment horizontal="left" vertical="center"/>
    </xf>
    <xf numFmtId="0" fontId="47" fillId="8" borderId="12" xfId="0" applyNumberFormat="1" applyFont="1" applyFill="1" applyBorder="1" applyAlignment="1">
      <alignment horizontal="center" vertical="center" wrapText="1"/>
    </xf>
    <xf numFmtId="1" fontId="47" fillId="8" borderId="15" xfId="0" applyNumberFormat="1" applyFont="1" applyFill="1" applyBorder="1" applyAlignment="1">
      <alignment horizontal="center" vertical="center"/>
    </xf>
    <xf numFmtId="1" fontId="45" fillId="8" borderId="12" xfId="0" applyNumberFormat="1" applyFont="1" applyFill="1" applyBorder="1" applyAlignment="1">
      <alignment horizontal="center" vertical="center" wrapText="1"/>
    </xf>
    <xf numFmtId="1" fontId="45" fillId="8" borderId="12" xfId="0" applyNumberFormat="1" applyFont="1" applyFill="1" applyBorder="1" applyAlignment="1">
      <alignment horizontal="center" vertical="center"/>
    </xf>
    <xf numFmtId="1" fontId="47" fillId="8" borderId="19" xfId="0" applyNumberFormat="1" applyFont="1" applyFill="1" applyBorder="1" applyAlignment="1">
      <alignment horizontal="center" vertical="center"/>
    </xf>
    <xf numFmtId="0" fontId="47" fillId="8" borderId="12" xfId="0" applyFont="1" applyFill="1" applyBorder="1" applyAlignment="1">
      <alignment horizontal="center" vertical="center"/>
    </xf>
    <xf numFmtId="2" fontId="45" fillId="8" borderId="12" xfId="0" applyNumberFormat="1" applyFont="1" applyFill="1" applyBorder="1" applyAlignment="1">
      <alignment horizontal="center" vertical="center"/>
    </xf>
    <xf numFmtId="2" fontId="41" fillId="8" borderId="22" xfId="0" applyNumberFormat="1" applyFont="1" applyFill="1" applyBorder="1" applyAlignment="1">
      <alignment horizontal="center" vertical="center"/>
    </xf>
    <xf numFmtId="1" fontId="2" fillId="2" borderId="0" xfId="0" applyNumberFormat="1" applyFont="1" applyFill="1" applyBorder="1" applyAlignment="1">
      <alignment horizontal="center" vertical="center"/>
    </xf>
    <xf numFmtId="0" fontId="41" fillId="8" borderId="0" xfId="0" applyFont="1" applyFill="1" applyBorder="1" applyAlignment="1">
      <alignment horizontal="center" vertical="center"/>
    </xf>
    <xf numFmtId="0" fontId="41" fillId="8" borderId="0" xfId="0" applyNumberFormat="1" applyFont="1" applyFill="1" applyBorder="1" applyAlignment="1">
      <alignment horizontal="center" vertical="center" wrapText="1"/>
    </xf>
    <xf numFmtId="49" fontId="41" fillId="8" borderId="0" xfId="0" applyNumberFormat="1" applyFont="1" applyFill="1" applyBorder="1" applyAlignment="1">
      <alignment vertical="center"/>
    </xf>
    <xf numFmtId="0" fontId="41" fillId="8" borderId="0" xfId="0" applyFont="1" applyFill="1" applyBorder="1" applyAlignment="1">
      <alignment vertical="center" wrapText="1"/>
    </xf>
    <xf numFmtId="0" fontId="41" fillId="8" borderId="0" xfId="0" applyNumberFormat="1" applyFont="1" applyFill="1" applyBorder="1" applyAlignment="1">
      <alignment horizontal="left" vertical="center"/>
    </xf>
    <xf numFmtId="0" fontId="41" fillId="8" borderId="0" xfId="0" applyNumberFormat="1" applyFont="1" applyFill="1" applyBorder="1" applyAlignment="1">
      <alignment horizontal="center" vertical="center"/>
    </xf>
    <xf numFmtId="0" fontId="41" fillId="8" borderId="0" xfId="0" applyNumberFormat="1" applyFont="1" applyFill="1" applyBorder="1" applyAlignment="1">
      <alignment vertical="center"/>
    </xf>
    <xf numFmtId="0" fontId="41" fillId="8" borderId="0" xfId="0" applyFont="1" applyFill="1" applyBorder="1" applyAlignment="1">
      <alignment vertical="center"/>
    </xf>
    <xf numFmtId="49" fontId="41" fillId="8" borderId="0" xfId="0" applyNumberFormat="1" applyFont="1" applyFill="1" applyBorder="1" applyAlignment="1">
      <alignment horizontal="left" vertical="center"/>
    </xf>
    <xf numFmtId="2" fontId="41" fillId="8" borderId="0" xfId="0" applyNumberFormat="1" applyFont="1" applyFill="1" applyBorder="1" applyAlignment="1">
      <alignment horizontal="left" vertical="center"/>
    </xf>
    <xf numFmtId="0" fontId="40" fillId="8" borderId="0" xfId="0" applyNumberFormat="1" applyFont="1" applyFill="1" applyBorder="1" applyAlignment="1">
      <alignment horizontal="center" vertical="center" wrapText="1"/>
    </xf>
    <xf numFmtId="1" fontId="40" fillId="8" borderId="0" xfId="0" applyNumberFormat="1" applyFont="1" applyFill="1" applyBorder="1" applyAlignment="1">
      <alignment horizontal="center" vertical="center"/>
    </xf>
    <xf numFmtId="1" fontId="41" fillId="8" borderId="0" xfId="0" applyNumberFormat="1" applyFont="1" applyFill="1" applyBorder="1" applyAlignment="1">
      <alignment horizontal="center" vertical="center" wrapText="1"/>
    </xf>
    <xf numFmtId="1" fontId="41" fillId="8" borderId="0" xfId="0" applyNumberFormat="1" applyFont="1" applyFill="1" applyBorder="1" applyAlignment="1">
      <alignment horizontal="center" vertical="center"/>
    </xf>
    <xf numFmtId="0" fontId="40" fillId="8" borderId="0" xfId="0" applyFont="1" applyFill="1" applyBorder="1" applyAlignment="1">
      <alignment horizontal="center" vertical="center"/>
    </xf>
    <xf numFmtId="0" fontId="27" fillId="0" borderId="0" xfId="0" applyFont="1" applyBorder="1" applyAlignment="1">
      <alignment horizontal="center" vertical="center"/>
    </xf>
    <xf numFmtId="0" fontId="42" fillId="8" borderId="0" xfId="0" applyFont="1" applyFill="1" applyBorder="1" applyAlignment="1">
      <alignment horizontal="center" vertical="center"/>
    </xf>
    <xf numFmtId="1" fontId="2" fillId="7" borderId="0" xfId="0" applyNumberFormat="1" applyFont="1" applyFill="1" applyBorder="1" applyAlignment="1">
      <alignment horizontal="center" vertical="center"/>
    </xf>
    <xf numFmtId="1" fontId="32" fillId="2" borderId="0" xfId="0" applyNumberFormat="1" applyFont="1" applyFill="1" applyBorder="1" applyAlignment="1">
      <alignment horizontal="center" vertical="center"/>
    </xf>
    <xf numFmtId="0" fontId="45" fillId="8" borderId="0" xfId="0" applyFont="1" applyFill="1" applyBorder="1" applyAlignment="1">
      <alignment horizontal="center" vertical="center"/>
    </xf>
    <xf numFmtId="0" fontId="45" fillId="8" borderId="0" xfId="0" applyNumberFormat="1" applyFont="1" applyFill="1" applyBorder="1" applyAlignment="1">
      <alignment horizontal="center" vertical="center" wrapText="1"/>
    </xf>
    <xf numFmtId="49" fontId="45" fillId="8" borderId="0" xfId="0" applyNumberFormat="1" applyFont="1" applyFill="1" applyBorder="1" applyAlignment="1">
      <alignment vertical="center"/>
    </xf>
    <xf numFmtId="0" fontId="39" fillId="0" borderId="0" xfId="0" applyNumberFormat="1" applyFont="1" applyBorder="1" applyAlignment="1"/>
    <xf numFmtId="0" fontId="26" fillId="0" borderId="40" xfId="0" applyFont="1" applyBorder="1" applyAlignment="1">
      <alignment horizontal="center" vertical="center" wrapText="1"/>
    </xf>
    <xf numFmtId="49" fontId="1" fillId="2" borderId="41" xfId="0" applyNumberFormat="1" applyFont="1" applyFill="1" applyBorder="1" applyAlignment="1">
      <alignment horizontal="center" vertical="center" wrapText="1"/>
    </xf>
    <xf numFmtId="0" fontId="26" fillId="0" borderId="41" xfId="0" applyFont="1" applyBorder="1" applyAlignment="1">
      <alignment horizontal="center" vertical="center" wrapText="1"/>
    </xf>
    <xf numFmtId="0" fontId="1" fillId="2" borderId="41" xfId="0" applyNumberFormat="1" applyFont="1" applyFill="1" applyBorder="1" applyAlignment="1">
      <alignment horizontal="center" vertical="center" wrapText="1"/>
    </xf>
    <xf numFmtId="0" fontId="26" fillId="0" borderId="41" xfId="0" applyFont="1" applyBorder="1" applyAlignment="1">
      <alignment horizontal="center" vertical="center" wrapText="1"/>
    </xf>
    <xf numFmtId="0" fontId="26" fillId="0" borderId="42"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44" xfId="0" applyFont="1" applyBorder="1" applyAlignment="1">
      <alignment horizontal="center" vertical="center" wrapText="1"/>
    </xf>
    <xf numFmtId="0" fontId="26" fillId="0" borderId="45"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46" xfId="0" applyFont="1" applyBorder="1" applyAlignment="1">
      <alignment horizontal="center" vertical="center" wrapText="1"/>
    </xf>
    <xf numFmtId="0" fontId="27" fillId="6" borderId="47" xfId="0" applyFont="1" applyFill="1" applyBorder="1" applyAlignment="1">
      <alignment horizontal="center" vertical="center"/>
    </xf>
    <xf numFmtId="0" fontId="27" fillId="6" borderId="48" xfId="0" applyFont="1" applyFill="1" applyBorder="1" applyAlignment="1">
      <alignment horizontal="center" vertical="center"/>
    </xf>
    <xf numFmtId="0" fontId="1" fillId="7" borderId="49" xfId="0" applyFont="1" applyFill="1" applyBorder="1" applyAlignment="1">
      <alignment horizontal="center" vertical="center"/>
    </xf>
    <xf numFmtId="1" fontId="1" fillId="7" borderId="50" xfId="0" applyNumberFormat="1" applyFont="1" applyFill="1" applyBorder="1" applyAlignment="1">
      <alignment horizontal="center" vertical="center" wrapText="1"/>
    </xf>
    <xf numFmtId="0" fontId="2" fillId="2" borderId="47" xfId="0" applyFont="1" applyFill="1" applyBorder="1" applyAlignment="1">
      <alignment horizontal="center" vertical="center"/>
    </xf>
    <xf numFmtId="1" fontId="2" fillId="2" borderId="51" xfId="0" applyNumberFormat="1" applyFont="1" applyFill="1" applyBorder="1" applyAlignment="1">
      <alignment horizontal="center" vertical="center"/>
    </xf>
    <xf numFmtId="0" fontId="2" fillId="2" borderId="45" xfId="0" applyFont="1" applyFill="1" applyBorder="1" applyAlignment="1">
      <alignment horizontal="center" vertical="center"/>
    </xf>
    <xf numFmtId="0" fontId="0" fillId="0" borderId="0" xfId="0" applyBorder="1"/>
    <xf numFmtId="0" fontId="0" fillId="0" borderId="52" xfId="0" applyBorder="1" applyAlignment="1">
      <alignment vertical="center"/>
    </xf>
    <xf numFmtId="0" fontId="2" fillId="2" borderId="49" xfId="0" applyFont="1" applyFill="1" applyBorder="1" applyAlignment="1">
      <alignment horizontal="center" vertical="center"/>
    </xf>
    <xf numFmtId="0" fontId="29" fillId="0" borderId="0" xfId="0" applyFont="1" applyBorder="1"/>
    <xf numFmtId="0" fontId="29" fillId="0" borderId="53" xfId="0" applyFont="1" applyBorder="1"/>
    <xf numFmtId="0" fontId="2" fillId="2" borderId="54"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55" xfId="0" applyFont="1" applyFill="1" applyBorder="1" applyAlignment="1">
      <alignment horizontal="left" vertical="center" wrapText="1"/>
    </xf>
    <xf numFmtId="49" fontId="2" fillId="2" borderId="56" xfId="0" applyNumberFormat="1" applyFont="1" applyFill="1" applyBorder="1" applyAlignment="1">
      <alignment horizontal="center" vertical="center" wrapText="1"/>
    </xf>
    <xf numFmtId="49" fontId="2" fillId="2" borderId="57" xfId="0" applyNumberFormat="1" applyFont="1" applyFill="1" applyBorder="1" applyAlignment="1">
      <alignment horizontal="center" vertical="center" wrapText="1"/>
    </xf>
    <xf numFmtId="0" fontId="2" fillId="2" borderId="58" xfId="0" applyNumberFormat="1" applyFont="1" applyFill="1" applyBorder="1" applyAlignment="1">
      <alignment horizontal="center" vertical="center" wrapText="1"/>
    </xf>
    <xf numFmtId="0" fontId="2" fillId="2" borderId="59" xfId="0" applyNumberFormat="1" applyFont="1" applyFill="1" applyBorder="1" applyAlignment="1">
      <alignment horizontal="center" vertical="center" wrapText="1"/>
    </xf>
    <xf numFmtId="0" fontId="2" fillId="2" borderId="60" xfId="0" applyFont="1" applyFill="1" applyBorder="1" applyAlignment="1">
      <alignment horizontal="left" vertical="center" wrapText="1"/>
    </xf>
    <xf numFmtId="0" fontId="2" fillId="2" borderId="61" xfId="0" applyNumberFormat="1" applyFont="1" applyFill="1" applyBorder="1" applyAlignment="1">
      <alignment horizontal="left" vertical="center" wrapText="1"/>
    </xf>
    <xf numFmtId="2" fontId="2" fillId="2" borderId="55" xfId="0" applyNumberFormat="1" applyFont="1" applyFill="1" applyBorder="1" applyAlignment="1">
      <alignment horizontal="right" vertical="center"/>
    </xf>
    <xf numFmtId="2" fontId="2" fillId="2" borderId="62" xfId="0" applyNumberFormat="1" applyFont="1" applyFill="1" applyBorder="1" applyAlignment="1">
      <alignment horizontal="right" vertical="center"/>
    </xf>
    <xf numFmtId="2" fontId="2" fillId="2" borderId="63" xfId="0" applyNumberFormat="1" applyFont="1" applyFill="1" applyBorder="1" applyAlignment="1">
      <alignment horizontal="center" vertical="center" wrapText="1"/>
    </xf>
    <xf numFmtId="2" fontId="2" fillId="2" borderId="64" xfId="0" applyNumberFormat="1" applyFont="1" applyFill="1" applyBorder="1" applyAlignment="1">
      <alignment horizontal="center" vertical="center"/>
    </xf>
    <xf numFmtId="0" fontId="2" fillId="2" borderId="63" xfId="0" applyNumberFormat="1" applyFont="1" applyFill="1" applyBorder="1" applyAlignment="1">
      <alignment horizontal="left" vertical="center" wrapText="1"/>
    </xf>
    <xf numFmtId="2" fontId="2" fillId="2" borderId="62" xfId="0" applyNumberFormat="1" applyFont="1" applyFill="1" applyBorder="1" applyAlignment="1">
      <alignment horizontal="center" vertical="center"/>
    </xf>
    <xf numFmtId="0" fontId="2" fillId="2" borderId="62" xfId="0" applyNumberFormat="1" applyFont="1" applyFill="1" applyBorder="1" applyAlignment="1">
      <alignment vertical="center" wrapText="1"/>
    </xf>
    <xf numFmtId="0" fontId="2" fillId="2" borderId="59" xfId="0" applyNumberFormat="1" applyFont="1" applyFill="1" applyBorder="1" applyAlignment="1">
      <alignment vertical="center" wrapText="1"/>
    </xf>
    <xf numFmtId="0" fontId="2" fillId="2" borderId="65" xfId="0" applyNumberFormat="1" applyFont="1" applyFill="1" applyBorder="1" applyAlignment="1">
      <alignment horizontal="left" vertical="center" wrapText="1"/>
    </xf>
    <xf numFmtId="2" fontId="2" fillId="2" borderId="55" xfId="0" applyNumberFormat="1" applyFont="1" applyFill="1" applyBorder="1" applyAlignment="1">
      <alignment horizontal="center" vertical="center" wrapText="1"/>
    </xf>
    <xf numFmtId="0" fontId="2" fillId="2" borderId="62" xfId="0" applyNumberFormat="1" applyFont="1" applyFill="1" applyBorder="1" applyAlignment="1">
      <alignment horizontal="right" vertical="center" wrapText="1"/>
    </xf>
    <xf numFmtId="2" fontId="2" fillId="2" borderId="62" xfId="0" applyNumberFormat="1" applyFont="1" applyFill="1" applyBorder="1" applyAlignment="1">
      <alignment horizontal="center" vertical="center" wrapText="1"/>
    </xf>
    <xf numFmtId="49" fontId="2" fillId="0" borderId="62" xfId="0" applyNumberFormat="1" applyFont="1" applyBorder="1" applyAlignment="1">
      <alignment horizontal="right" vertical="center"/>
    </xf>
    <xf numFmtId="2" fontId="2" fillId="0" borderId="59" xfId="0" applyNumberFormat="1" applyFont="1" applyBorder="1" applyAlignment="1">
      <alignment horizontal="center" vertical="center"/>
    </xf>
    <xf numFmtId="49" fontId="2" fillId="2" borderId="59" xfId="0" applyNumberFormat="1" applyFont="1" applyFill="1" applyBorder="1" applyAlignment="1">
      <alignment horizontal="center" vertical="center"/>
    </xf>
    <xf numFmtId="49" fontId="2" fillId="0" borderId="59" xfId="0" applyNumberFormat="1" applyFont="1" applyBorder="1" applyAlignment="1">
      <alignment vertical="center"/>
    </xf>
    <xf numFmtId="0" fontId="2" fillId="0" borderId="65" xfId="0" applyNumberFormat="1" applyFont="1" applyBorder="1" applyAlignment="1">
      <alignment horizontal="left" vertical="center"/>
    </xf>
    <xf numFmtId="1" fontId="2" fillId="2" borderId="66" xfId="0" applyNumberFormat="1" applyFont="1" applyFill="1" applyBorder="1" applyAlignment="1">
      <alignment horizontal="center" vertical="center" wrapText="1"/>
    </xf>
    <xf numFmtId="0" fontId="2" fillId="2" borderId="59" xfId="0" applyNumberFormat="1" applyFont="1" applyFill="1" applyBorder="1" applyAlignment="1">
      <alignment horizontal="center" vertical="center"/>
    </xf>
    <xf numFmtId="2" fontId="2" fillId="2" borderId="55" xfId="0" applyNumberFormat="1" applyFont="1" applyFill="1" applyBorder="1" applyAlignment="1">
      <alignment horizontal="left" vertical="center"/>
    </xf>
    <xf numFmtId="0" fontId="2" fillId="2" borderId="55" xfId="0" applyNumberFormat="1" applyFont="1" applyFill="1" applyBorder="1" applyAlignment="1">
      <alignment horizontal="center" vertical="center" wrapText="1"/>
    </xf>
    <xf numFmtId="1" fontId="1" fillId="2" borderId="62" xfId="0" applyNumberFormat="1" applyFont="1" applyFill="1" applyBorder="1" applyAlignment="1">
      <alignment horizontal="center" vertical="center"/>
    </xf>
    <xf numFmtId="1" fontId="2" fillId="2" borderId="55" xfId="0" applyNumberFormat="1" applyFont="1" applyFill="1" applyBorder="1" applyAlignment="1">
      <alignment horizontal="center" vertical="center" wrapText="1"/>
    </xf>
    <xf numFmtId="1" fontId="2" fillId="2" borderId="55" xfId="0" applyNumberFormat="1" applyFont="1" applyFill="1" applyBorder="1" applyAlignment="1">
      <alignment horizontal="center" vertical="center"/>
    </xf>
    <xf numFmtId="1" fontId="1" fillId="2" borderId="63" xfId="0" applyNumberFormat="1" applyFont="1" applyFill="1" applyBorder="1" applyAlignment="1">
      <alignment horizontal="center" vertical="center"/>
    </xf>
    <xf numFmtId="0" fontId="1" fillId="2" borderId="55" xfId="0" applyFont="1" applyFill="1" applyBorder="1" applyAlignment="1">
      <alignment horizontal="center" vertical="center"/>
    </xf>
    <xf numFmtId="2" fontId="2" fillId="3" borderId="55" xfId="0" applyNumberFormat="1" applyFont="1" applyFill="1" applyBorder="1" applyAlignment="1">
      <alignment horizontal="center" vertical="center"/>
    </xf>
    <xf numFmtId="1" fontId="2" fillId="2" borderId="67" xfId="0" applyNumberFormat="1" applyFont="1" applyFill="1" applyBorder="1" applyAlignment="1">
      <alignment horizontal="center" vertical="center"/>
    </xf>
    <xf numFmtId="2" fontId="1" fillId="2" borderId="65" xfId="0" applyNumberFormat="1" applyFont="1" applyFill="1" applyBorder="1" applyAlignment="1">
      <alignment horizontal="center" vertical="center"/>
    </xf>
    <xf numFmtId="0" fontId="2" fillId="2" borderId="55" xfId="0" applyFont="1" applyFill="1" applyBorder="1" applyAlignment="1">
      <alignment vertical="center"/>
    </xf>
    <xf numFmtId="1" fontId="1" fillId="2" borderId="55" xfId="0" applyNumberFormat="1" applyFont="1" applyFill="1" applyBorder="1" applyAlignment="1">
      <alignment horizontal="center" vertical="center"/>
    </xf>
    <xf numFmtId="1" fontId="1" fillId="2" borderId="68" xfId="0" applyNumberFormat="1" applyFont="1" applyFill="1" applyBorder="1" applyAlignment="1">
      <alignment horizontal="center" vertical="center" wrapText="1"/>
    </xf>
    <xf numFmtId="1" fontId="2" fillId="2" borderId="69" xfId="0" applyNumberFormat="1" applyFont="1" applyFill="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center" vertical="center"/>
    </xf>
    <xf numFmtId="1" fontId="1" fillId="2" borderId="0" xfId="0" applyNumberFormat="1" applyFont="1" applyFill="1" applyBorder="1" applyAlignment="1">
      <alignment horizontal="right" vertical="center"/>
    </xf>
    <xf numFmtId="1" fontId="1" fillId="2" borderId="0" xfId="0" applyNumberFormat="1" applyFont="1" applyFill="1" applyBorder="1" applyAlignment="1">
      <alignment horizontal="center" vertical="center"/>
    </xf>
    <xf numFmtId="0" fontId="1" fillId="2" borderId="0" xfId="0" applyFont="1" applyFill="1" applyBorder="1" applyAlignment="1">
      <alignment vertical="center" wrapText="1"/>
    </xf>
    <xf numFmtId="0" fontId="1" fillId="2" borderId="0" xfId="0" applyFont="1" applyFill="1" applyBorder="1" applyAlignment="1">
      <alignment vertical="center"/>
    </xf>
    <xf numFmtId="0" fontId="1" fillId="0" borderId="0" xfId="0" applyFont="1" applyAlignment="1">
      <alignment vertical="center" wrapText="1"/>
    </xf>
    <xf numFmtId="0" fontId="48" fillId="2" borderId="0" xfId="0" applyFont="1" applyFill="1" applyAlignment="1">
      <alignment vertical="center"/>
    </xf>
    <xf numFmtId="0" fontId="1" fillId="2" borderId="0" xfId="0" applyFont="1" applyFill="1" applyAlignment="1">
      <alignment horizontal="right" vertical="center"/>
    </xf>
    <xf numFmtId="0" fontId="2" fillId="0" borderId="0" xfId="0" applyFont="1" applyAlignment="1">
      <alignment vertical="center"/>
    </xf>
    <xf numFmtId="0" fontId="1" fillId="2" borderId="0" xfId="0" applyFont="1" applyFill="1" applyBorder="1" applyAlignment="1">
      <alignment horizontal="right" vertical="center" wrapText="1"/>
    </xf>
    <xf numFmtId="1" fontId="1" fillId="2" borderId="0" xfId="0" applyNumberFormat="1" applyFont="1" applyFill="1" applyBorder="1" applyAlignment="1">
      <alignment horizontal="center" vertical="center" wrapText="1"/>
    </xf>
    <xf numFmtId="0" fontId="2" fillId="2" borderId="0" xfId="0" applyFont="1" applyFill="1" applyBorder="1" applyAlignment="1">
      <alignment horizontal="righ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horizontal="right" vertical="center"/>
    </xf>
    <xf numFmtId="0" fontId="2" fillId="0" borderId="0" xfId="0" applyFont="1" applyAlignment="1">
      <alignment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right" vertical="center" wrapText="1"/>
    </xf>
    <xf numFmtId="2" fontId="16" fillId="2" borderId="0" xfId="0" applyNumberFormat="1" applyFont="1" applyFill="1" applyBorder="1" applyAlignment="1">
      <alignment horizontal="right" vertical="center"/>
    </xf>
    <xf numFmtId="1" fontId="28" fillId="9" borderId="0" xfId="0" applyNumberFormat="1" applyFont="1" applyFill="1" applyBorder="1" applyAlignment="1">
      <alignment horizontal="center" vertical="center" wrapText="1"/>
    </xf>
    <xf numFmtId="1" fontId="11" fillId="9" borderId="0" xfId="0" applyNumberFormat="1" applyFont="1" applyFill="1" applyBorder="1" applyAlignment="1">
      <alignment horizontal="center" vertical="center" wrapText="1"/>
    </xf>
    <xf numFmtId="0" fontId="2" fillId="2" borderId="0" xfId="0" applyFont="1" applyFill="1" applyBorder="1" applyAlignment="1">
      <alignment horizontal="left" vertical="center"/>
    </xf>
    <xf numFmtId="0" fontId="2" fillId="0" borderId="0" xfId="0" applyFont="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horizontal="center" vertical="center"/>
    </xf>
    <xf numFmtId="49" fontId="2" fillId="0" borderId="0" xfId="0" applyNumberFormat="1" applyFont="1" applyAlignment="1">
      <alignment vertical="center"/>
    </xf>
    <xf numFmtId="2" fontId="20" fillId="2" borderId="0" xfId="0" applyNumberFormat="1" applyFont="1" applyFill="1" applyBorder="1" applyAlignment="1">
      <alignment horizontal="left" vertical="center"/>
    </xf>
    <xf numFmtId="2" fontId="20" fillId="2" borderId="0" xfId="0" applyNumberFormat="1" applyFont="1" applyFill="1" applyBorder="1" applyAlignment="1">
      <alignment vertical="center"/>
    </xf>
    <xf numFmtId="2" fontId="16" fillId="0" borderId="0" xfId="0" applyNumberFormat="1" applyFont="1" applyBorder="1" applyAlignment="1">
      <alignment horizontal="right" vertical="center"/>
    </xf>
    <xf numFmtId="2" fontId="16" fillId="2" borderId="0" xfId="0" applyNumberFormat="1" applyFont="1" applyFill="1" applyAlignment="1">
      <alignment vertical="center"/>
    </xf>
    <xf numFmtId="0" fontId="2" fillId="3" borderId="0" xfId="0" applyFont="1" applyFill="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top" wrapText="1"/>
    </xf>
    <xf numFmtId="0" fontId="1" fillId="0" borderId="0" xfId="0" applyFont="1" applyAlignment="1">
      <alignment horizontal="right" vertical="center" wrapText="1"/>
    </xf>
    <xf numFmtId="0" fontId="9" fillId="2" borderId="0" xfId="0" applyFont="1" applyFill="1" applyBorder="1" applyAlignment="1">
      <alignment horizontal="center" vertical="center"/>
    </xf>
    <xf numFmtId="49" fontId="1" fillId="2" borderId="0" xfId="0" applyNumberFormat="1" applyFont="1" applyFill="1" applyBorder="1" applyAlignment="1">
      <alignment horizontal="right" vertical="center"/>
    </xf>
    <xf numFmtId="49" fontId="1" fillId="2" borderId="0" xfId="0" applyNumberFormat="1" applyFont="1" applyFill="1" applyBorder="1" applyAlignment="1">
      <alignment horizontal="left" vertical="center"/>
    </xf>
    <xf numFmtId="0" fontId="1" fillId="2" borderId="0" xfId="0" applyFont="1" applyFill="1" applyBorder="1" applyAlignment="1">
      <alignment horizontal="left" vertical="center" wrapText="1"/>
    </xf>
    <xf numFmtId="2" fontId="9" fillId="2" borderId="0" xfId="0" applyNumberFormat="1" applyFont="1" applyFill="1" applyBorder="1" applyAlignment="1">
      <alignment horizontal="center" vertical="center"/>
    </xf>
    <xf numFmtId="0" fontId="1" fillId="0" borderId="12" xfId="0" applyFont="1" applyBorder="1" applyAlignment="1">
      <alignment horizontal="center" vertical="center" wrapText="1"/>
    </xf>
    <xf numFmtId="0" fontId="1" fillId="0" borderId="12" xfId="0" applyFont="1" applyBorder="1" applyAlignment="1">
      <alignment horizontal="center" vertical="center" wrapText="1"/>
    </xf>
    <xf numFmtId="0" fontId="1" fillId="2" borderId="12" xfId="0" applyFont="1" applyFill="1" applyBorder="1" applyAlignment="1">
      <alignment horizontal="center" vertical="center" wrapText="1"/>
    </xf>
    <xf numFmtId="0" fontId="2" fillId="2" borderId="0" xfId="0" applyFont="1" applyFill="1" applyAlignment="1">
      <alignment horizontal="right" vertical="center"/>
    </xf>
    <xf numFmtId="1" fontId="23" fillId="2" borderId="12" xfId="0" applyNumberFormat="1" applyFont="1" applyFill="1" applyBorder="1" applyAlignment="1">
      <alignment horizontal="center" vertical="center" textRotation="90" wrapText="1"/>
    </xf>
    <xf numFmtId="0" fontId="2" fillId="0" borderId="12" xfId="0" applyFont="1" applyBorder="1" applyAlignment="1">
      <alignment horizontal="center" vertical="center"/>
    </xf>
    <xf numFmtId="0" fontId="2" fillId="0" borderId="12" xfId="0" applyFont="1" applyBorder="1" applyAlignment="1">
      <alignment vertical="center"/>
    </xf>
    <xf numFmtId="0" fontId="2" fillId="0" borderId="12" xfId="0" applyFont="1" applyBorder="1" applyAlignment="1">
      <alignment vertical="center" wrapText="1"/>
    </xf>
    <xf numFmtId="0" fontId="2" fillId="2" borderId="7" xfId="0" applyNumberFormat="1" applyFont="1" applyFill="1" applyBorder="1" applyAlignment="1">
      <alignment horizontal="left" vertical="center" wrapText="1"/>
    </xf>
    <xf numFmtId="49" fontId="2" fillId="2" borderId="7"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xf>
    <xf numFmtId="0" fontId="49" fillId="0" borderId="36" xfId="0" applyFont="1" applyBorder="1" applyAlignment="1">
      <alignment vertical="center" wrapText="1"/>
    </xf>
    <xf numFmtId="0" fontId="2" fillId="0" borderId="37" xfId="0" applyFont="1" applyBorder="1" applyAlignment="1">
      <alignmen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2" fontId="2" fillId="2" borderId="7" xfId="0" applyNumberFormat="1" applyFont="1" applyFill="1" applyBorder="1" applyAlignment="1">
      <alignment horizontal="center" vertical="center"/>
    </xf>
    <xf numFmtId="0" fontId="2" fillId="0" borderId="7" xfId="0" applyFont="1" applyBorder="1" applyAlignment="1">
      <alignment vertical="center"/>
    </xf>
    <xf numFmtId="0" fontId="2" fillId="2" borderId="6" xfId="0" applyFont="1" applyFill="1" applyBorder="1" applyAlignment="1">
      <alignment horizontal="right" vertical="center" wrapText="1"/>
    </xf>
    <xf numFmtId="0" fontId="2" fillId="2" borderId="11" xfId="0" applyFont="1" applyFill="1" applyBorder="1" applyAlignment="1">
      <alignment horizontal="left" vertical="center" wrapText="1"/>
    </xf>
    <xf numFmtId="0" fontId="2" fillId="0" borderId="11" xfId="0" applyFont="1" applyBorder="1" applyAlignment="1">
      <alignment horizontal="left" vertical="center"/>
    </xf>
    <xf numFmtId="0" fontId="2" fillId="0" borderId="6" xfId="0" applyFont="1" applyBorder="1" applyAlignment="1">
      <alignment horizontal="right" vertical="center"/>
    </xf>
    <xf numFmtId="0" fontId="2" fillId="0" borderId="10" xfId="0" applyFont="1" applyBorder="1" applyAlignment="1">
      <alignment horizontal="left" vertical="center"/>
    </xf>
    <xf numFmtId="0" fontId="2" fillId="0" borderId="10" xfId="0" applyFont="1" applyBorder="1" applyAlignment="1">
      <alignment vertical="center"/>
    </xf>
    <xf numFmtId="0" fontId="29" fillId="0" borderId="2" xfId="0" applyFont="1" applyBorder="1" applyAlignment="1">
      <alignment horizontal="left" vertical="center" wrapText="1"/>
    </xf>
    <xf numFmtId="0" fontId="29" fillId="0" borderId="4" xfId="0" applyFont="1" applyBorder="1" applyAlignment="1">
      <alignment horizontal="left" vertical="center" wrapText="1"/>
    </xf>
    <xf numFmtId="2" fontId="2" fillId="2" borderId="3" xfId="0" applyNumberFormat="1" applyFont="1" applyFill="1" applyBorder="1" applyAlignment="1">
      <alignment horizontal="center" vertical="center"/>
    </xf>
    <xf numFmtId="0" fontId="1" fillId="2" borderId="3" xfId="0" applyNumberFormat="1" applyFont="1" applyFill="1" applyBorder="1" applyAlignment="1">
      <alignment horizontal="center" vertical="center" wrapText="1"/>
    </xf>
    <xf numFmtId="0" fontId="2" fillId="2" borderId="12" xfId="0" applyNumberFormat="1" applyFont="1" applyFill="1" applyBorder="1" applyAlignment="1">
      <alignment horizontal="left" vertical="center" wrapText="1"/>
    </xf>
    <xf numFmtId="49" fontId="2" fillId="2" borderId="12" xfId="0" applyNumberFormat="1" applyFont="1" applyFill="1" applyBorder="1" applyAlignment="1">
      <alignment horizontal="center" vertical="center" wrapText="1"/>
    </xf>
    <xf numFmtId="0" fontId="49" fillId="0" borderId="26" xfId="0" applyFont="1" applyBorder="1" applyAlignment="1">
      <alignment vertical="center" wrapText="1"/>
    </xf>
    <xf numFmtId="0" fontId="2" fillId="0" borderId="27" xfId="0" applyFont="1" applyBorder="1" applyAlignment="1">
      <alignment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2" borderId="15" xfId="0" applyFont="1" applyFill="1" applyBorder="1" applyAlignment="1">
      <alignment horizontal="right" vertical="center" wrapText="1"/>
    </xf>
    <xf numFmtId="0" fontId="2" fillId="2" borderId="22" xfId="0" applyFont="1" applyFill="1" applyBorder="1" applyAlignment="1">
      <alignment horizontal="left" vertical="center" wrapText="1"/>
    </xf>
    <xf numFmtId="0" fontId="2" fillId="0" borderId="22" xfId="0" applyFont="1" applyBorder="1" applyAlignment="1">
      <alignment horizontal="left" vertical="center"/>
    </xf>
    <xf numFmtId="0" fontId="2" fillId="0" borderId="15" xfId="0" applyFont="1" applyBorder="1" applyAlignment="1">
      <alignment horizontal="right" vertical="center"/>
    </xf>
    <xf numFmtId="0" fontId="2" fillId="0" borderId="21" xfId="0" applyFont="1" applyBorder="1" applyAlignment="1">
      <alignment horizontal="left" vertical="center"/>
    </xf>
    <xf numFmtId="0" fontId="50" fillId="0" borderId="0" xfId="0" applyFont="1"/>
    <xf numFmtId="0" fontId="1" fillId="2" borderId="0" xfId="0" applyNumberFormat="1" applyFont="1" applyFill="1" applyBorder="1" applyAlignment="1">
      <alignment horizontal="center" vertical="center" wrapText="1"/>
    </xf>
    <xf numFmtId="0" fontId="1" fillId="2" borderId="0" xfId="0" applyNumberFormat="1" applyFont="1" applyFill="1" applyBorder="1" applyAlignment="1">
      <alignment vertical="center" wrapText="1"/>
    </xf>
    <xf numFmtId="0" fontId="1" fillId="2" borderId="0" xfId="0" applyNumberFormat="1" applyFont="1" applyFill="1" applyBorder="1" applyAlignment="1">
      <alignment horizontal="left" vertical="center" wrapText="1"/>
    </xf>
    <xf numFmtId="0" fontId="51" fillId="0" borderId="0" xfId="0" quotePrefix="1" applyFont="1"/>
    <xf numFmtId="0" fontId="2" fillId="2" borderId="0" xfId="0" applyNumberFormat="1" applyFont="1" applyFill="1" applyAlignment="1">
      <alignment horizontal="center" vertical="center" wrapText="1"/>
    </xf>
    <xf numFmtId="2" fontId="2" fillId="2" borderId="0" xfId="0" applyNumberFormat="1" applyFont="1" applyFill="1" applyAlignment="1">
      <alignment vertical="center"/>
    </xf>
    <xf numFmtId="0" fontId="2" fillId="2" borderId="0" xfId="0" applyNumberFormat="1" applyFont="1" applyFill="1" applyBorder="1" applyAlignment="1">
      <alignment horizontal="center" vertical="center" wrapText="1"/>
    </xf>
    <xf numFmtId="0" fontId="2" fillId="2" borderId="0" xfId="0" applyNumberFormat="1" applyFont="1" applyFill="1" applyBorder="1" applyAlignment="1">
      <alignment vertical="center" wrapText="1"/>
    </xf>
    <xf numFmtId="0" fontId="2" fillId="2" borderId="0" xfId="0" applyNumberFormat="1" applyFont="1" applyFill="1" applyBorder="1" applyAlignment="1">
      <alignment horizontal="left" vertical="center" wrapText="1"/>
    </xf>
    <xf numFmtId="2" fontId="2" fillId="2" borderId="0" xfId="0" applyNumberFormat="1" applyFont="1" applyFill="1" applyAlignment="1">
      <alignment horizontal="center" vertical="center"/>
    </xf>
    <xf numFmtId="0" fontId="2" fillId="2" borderId="22" xfId="0" applyFont="1" applyFill="1" applyBorder="1" applyAlignment="1">
      <alignment horizontal="center" vertical="center"/>
    </xf>
    <xf numFmtId="2" fontId="40" fillId="8" borderId="0" xfId="0" applyNumberFormat="1" applyFont="1" applyFill="1" applyBorder="1" applyAlignment="1">
      <alignment horizontal="center" vertical="center"/>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1" xfId="0" applyFont="1" applyBorder="1" applyAlignment="1">
      <alignment horizontal="center" vertical="center" wrapText="1"/>
    </xf>
    <xf numFmtId="0" fontId="1" fillId="2" borderId="41" xfId="0" applyFont="1" applyFill="1" applyBorder="1" applyAlignment="1">
      <alignment horizontal="center" vertical="center" wrapText="1"/>
    </xf>
    <xf numFmtId="0" fontId="1" fillId="0" borderId="70"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2" fillId="0" borderId="47" xfId="0" applyFont="1" applyBorder="1" applyAlignment="1">
      <alignment horizontal="center" vertical="center"/>
    </xf>
    <xf numFmtId="0" fontId="2" fillId="0" borderId="48" xfId="0" applyFont="1" applyBorder="1" applyAlignment="1">
      <alignment vertical="center"/>
    </xf>
    <xf numFmtId="0" fontId="2" fillId="0" borderId="45" xfId="0" applyFont="1" applyBorder="1" applyAlignment="1">
      <alignment horizontal="center" vertical="center"/>
    </xf>
    <xf numFmtId="0" fontId="2" fillId="2" borderId="71" xfId="0" applyNumberFormat="1" applyFont="1" applyFill="1" applyBorder="1" applyAlignment="1">
      <alignment horizontal="center" vertical="center" wrapText="1"/>
    </xf>
    <xf numFmtId="0" fontId="2" fillId="0" borderId="49" xfId="0" applyFont="1" applyBorder="1" applyAlignment="1">
      <alignment horizontal="center" vertical="center"/>
    </xf>
    <xf numFmtId="0" fontId="2" fillId="2" borderId="53" xfId="0" applyNumberFormat="1" applyFont="1" applyFill="1" applyBorder="1" applyAlignment="1">
      <alignment horizontal="center" vertical="center" wrapText="1"/>
    </xf>
    <xf numFmtId="0" fontId="2" fillId="2" borderId="48" xfId="0" applyNumberFormat="1" applyFont="1" applyFill="1" applyBorder="1" applyAlignment="1">
      <alignment horizontal="center" vertical="center" wrapText="1"/>
    </xf>
    <xf numFmtId="0" fontId="2" fillId="0" borderId="54" xfId="0" applyFont="1" applyBorder="1" applyAlignment="1">
      <alignment horizontal="center" vertical="center"/>
    </xf>
    <xf numFmtId="0" fontId="2" fillId="2" borderId="55" xfId="0" applyNumberFormat="1" applyFont="1" applyFill="1" applyBorder="1" applyAlignment="1">
      <alignment horizontal="left" vertical="center" wrapText="1"/>
    </xf>
    <xf numFmtId="49" fontId="2" fillId="2" borderId="55" xfId="0" applyNumberFormat="1" applyFont="1" applyFill="1" applyBorder="1" applyAlignment="1">
      <alignment horizontal="center" vertical="center" wrapText="1"/>
    </xf>
    <xf numFmtId="0" fontId="2" fillId="2" borderId="55" xfId="0" applyNumberFormat="1" applyFont="1" applyFill="1" applyBorder="1" applyAlignment="1">
      <alignment horizontal="center" vertical="center"/>
    </xf>
    <xf numFmtId="0" fontId="49" fillId="0" borderId="60" xfId="0" applyFont="1" applyBorder="1" applyAlignment="1">
      <alignment vertical="center" wrapText="1"/>
    </xf>
    <xf numFmtId="0" fontId="2" fillId="0" borderId="61" xfId="0" applyFont="1" applyBorder="1" applyAlignment="1">
      <alignment vertical="center" wrapText="1"/>
    </xf>
    <xf numFmtId="0" fontId="2" fillId="0" borderId="63" xfId="0" applyFont="1" applyBorder="1" applyAlignment="1">
      <alignment horizontal="center" vertical="center"/>
    </xf>
    <xf numFmtId="0" fontId="2" fillId="0" borderId="64" xfId="0" applyFont="1" applyBorder="1" applyAlignment="1">
      <alignment horizontal="center" vertical="center"/>
    </xf>
    <xf numFmtId="2" fontId="2" fillId="2" borderId="55" xfId="0" applyNumberFormat="1" applyFont="1" applyFill="1" applyBorder="1" applyAlignment="1">
      <alignment horizontal="center" vertical="center"/>
    </xf>
    <xf numFmtId="0" fontId="2" fillId="0" borderId="55" xfId="0" applyFont="1" applyBorder="1" applyAlignment="1">
      <alignment vertical="center"/>
    </xf>
    <xf numFmtId="0" fontId="2" fillId="2" borderId="62" xfId="0" applyFont="1" applyFill="1" applyBorder="1" applyAlignment="1">
      <alignment horizontal="right" vertical="center" wrapText="1"/>
    </xf>
    <xf numFmtId="0" fontId="2" fillId="2" borderId="65" xfId="0" applyFont="1" applyFill="1" applyBorder="1" applyAlignment="1">
      <alignment horizontal="left" vertical="center" wrapText="1"/>
    </xf>
    <xf numFmtId="0" fontId="2" fillId="0" borderId="65" xfId="0" applyFont="1" applyBorder="1" applyAlignment="1">
      <alignment horizontal="left" vertical="center"/>
    </xf>
    <xf numFmtId="0" fontId="2" fillId="0" borderId="62" xfId="0" applyFont="1" applyBorder="1" applyAlignment="1">
      <alignment horizontal="right" vertical="center"/>
    </xf>
    <xf numFmtId="0" fontId="2" fillId="0" borderId="59" xfId="0" applyFont="1" applyBorder="1" applyAlignment="1">
      <alignment horizontal="left" vertical="center"/>
    </xf>
    <xf numFmtId="0" fontId="2" fillId="0" borderId="72" xfId="0" applyFont="1" applyBorder="1" applyAlignment="1">
      <alignment vertical="center"/>
    </xf>
    <xf numFmtId="0" fontId="1" fillId="2" borderId="55" xfId="0" applyNumberFormat="1" applyFont="1" applyFill="1" applyBorder="1" applyAlignment="1">
      <alignment horizontal="center" vertical="center" wrapText="1"/>
    </xf>
    <xf numFmtId="0" fontId="2" fillId="2" borderId="73" xfId="0" applyNumberFormat="1" applyFont="1" applyFill="1" applyBorder="1" applyAlignment="1">
      <alignment horizontal="center" vertical="center" wrapText="1"/>
    </xf>
    <xf numFmtId="0" fontId="52" fillId="0" borderId="0" xfId="0" applyFont="1" applyAlignment="1">
      <alignment horizontal="center" vertical="center"/>
    </xf>
    <xf numFmtId="0" fontId="52" fillId="2" borderId="0" xfId="0" applyNumberFormat="1" applyFont="1" applyFill="1" applyBorder="1" applyAlignment="1">
      <alignment horizontal="center" vertical="center" wrapText="1"/>
    </xf>
  </cellXfs>
  <cellStyles count="1">
    <cellStyle name="Normal" xfId="0" builtinId="0"/>
  </cellStyles>
  <dxfs count="442">
    <dxf>
      <fill>
        <patternFill>
          <bgColor indexed="15"/>
        </patternFill>
      </fill>
    </dxf>
    <dxf>
      <fill>
        <patternFill>
          <bgColor indexed="52"/>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ill>
        <patternFill>
          <bgColor indexed="42"/>
        </patternFill>
      </fill>
    </dxf>
    <dxf>
      <fill>
        <patternFill>
          <bgColor indexed="42"/>
        </patternFill>
      </fill>
    </dxf>
    <dxf>
      <font>
        <b/>
        <i val="0"/>
        <condense val="0"/>
        <extend val="0"/>
        <color indexed="34"/>
      </font>
      <fill>
        <patternFill>
          <bgColor indexed="23"/>
        </patternFill>
      </fill>
    </dxf>
    <dxf>
      <font>
        <b/>
        <i val="0"/>
        <condense val="0"/>
        <extend val="0"/>
        <color indexed="9"/>
      </font>
      <fill>
        <patternFill>
          <bgColor indexed="16"/>
        </patternFill>
      </fill>
    </dxf>
    <dxf>
      <fill>
        <patternFill>
          <bgColor indexed="51"/>
        </patternFill>
      </fill>
    </dxf>
    <dxf>
      <fill>
        <patternFill>
          <bgColor indexed="13"/>
        </patternFill>
      </fill>
    </dxf>
    <dxf>
      <fill>
        <patternFill>
          <bgColor indexed="15"/>
        </patternFill>
      </fill>
    </dxf>
    <dxf>
      <fill>
        <patternFill>
          <bgColor indexed="13"/>
        </patternFill>
      </fill>
    </dxf>
    <dxf>
      <fill>
        <patternFill>
          <bgColor indexed="51"/>
        </patternFill>
      </fill>
    </dxf>
    <dxf>
      <font>
        <b/>
        <i val="0"/>
        <condense val="0"/>
        <extend val="0"/>
        <color indexed="13"/>
      </font>
      <fill>
        <patternFill>
          <bgColor indexed="14"/>
        </patternFill>
      </fill>
    </dxf>
    <dxf>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ill>
        <patternFill>
          <bgColor indexed="13"/>
        </patternFill>
      </fill>
    </dxf>
    <dxf>
      <fill>
        <patternFill>
          <bgColor indexed="15"/>
        </patternFill>
      </fill>
    </dxf>
    <dxf>
      <fill>
        <patternFill>
          <bgColor indexed="42"/>
        </patternFill>
      </fill>
    </dxf>
    <dxf>
      <fill>
        <patternFill>
          <bgColor indexed="13"/>
        </patternFill>
      </fill>
    </dxf>
    <dxf>
      <fill>
        <patternFill>
          <bgColor indexed="51"/>
        </patternFill>
      </fill>
    </dxf>
    <dxf>
      <fill>
        <patternFill>
          <bgColor indexed="2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ill>
        <patternFill>
          <bgColor indexed="26"/>
        </patternFill>
      </fill>
    </dxf>
    <dxf>
      <font>
        <b/>
        <i val="0"/>
        <condense val="0"/>
        <extend val="0"/>
        <color indexed="13"/>
      </font>
      <fill>
        <patternFill>
          <bgColor indexed="14"/>
        </patternFill>
      </fill>
    </dxf>
    <dxf>
      <fill>
        <patternFill>
          <bgColor indexed="9"/>
        </patternFill>
      </fill>
    </dxf>
    <dxf>
      <fill>
        <patternFill>
          <bgColor indexed="22"/>
        </patternFill>
      </fill>
    </dxf>
    <dxf>
      <fill>
        <patternFill>
          <bgColor indexed="46"/>
        </patternFill>
      </fill>
    </dxf>
    <dxf>
      <fill>
        <patternFill>
          <bgColor indexed="22"/>
        </patternFill>
      </fill>
    </dxf>
    <dxf>
      <fill>
        <patternFill>
          <bgColor indexed="51"/>
        </patternFill>
      </fill>
    </dxf>
    <dxf>
      <font>
        <b val="0"/>
        <i val="0"/>
        <condense val="0"/>
        <extend val="0"/>
      </font>
      <fill>
        <patternFill>
          <bgColor indexed="5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ill>
        <patternFill>
          <bgColor indexed="22"/>
        </patternFill>
      </fill>
    </dxf>
    <dxf>
      <fill>
        <patternFill>
          <bgColor indexed="51"/>
        </patternFill>
      </fill>
    </dxf>
    <dxf>
      <font>
        <b val="0"/>
        <i val="0"/>
        <condense val="0"/>
        <extend val="0"/>
      </font>
      <fill>
        <patternFill>
          <bgColor indexed="52"/>
        </patternFill>
      </fill>
    </dxf>
    <dxf>
      <fill>
        <patternFill>
          <bgColor indexed="42"/>
        </patternFill>
      </fill>
    </dxf>
    <dxf>
      <fill>
        <patternFill>
          <bgColor indexed="42"/>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13"/>
        </patternFill>
      </fill>
    </dxf>
    <dxf>
      <fill>
        <patternFill>
          <bgColor indexed="51"/>
        </patternFill>
      </fill>
    </dxf>
    <dxf>
      <fill>
        <patternFill>
          <bgColor indexed="41"/>
        </patternFill>
      </fill>
    </dxf>
    <dxf>
      <fill>
        <patternFill>
          <bgColor indexed="15"/>
        </patternFill>
      </fill>
    </dxf>
    <dxf>
      <fill>
        <patternFill>
          <bgColor indexed="51"/>
        </patternFill>
      </fill>
    </dxf>
    <dxf>
      <fill>
        <patternFill>
          <bgColor indexed="22"/>
        </patternFill>
      </fill>
    </dxf>
    <dxf>
      <fill>
        <patternFill>
          <bgColor indexed="42"/>
        </patternFill>
      </fill>
    </dxf>
    <dxf>
      <fill>
        <patternFill>
          <bgColor indexed="11"/>
        </patternFill>
      </fill>
    </dxf>
    <dxf>
      <font>
        <condense val="0"/>
        <extend val="0"/>
        <color indexed="9"/>
      </font>
      <fill>
        <patternFill>
          <bgColor indexed="17"/>
        </patternFill>
      </fill>
    </dxf>
    <dxf>
      <fill>
        <patternFill>
          <fgColor indexed="46"/>
          <bgColor indexed="42"/>
        </patternFill>
      </fill>
    </dxf>
    <dxf>
      <fill>
        <patternFill>
          <bgColor indexed="47"/>
        </patternFill>
      </fill>
    </dxf>
    <dxf>
      <font>
        <b/>
        <i val="0"/>
        <condense val="0"/>
        <extend val="0"/>
        <color indexed="13"/>
      </font>
      <fill>
        <patternFill>
          <bgColor indexed="14"/>
        </patternFill>
      </fill>
    </dxf>
    <dxf>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ill>
        <patternFill>
          <bgColor indexed="13"/>
        </patternFill>
      </fill>
    </dxf>
    <dxf>
      <fill>
        <patternFill>
          <bgColor indexed="15"/>
        </patternFill>
      </fill>
    </dxf>
    <dxf>
      <fill>
        <patternFill>
          <bgColor indexed="42"/>
        </patternFill>
      </fill>
    </dxf>
    <dxf>
      <fill>
        <patternFill>
          <bgColor indexed="13"/>
        </patternFill>
      </fill>
    </dxf>
    <dxf>
      <fill>
        <patternFill>
          <bgColor indexed="51"/>
        </patternFill>
      </fill>
    </dxf>
    <dxf>
      <fill>
        <patternFill>
          <bgColor indexed="2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ill>
        <patternFill>
          <bgColor indexed="26"/>
        </patternFill>
      </fill>
    </dxf>
    <dxf>
      <font>
        <b/>
        <i val="0"/>
        <condense val="0"/>
        <extend val="0"/>
        <color indexed="13"/>
      </font>
      <fill>
        <patternFill>
          <bgColor indexed="14"/>
        </patternFill>
      </fill>
    </dxf>
    <dxf>
      <fill>
        <patternFill>
          <bgColor indexed="9"/>
        </patternFill>
      </fill>
    </dxf>
    <dxf>
      <fill>
        <patternFill>
          <bgColor indexed="22"/>
        </patternFill>
      </fill>
    </dxf>
    <dxf>
      <fill>
        <patternFill>
          <bgColor indexed="46"/>
        </patternFill>
      </fill>
    </dxf>
    <dxf>
      <fill>
        <patternFill>
          <bgColor indexed="22"/>
        </patternFill>
      </fill>
    </dxf>
    <dxf>
      <fill>
        <patternFill>
          <bgColor indexed="51"/>
        </patternFill>
      </fill>
    </dxf>
    <dxf>
      <font>
        <b val="0"/>
        <i val="0"/>
        <condense val="0"/>
        <extend val="0"/>
      </font>
      <fill>
        <patternFill>
          <bgColor indexed="5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ill>
        <patternFill>
          <bgColor indexed="22"/>
        </patternFill>
      </fill>
    </dxf>
    <dxf>
      <fill>
        <patternFill>
          <bgColor indexed="51"/>
        </patternFill>
      </fill>
    </dxf>
    <dxf>
      <font>
        <b val="0"/>
        <i val="0"/>
        <condense val="0"/>
        <extend val="0"/>
      </font>
      <fill>
        <patternFill>
          <bgColor indexed="52"/>
        </patternFill>
      </fill>
    </dxf>
    <dxf>
      <fill>
        <patternFill>
          <bgColor indexed="47"/>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41"/>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ill>
        <patternFill>
          <bgColor indexed="51"/>
        </patternFill>
      </fill>
    </dxf>
    <dxf>
      <fill>
        <patternFill>
          <bgColor indexed="13"/>
        </patternFill>
      </fill>
    </dxf>
    <dxf>
      <fill>
        <patternFill>
          <bgColor indexed="15"/>
        </patternFill>
      </fill>
    </dxf>
    <dxf>
      <fill>
        <patternFill>
          <bgColor indexed="13"/>
        </patternFill>
      </fill>
    </dxf>
    <dxf>
      <fill>
        <patternFill>
          <bgColor indexed="51"/>
        </patternFill>
      </fill>
    </dxf>
    <dxf>
      <font>
        <b/>
        <i val="0"/>
        <condense val="0"/>
        <extend val="0"/>
        <color indexed="13"/>
      </font>
      <fill>
        <patternFill>
          <bgColor indexed="14"/>
        </patternFill>
      </fill>
    </dxf>
    <dxf>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ill>
        <patternFill>
          <bgColor indexed="13"/>
        </patternFill>
      </fill>
    </dxf>
    <dxf>
      <fill>
        <patternFill>
          <bgColor indexed="15"/>
        </patternFill>
      </fill>
    </dxf>
    <dxf>
      <fill>
        <patternFill>
          <bgColor indexed="42"/>
        </patternFill>
      </fill>
    </dxf>
    <dxf>
      <fill>
        <patternFill>
          <bgColor indexed="13"/>
        </patternFill>
      </fill>
    </dxf>
    <dxf>
      <fill>
        <patternFill>
          <bgColor indexed="51"/>
        </patternFill>
      </fill>
    </dxf>
    <dxf>
      <fill>
        <patternFill>
          <bgColor indexed="2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ill>
        <patternFill>
          <bgColor indexed="26"/>
        </patternFill>
      </fill>
    </dxf>
    <dxf>
      <font>
        <b/>
        <i val="0"/>
        <condense val="0"/>
        <extend val="0"/>
        <color indexed="13"/>
      </font>
      <fill>
        <patternFill>
          <bgColor indexed="14"/>
        </patternFill>
      </fill>
    </dxf>
    <dxf>
      <fill>
        <patternFill>
          <bgColor indexed="9"/>
        </patternFill>
      </fill>
    </dxf>
    <dxf>
      <fill>
        <patternFill>
          <bgColor indexed="22"/>
        </patternFill>
      </fill>
    </dxf>
    <dxf>
      <fill>
        <patternFill>
          <bgColor indexed="46"/>
        </patternFill>
      </fill>
    </dxf>
    <dxf>
      <fill>
        <patternFill>
          <bgColor indexed="22"/>
        </patternFill>
      </fill>
    </dxf>
    <dxf>
      <fill>
        <patternFill>
          <bgColor indexed="51"/>
        </patternFill>
      </fill>
    </dxf>
    <dxf>
      <font>
        <b val="0"/>
        <i val="0"/>
        <condense val="0"/>
        <extend val="0"/>
      </font>
      <fill>
        <patternFill>
          <bgColor indexed="5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ill>
        <patternFill>
          <bgColor indexed="22"/>
        </patternFill>
      </fill>
    </dxf>
    <dxf>
      <fill>
        <patternFill>
          <bgColor indexed="51"/>
        </patternFill>
      </fill>
    </dxf>
    <dxf>
      <font>
        <b val="0"/>
        <i val="0"/>
        <condense val="0"/>
        <extend val="0"/>
      </font>
      <fill>
        <patternFill>
          <bgColor indexed="52"/>
        </patternFill>
      </fill>
    </dxf>
    <dxf>
      <fill>
        <patternFill>
          <bgColor indexed="42"/>
        </patternFill>
      </fill>
    </dxf>
    <dxf>
      <fill>
        <patternFill>
          <bgColor indexed="42"/>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13"/>
        </patternFill>
      </fill>
    </dxf>
    <dxf>
      <fill>
        <patternFill>
          <bgColor indexed="51"/>
        </patternFill>
      </fill>
    </dxf>
    <dxf>
      <fill>
        <patternFill>
          <bgColor indexed="42"/>
        </patternFill>
      </fill>
    </dxf>
    <dxf>
      <fill>
        <patternFill>
          <bgColor indexed="42"/>
        </patternFill>
      </fill>
    </dxf>
    <dxf>
      <font>
        <b/>
        <i val="0"/>
        <condense val="0"/>
        <extend val="0"/>
        <color indexed="34"/>
      </font>
      <fill>
        <patternFill>
          <bgColor indexed="23"/>
        </patternFill>
      </fill>
    </dxf>
    <dxf>
      <font>
        <b/>
        <i val="0"/>
        <condense val="0"/>
        <extend val="0"/>
        <color indexed="9"/>
      </font>
      <fill>
        <patternFill>
          <bgColor indexed="16"/>
        </patternFill>
      </fill>
    </dxf>
    <dxf>
      <fill>
        <patternFill>
          <bgColor indexed="51"/>
        </patternFill>
      </fill>
    </dxf>
    <dxf>
      <fill>
        <patternFill>
          <bgColor indexed="13"/>
        </patternFill>
      </fill>
    </dxf>
    <dxf>
      <fill>
        <patternFill>
          <bgColor indexed="15"/>
        </patternFill>
      </fill>
    </dxf>
    <dxf>
      <fill>
        <patternFill>
          <bgColor indexed="13"/>
        </patternFill>
      </fill>
    </dxf>
    <dxf>
      <fill>
        <patternFill>
          <bgColor indexed="51"/>
        </patternFill>
      </fill>
    </dxf>
    <dxf>
      <font>
        <b/>
        <i val="0"/>
        <condense val="0"/>
        <extend val="0"/>
        <color indexed="13"/>
      </font>
      <fill>
        <patternFill>
          <bgColor indexed="14"/>
        </patternFill>
      </fill>
    </dxf>
    <dxf>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ill>
        <patternFill>
          <bgColor indexed="13"/>
        </patternFill>
      </fill>
    </dxf>
    <dxf>
      <fill>
        <patternFill>
          <bgColor indexed="15"/>
        </patternFill>
      </fill>
    </dxf>
    <dxf>
      <fill>
        <patternFill>
          <bgColor indexed="42"/>
        </patternFill>
      </fill>
    </dxf>
    <dxf>
      <fill>
        <patternFill>
          <bgColor indexed="13"/>
        </patternFill>
      </fill>
    </dxf>
    <dxf>
      <fill>
        <patternFill>
          <bgColor indexed="51"/>
        </patternFill>
      </fill>
    </dxf>
    <dxf>
      <fill>
        <patternFill>
          <bgColor indexed="2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ill>
        <patternFill>
          <bgColor indexed="26"/>
        </patternFill>
      </fill>
    </dxf>
    <dxf>
      <font>
        <b/>
        <i val="0"/>
        <condense val="0"/>
        <extend val="0"/>
        <color indexed="13"/>
      </font>
      <fill>
        <patternFill>
          <bgColor indexed="14"/>
        </patternFill>
      </fill>
    </dxf>
    <dxf>
      <fill>
        <patternFill>
          <bgColor indexed="9"/>
        </patternFill>
      </fill>
    </dxf>
    <dxf>
      <fill>
        <patternFill>
          <bgColor indexed="22"/>
        </patternFill>
      </fill>
    </dxf>
    <dxf>
      <fill>
        <patternFill>
          <bgColor indexed="46"/>
        </patternFill>
      </fill>
    </dxf>
    <dxf>
      <fill>
        <patternFill>
          <bgColor indexed="22"/>
        </patternFill>
      </fill>
    </dxf>
    <dxf>
      <fill>
        <patternFill>
          <bgColor indexed="51"/>
        </patternFill>
      </fill>
    </dxf>
    <dxf>
      <font>
        <b val="0"/>
        <i val="0"/>
        <condense val="0"/>
        <extend val="0"/>
      </font>
      <fill>
        <patternFill>
          <bgColor indexed="5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ill>
        <patternFill>
          <bgColor indexed="22"/>
        </patternFill>
      </fill>
    </dxf>
    <dxf>
      <fill>
        <patternFill>
          <bgColor indexed="51"/>
        </patternFill>
      </fill>
    </dxf>
    <dxf>
      <font>
        <b val="0"/>
        <i val="0"/>
        <condense val="0"/>
        <extend val="0"/>
      </font>
      <fill>
        <patternFill>
          <bgColor indexed="52"/>
        </patternFill>
      </fill>
    </dxf>
    <dxf>
      <fill>
        <patternFill>
          <bgColor indexed="51"/>
        </patternFill>
      </fill>
    </dxf>
    <dxf>
      <fill>
        <patternFill>
          <bgColor indexed="13"/>
        </patternFill>
      </fill>
    </dxf>
    <dxf>
      <fill>
        <patternFill>
          <bgColor indexed="15"/>
        </patternFill>
      </fill>
    </dxf>
    <dxf>
      <fill>
        <patternFill>
          <bgColor indexed="13"/>
        </patternFill>
      </fill>
    </dxf>
    <dxf>
      <fill>
        <patternFill>
          <bgColor indexed="51"/>
        </patternFill>
      </fill>
    </dxf>
    <dxf>
      <font>
        <b/>
        <i val="0"/>
        <condense val="0"/>
        <extend val="0"/>
        <color indexed="13"/>
      </font>
      <fill>
        <patternFill>
          <bgColor indexed="14"/>
        </patternFill>
      </fill>
    </dxf>
    <dxf>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ill>
        <patternFill>
          <bgColor indexed="13"/>
        </patternFill>
      </fill>
    </dxf>
    <dxf>
      <fill>
        <patternFill>
          <bgColor indexed="15"/>
        </patternFill>
      </fill>
    </dxf>
    <dxf>
      <fill>
        <patternFill>
          <bgColor indexed="42"/>
        </patternFill>
      </fill>
    </dxf>
    <dxf>
      <fill>
        <patternFill>
          <bgColor indexed="13"/>
        </patternFill>
      </fill>
    </dxf>
    <dxf>
      <fill>
        <patternFill>
          <bgColor indexed="51"/>
        </patternFill>
      </fill>
    </dxf>
    <dxf>
      <fill>
        <patternFill>
          <bgColor indexed="2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ill>
        <patternFill>
          <bgColor indexed="26"/>
        </patternFill>
      </fill>
    </dxf>
    <dxf>
      <font>
        <b/>
        <i val="0"/>
        <condense val="0"/>
        <extend val="0"/>
        <color indexed="13"/>
      </font>
      <fill>
        <patternFill>
          <bgColor indexed="14"/>
        </patternFill>
      </fill>
    </dxf>
    <dxf>
      <fill>
        <patternFill>
          <bgColor indexed="9"/>
        </patternFill>
      </fill>
    </dxf>
    <dxf>
      <fill>
        <patternFill>
          <bgColor indexed="22"/>
        </patternFill>
      </fill>
    </dxf>
    <dxf>
      <fill>
        <patternFill>
          <bgColor indexed="46"/>
        </patternFill>
      </fill>
    </dxf>
    <dxf>
      <fill>
        <patternFill>
          <bgColor indexed="22"/>
        </patternFill>
      </fill>
    </dxf>
    <dxf>
      <fill>
        <patternFill>
          <bgColor indexed="51"/>
        </patternFill>
      </fill>
    </dxf>
    <dxf>
      <font>
        <b val="0"/>
        <i val="0"/>
        <condense val="0"/>
        <extend val="0"/>
      </font>
      <fill>
        <patternFill>
          <bgColor indexed="5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ill>
        <patternFill>
          <bgColor indexed="22"/>
        </patternFill>
      </fill>
    </dxf>
    <dxf>
      <fill>
        <patternFill>
          <bgColor indexed="51"/>
        </patternFill>
      </fill>
    </dxf>
    <dxf>
      <font>
        <b val="0"/>
        <i val="0"/>
        <condense val="0"/>
        <extend val="0"/>
      </font>
      <fill>
        <patternFill>
          <bgColor indexed="52"/>
        </patternFill>
      </fill>
    </dxf>
    <dxf>
      <fill>
        <patternFill>
          <bgColor indexed="15"/>
        </patternFill>
      </fill>
    </dxf>
    <dxf>
      <fill>
        <patternFill>
          <bgColor indexed="52"/>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13"/>
        </patternFill>
      </fill>
    </dxf>
    <dxf>
      <fill>
        <patternFill>
          <bgColor indexed="51"/>
        </patternFill>
      </fill>
    </dxf>
    <dxf>
      <font>
        <b/>
        <i val="0"/>
        <condense val="0"/>
        <extend val="0"/>
        <color indexed="34"/>
      </font>
      <fill>
        <patternFill>
          <bgColor indexed="23"/>
        </patternFill>
      </fill>
    </dxf>
    <dxf>
      <font>
        <b/>
        <i val="0"/>
        <condense val="0"/>
        <extend val="0"/>
        <color indexed="9"/>
      </font>
      <fill>
        <patternFill>
          <bgColor indexed="16"/>
        </patternFill>
      </fill>
    </dxf>
    <dxf>
      <fill>
        <patternFill>
          <bgColor indexed="42"/>
        </patternFill>
      </fill>
    </dxf>
    <dxf>
      <fill>
        <patternFill>
          <bgColor indexed="41"/>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ill>
        <patternFill>
          <bgColor indexed="42"/>
        </patternFill>
      </fill>
    </dxf>
    <dxf>
      <fill>
        <patternFill>
          <bgColor indexed="42"/>
        </patternFill>
      </fill>
    </dxf>
    <dxf>
      <fill>
        <patternFill>
          <bgColor indexed="42"/>
        </patternFill>
      </fill>
    </dxf>
    <dxf>
      <fill>
        <patternFill>
          <bgColor indexed="13"/>
        </patternFill>
      </fill>
    </dxf>
    <dxf>
      <fill>
        <patternFill>
          <bgColor indexed="15"/>
        </patternFill>
      </fill>
    </dxf>
    <dxf>
      <fill>
        <patternFill>
          <bgColor indexed="22"/>
        </patternFill>
      </fill>
    </dxf>
    <dxf>
      <fill>
        <patternFill>
          <bgColor indexed="42"/>
        </patternFill>
      </fill>
    </dxf>
    <dxf>
      <fill>
        <patternFill>
          <bgColor indexed="11"/>
        </patternFill>
      </fill>
    </dxf>
    <dxf>
      <font>
        <condense val="0"/>
        <extend val="0"/>
        <color indexed="9"/>
      </font>
      <fill>
        <patternFill>
          <bgColor indexed="17"/>
        </patternFill>
      </fill>
    </dxf>
    <dxf>
      <fill>
        <patternFill>
          <fgColor indexed="46"/>
          <bgColor indexed="42"/>
        </patternFill>
      </fill>
    </dxf>
    <dxf>
      <fill>
        <patternFill>
          <bgColor indexed="47"/>
        </patternFill>
      </fill>
    </dxf>
    <dxf>
      <fill>
        <patternFill>
          <bgColor indexed="51"/>
        </patternFill>
      </fill>
    </dxf>
    <dxf>
      <fill>
        <patternFill>
          <bgColor indexed="13"/>
        </patternFill>
      </fill>
    </dxf>
    <dxf>
      <fill>
        <patternFill>
          <bgColor indexed="15"/>
        </patternFill>
      </fill>
    </dxf>
    <dxf>
      <fill>
        <patternFill>
          <bgColor indexed="13"/>
        </patternFill>
      </fill>
    </dxf>
    <dxf>
      <fill>
        <patternFill>
          <bgColor indexed="51"/>
        </patternFill>
      </fill>
    </dxf>
    <dxf>
      <font>
        <b/>
        <i val="0"/>
        <condense val="0"/>
        <extend val="0"/>
        <color indexed="13"/>
      </font>
      <fill>
        <patternFill>
          <bgColor indexed="14"/>
        </patternFill>
      </fill>
    </dxf>
    <dxf>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ill>
        <patternFill>
          <bgColor indexed="13"/>
        </patternFill>
      </fill>
    </dxf>
    <dxf>
      <fill>
        <patternFill>
          <bgColor indexed="15"/>
        </patternFill>
      </fill>
    </dxf>
    <dxf>
      <fill>
        <patternFill>
          <bgColor indexed="42"/>
        </patternFill>
      </fill>
    </dxf>
    <dxf>
      <fill>
        <patternFill>
          <bgColor indexed="13"/>
        </patternFill>
      </fill>
    </dxf>
    <dxf>
      <fill>
        <patternFill>
          <bgColor indexed="51"/>
        </patternFill>
      </fill>
    </dxf>
    <dxf>
      <fill>
        <patternFill>
          <bgColor indexed="2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ill>
        <patternFill>
          <bgColor indexed="26"/>
        </patternFill>
      </fill>
    </dxf>
    <dxf>
      <font>
        <b/>
        <i val="0"/>
        <condense val="0"/>
        <extend val="0"/>
        <color indexed="13"/>
      </font>
      <fill>
        <patternFill>
          <bgColor indexed="14"/>
        </patternFill>
      </fill>
    </dxf>
    <dxf>
      <fill>
        <patternFill>
          <bgColor indexed="9"/>
        </patternFill>
      </fill>
    </dxf>
    <dxf>
      <fill>
        <patternFill>
          <bgColor indexed="22"/>
        </patternFill>
      </fill>
    </dxf>
    <dxf>
      <fill>
        <patternFill>
          <bgColor indexed="46"/>
        </patternFill>
      </fill>
    </dxf>
    <dxf>
      <fill>
        <patternFill>
          <bgColor indexed="22"/>
        </patternFill>
      </fill>
    </dxf>
    <dxf>
      <fill>
        <patternFill>
          <bgColor indexed="51"/>
        </patternFill>
      </fill>
    </dxf>
    <dxf>
      <font>
        <b val="0"/>
        <i val="0"/>
        <condense val="0"/>
        <extend val="0"/>
      </font>
      <fill>
        <patternFill>
          <bgColor indexed="5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ill>
        <patternFill>
          <bgColor indexed="22"/>
        </patternFill>
      </fill>
    </dxf>
    <dxf>
      <fill>
        <patternFill>
          <bgColor indexed="51"/>
        </patternFill>
      </fill>
    </dxf>
    <dxf>
      <font>
        <b val="0"/>
        <i val="0"/>
        <condense val="0"/>
        <extend val="0"/>
      </font>
      <fill>
        <patternFill>
          <bgColor indexed="52"/>
        </patternFill>
      </fill>
    </dxf>
    <dxf>
      <fill>
        <patternFill>
          <bgColor indexed="47"/>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13"/>
        </patternFill>
      </fill>
    </dxf>
    <dxf>
      <fill>
        <patternFill>
          <bgColor indexed="51"/>
        </patternFill>
      </fill>
    </dxf>
    <dxf>
      <fill>
        <patternFill>
          <bgColor indexed="41"/>
        </patternFill>
      </fill>
    </dxf>
    <dxf>
      <fill>
        <patternFill>
          <bgColor indexed="42"/>
        </patternFill>
      </fill>
    </dxf>
    <dxf>
      <fill>
        <patternFill>
          <bgColor indexed="41"/>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ill>
        <patternFill>
          <bgColor indexed="42"/>
        </patternFill>
      </fill>
    </dxf>
    <dxf>
      <fill>
        <patternFill>
          <bgColor indexed="42"/>
        </patternFill>
      </fill>
    </dxf>
    <dxf>
      <fill>
        <patternFill>
          <bgColor indexed="42"/>
        </patternFill>
      </fill>
    </dxf>
    <dxf>
      <fill>
        <patternFill>
          <bgColor indexed="13"/>
        </patternFill>
      </fill>
    </dxf>
    <dxf>
      <fill>
        <patternFill>
          <bgColor indexed="15"/>
        </patternFill>
      </fill>
    </dxf>
    <dxf>
      <fill>
        <patternFill>
          <bgColor indexed="22"/>
        </patternFill>
      </fill>
    </dxf>
    <dxf>
      <fill>
        <patternFill>
          <bgColor indexed="42"/>
        </patternFill>
      </fill>
    </dxf>
    <dxf>
      <fill>
        <patternFill>
          <bgColor indexed="11"/>
        </patternFill>
      </fill>
    </dxf>
    <dxf>
      <font>
        <condense val="0"/>
        <extend val="0"/>
        <color indexed="9"/>
      </font>
      <fill>
        <patternFill>
          <bgColor indexed="17"/>
        </patternFill>
      </fill>
    </dxf>
    <dxf>
      <fill>
        <patternFill>
          <fgColor indexed="46"/>
          <bgColor indexed="42"/>
        </patternFill>
      </fill>
    </dxf>
    <dxf>
      <fill>
        <patternFill>
          <bgColor indexed="47"/>
        </patternFill>
      </fill>
    </dxf>
    <dxf>
      <fill>
        <patternFill>
          <bgColor indexed="51"/>
        </patternFill>
      </fill>
    </dxf>
    <dxf>
      <fill>
        <patternFill>
          <bgColor indexed="13"/>
        </patternFill>
      </fill>
    </dxf>
    <dxf>
      <fill>
        <patternFill>
          <bgColor indexed="15"/>
        </patternFill>
      </fill>
    </dxf>
    <dxf>
      <fill>
        <patternFill>
          <bgColor indexed="13"/>
        </patternFill>
      </fill>
    </dxf>
    <dxf>
      <fill>
        <patternFill>
          <bgColor indexed="51"/>
        </patternFill>
      </fill>
    </dxf>
    <dxf>
      <font>
        <b/>
        <i val="0"/>
        <condense val="0"/>
        <extend val="0"/>
        <color indexed="13"/>
      </font>
      <fill>
        <patternFill>
          <bgColor indexed="14"/>
        </patternFill>
      </fill>
    </dxf>
    <dxf>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ill>
        <patternFill>
          <bgColor indexed="13"/>
        </patternFill>
      </fill>
    </dxf>
    <dxf>
      <fill>
        <patternFill>
          <bgColor indexed="15"/>
        </patternFill>
      </fill>
    </dxf>
    <dxf>
      <fill>
        <patternFill>
          <bgColor indexed="42"/>
        </patternFill>
      </fill>
    </dxf>
    <dxf>
      <fill>
        <patternFill>
          <bgColor indexed="13"/>
        </patternFill>
      </fill>
    </dxf>
    <dxf>
      <fill>
        <patternFill>
          <bgColor indexed="51"/>
        </patternFill>
      </fill>
    </dxf>
    <dxf>
      <fill>
        <patternFill>
          <bgColor indexed="2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ill>
        <patternFill>
          <bgColor indexed="26"/>
        </patternFill>
      </fill>
    </dxf>
    <dxf>
      <font>
        <b/>
        <i val="0"/>
        <condense val="0"/>
        <extend val="0"/>
        <color indexed="13"/>
      </font>
      <fill>
        <patternFill>
          <bgColor indexed="14"/>
        </patternFill>
      </fill>
    </dxf>
    <dxf>
      <fill>
        <patternFill>
          <bgColor indexed="9"/>
        </patternFill>
      </fill>
    </dxf>
    <dxf>
      <fill>
        <patternFill>
          <bgColor indexed="22"/>
        </patternFill>
      </fill>
    </dxf>
    <dxf>
      <fill>
        <patternFill>
          <bgColor indexed="46"/>
        </patternFill>
      </fill>
    </dxf>
    <dxf>
      <fill>
        <patternFill>
          <bgColor indexed="22"/>
        </patternFill>
      </fill>
    </dxf>
    <dxf>
      <fill>
        <patternFill>
          <bgColor indexed="51"/>
        </patternFill>
      </fill>
    </dxf>
    <dxf>
      <font>
        <b val="0"/>
        <i val="0"/>
        <condense val="0"/>
        <extend val="0"/>
      </font>
      <fill>
        <patternFill>
          <bgColor indexed="5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ill>
        <patternFill>
          <bgColor indexed="22"/>
        </patternFill>
      </fill>
    </dxf>
    <dxf>
      <fill>
        <patternFill>
          <bgColor indexed="51"/>
        </patternFill>
      </fill>
    </dxf>
    <dxf>
      <font>
        <b val="0"/>
        <i val="0"/>
        <condense val="0"/>
        <extend val="0"/>
      </font>
      <fill>
        <patternFill>
          <bgColor indexed="52"/>
        </patternFill>
      </fill>
    </dxf>
    <dxf>
      <fill>
        <patternFill>
          <bgColor indexed="47"/>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13"/>
        </patternFill>
      </fill>
    </dxf>
    <dxf>
      <fill>
        <patternFill>
          <bgColor indexed="51"/>
        </patternFill>
      </fill>
    </dxf>
    <dxf>
      <fill>
        <patternFill>
          <bgColor indexed="41"/>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ill>
        <patternFill>
          <bgColor indexed="42"/>
        </patternFill>
      </fill>
    </dxf>
    <dxf>
      <fill>
        <patternFill>
          <bgColor indexed="41"/>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ill>
        <patternFill>
          <bgColor indexed="42"/>
        </patternFill>
      </fill>
    </dxf>
    <dxf>
      <fill>
        <patternFill>
          <bgColor indexed="47"/>
        </patternFill>
      </fill>
    </dxf>
    <dxf>
      <fill>
        <patternFill>
          <bgColor indexed="41"/>
        </patternFill>
      </fill>
    </dxf>
    <dxf>
      <font>
        <b/>
        <i val="0"/>
        <condense val="0"/>
        <extend val="0"/>
        <color indexed="34"/>
      </font>
      <fill>
        <patternFill>
          <bgColor indexed="23"/>
        </patternFill>
      </fill>
    </dxf>
    <dxf>
      <font>
        <b/>
        <i val="0"/>
        <condense val="0"/>
        <extend val="0"/>
        <color indexed="9"/>
      </font>
      <fill>
        <patternFill>
          <bgColor indexed="16"/>
        </patternFill>
      </fill>
    </dxf>
    <dxf>
      <fill>
        <patternFill>
          <bgColor indexed="42"/>
        </patternFill>
      </fill>
    </dxf>
    <dxf>
      <fill>
        <patternFill>
          <bgColor indexed="42"/>
        </patternFill>
      </fill>
    </dxf>
    <dxf>
      <fill>
        <patternFill>
          <bgColor indexed="41"/>
        </patternFill>
      </fill>
    </dxf>
    <dxf>
      <font>
        <b/>
        <i/>
        <condense val="0"/>
        <extend val="0"/>
        <color indexed="13"/>
      </font>
      <fill>
        <patternFill>
          <bgColor indexed="54"/>
        </patternFill>
      </fill>
    </dxf>
    <dxf>
      <font>
        <b/>
        <i val="0"/>
        <condense val="0"/>
        <extend val="0"/>
        <color indexed="9"/>
      </font>
      <fill>
        <patternFill>
          <bgColor indexed="12"/>
        </patternFill>
      </fill>
    </dxf>
    <dxf>
      <fill>
        <patternFill>
          <bgColor indexed="15"/>
        </patternFill>
      </fill>
    </dxf>
    <dxf>
      <fill>
        <patternFill>
          <bgColor indexed="51"/>
        </patternFill>
      </fill>
    </dxf>
    <dxf>
      <font>
        <condense val="0"/>
        <extend val="0"/>
        <color indexed="9"/>
      </font>
      <fill>
        <patternFill>
          <bgColor indexed="17"/>
        </patternFill>
      </fill>
    </dxf>
    <dxf>
      <fill>
        <patternFill>
          <fgColor indexed="46"/>
          <bgColor indexed="42"/>
        </patternFill>
      </fill>
    </dxf>
    <dxf>
      <fill>
        <patternFill>
          <bgColor indexed="47"/>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13"/>
        </patternFill>
      </fill>
    </dxf>
    <dxf>
      <fill>
        <patternFill>
          <bgColor indexed="51"/>
        </patternFill>
      </fill>
    </dxf>
    <dxf>
      <fill>
        <patternFill>
          <bgColor indexed="51"/>
        </patternFill>
      </fill>
    </dxf>
    <dxf>
      <fill>
        <patternFill>
          <bgColor indexed="13"/>
        </patternFill>
      </fill>
    </dxf>
    <dxf>
      <fill>
        <patternFill>
          <bgColor indexed="15"/>
        </patternFill>
      </fill>
    </dxf>
    <dxf>
      <fill>
        <patternFill>
          <bgColor indexed="13"/>
        </patternFill>
      </fill>
    </dxf>
    <dxf>
      <fill>
        <patternFill>
          <bgColor indexed="51"/>
        </patternFill>
      </fill>
    </dxf>
    <dxf>
      <font>
        <b/>
        <i val="0"/>
        <condense val="0"/>
        <extend val="0"/>
        <color indexed="13"/>
      </font>
      <fill>
        <patternFill>
          <bgColor indexed="14"/>
        </patternFill>
      </fill>
    </dxf>
    <dxf>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ill>
        <patternFill>
          <bgColor indexed="13"/>
        </patternFill>
      </fill>
    </dxf>
    <dxf>
      <fill>
        <patternFill>
          <bgColor indexed="15"/>
        </patternFill>
      </fill>
    </dxf>
    <dxf>
      <fill>
        <patternFill>
          <bgColor indexed="42"/>
        </patternFill>
      </fill>
    </dxf>
    <dxf>
      <fill>
        <patternFill>
          <bgColor indexed="13"/>
        </patternFill>
      </fill>
    </dxf>
    <dxf>
      <fill>
        <patternFill>
          <bgColor indexed="51"/>
        </patternFill>
      </fill>
    </dxf>
    <dxf>
      <fill>
        <patternFill>
          <bgColor indexed="2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ill>
        <patternFill>
          <bgColor indexed="26"/>
        </patternFill>
      </fill>
    </dxf>
    <dxf>
      <font>
        <b/>
        <i val="0"/>
        <condense val="0"/>
        <extend val="0"/>
        <color indexed="13"/>
      </font>
      <fill>
        <patternFill>
          <bgColor indexed="14"/>
        </patternFill>
      </fill>
    </dxf>
    <dxf>
      <fill>
        <patternFill>
          <bgColor indexed="9"/>
        </patternFill>
      </fill>
    </dxf>
    <dxf>
      <fill>
        <patternFill>
          <bgColor indexed="22"/>
        </patternFill>
      </fill>
    </dxf>
    <dxf>
      <fill>
        <patternFill>
          <bgColor indexed="46"/>
        </patternFill>
      </fill>
    </dxf>
    <dxf>
      <fill>
        <patternFill>
          <bgColor indexed="22"/>
        </patternFill>
      </fill>
    </dxf>
    <dxf>
      <fill>
        <patternFill>
          <bgColor indexed="51"/>
        </patternFill>
      </fill>
    </dxf>
    <dxf>
      <font>
        <b val="0"/>
        <i val="0"/>
        <condense val="0"/>
        <extend val="0"/>
      </font>
      <fill>
        <patternFill>
          <bgColor indexed="5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ill>
        <patternFill>
          <bgColor indexed="22"/>
        </patternFill>
      </fill>
    </dxf>
    <dxf>
      <fill>
        <patternFill>
          <bgColor indexed="51"/>
        </patternFill>
      </fill>
    </dxf>
    <dxf>
      <font>
        <b val="0"/>
        <i val="0"/>
        <condense val="0"/>
        <extend val="0"/>
      </font>
      <fill>
        <patternFill>
          <bgColor indexed="52"/>
        </patternFill>
      </fill>
    </dxf>
    <dxf>
      <fill>
        <patternFill>
          <bgColor indexed="42"/>
        </patternFill>
      </fill>
    </dxf>
    <dxf>
      <fill>
        <patternFill>
          <bgColor indexed="42"/>
        </patternFill>
      </fill>
    </dxf>
    <dxf>
      <fill>
        <patternFill>
          <bgColor indexed="42"/>
        </patternFill>
      </fill>
    </dxf>
    <dxf>
      <fill>
        <patternFill>
          <bgColor indexed="41"/>
        </patternFill>
      </fill>
    </dxf>
    <dxf>
      <font>
        <b/>
        <i/>
        <condense val="0"/>
        <extend val="0"/>
        <color indexed="13"/>
      </font>
      <fill>
        <patternFill>
          <bgColor indexed="54"/>
        </patternFill>
      </fill>
    </dxf>
    <dxf>
      <font>
        <b/>
        <i val="0"/>
        <condense val="0"/>
        <extend val="0"/>
        <color indexed="9"/>
      </font>
      <fill>
        <patternFill>
          <bgColor indexed="12"/>
        </patternFill>
      </fill>
    </dxf>
    <dxf>
      <fill>
        <patternFill>
          <bgColor indexed="15"/>
        </patternFill>
      </fill>
    </dxf>
    <dxf>
      <fill>
        <patternFill>
          <bgColor indexed="51"/>
        </patternFill>
      </fill>
    </dxf>
    <dxf>
      <fill>
        <patternFill>
          <bgColor indexed="13"/>
        </patternFill>
      </fill>
    </dxf>
    <dxf>
      <fill>
        <patternFill>
          <bgColor indexed="15"/>
        </patternFill>
      </fill>
    </dxf>
    <dxf>
      <font>
        <condense val="0"/>
        <extend val="0"/>
        <color indexed="9"/>
      </font>
      <fill>
        <patternFill>
          <bgColor indexed="17"/>
        </patternFill>
      </fill>
    </dxf>
    <dxf>
      <fill>
        <patternFill>
          <fgColor indexed="46"/>
          <bgColor indexed="42"/>
        </patternFill>
      </fill>
    </dxf>
    <dxf>
      <fill>
        <patternFill>
          <bgColor indexed="47"/>
        </patternFill>
      </fill>
    </dxf>
    <dxf>
      <fill>
        <patternFill>
          <bgColor indexed="51"/>
        </patternFill>
      </fill>
    </dxf>
    <dxf>
      <fill>
        <patternFill>
          <bgColor indexed="13"/>
        </patternFill>
      </fill>
    </dxf>
    <dxf>
      <fill>
        <patternFill>
          <bgColor indexed="15"/>
        </patternFill>
      </fill>
    </dxf>
    <dxf>
      <fill>
        <patternFill>
          <bgColor indexed="13"/>
        </patternFill>
      </fill>
    </dxf>
    <dxf>
      <fill>
        <patternFill>
          <bgColor indexed="51"/>
        </patternFill>
      </fill>
    </dxf>
    <dxf>
      <font>
        <b/>
        <i val="0"/>
        <condense val="0"/>
        <extend val="0"/>
        <color indexed="13"/>
      </font>
      <fill>
        <patternFill>
          <bgColor indexed="14"/>
        </patternFill>
      </fill>
    </dxf>
    <dxf>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ill>
        <patternFill>
          <bgColor indexed="13"/>
        </patternFill>
      </fill>
    </dxf>
    <dxf>
      <fill>
        <patternFill>
          <bgColor indexed="15"/>
        </patternFill>
      </fill>
    </dxf>
    <dxf>
      <fill>
        <patternFill>
          <bgColor indexed="42"/>
        </patternFill>
      </fill>
    </dxf>
    <dxf>
      <fill>
        <patternFill>
          <bgColor indexed="13"/>
        </patternFill>
      </fill>
    </dxf>
    <dxf>
      <fill>
        <patternFill>
          <bgColor indexed="51"/>
        </patternFill>
      </fill>
    </dxf>
    <dxf>
      <fill>
        <patternFill>
          <bgColor indexed="2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ill>
        <patternFill>
          <bgColor indexed="26"/>
        </patternFill>
      </fill>
    </dxf>
    <dxf>
      <font>
        <b/>
        <i val="0"/>
        <condense val="0"/>
        <extend val="0"/>
        <color indexed="13"/>
      </font>
      <fill>
        <patternFill>
          <bgColor indexed="14"/>
        </patternFill>
      </fill>
    </dxf>
    <dxf>
      <fill>
        <patternFill>
          <bgColor indexed="9"/>
        </patternFill>
      </fill>
    </dxf>
    <dxf>
      <fill>
        <patternFill>
          <bgColor indexed="22"/>
        </patternFill>
      </fill>
    </dxf>
    <dxf>
      <fill>
        <patternFill>
          <bgColor indexed="46"/>
        </patternFill>
      </fill>
    </dxf>
    <dxf>
      <fill>
        <patternFill>
          <bgColor indexed="22"/>
        </patternFill>
      </fill>
    </dxf>
    <dxf>
      <fill>
        <patternFill>
          <bgColor indexed="51"/>
        </patternFill>
      </fill>
    </dxf>
    <dxf>
      <font>
        <b val="0"/>
        <i val="0"/>
        <condense val="0"/>
        <extend val="0"/>
      </font>
      <fill>
        <patternFill>
          <bgColor indexed="5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ill>
        <patternFill>
          <bgColor indexed="22"/>
        </patternFill>
      </fill>
    </dxf>
    <dxf>
      <fill>
        <patternFill>
          <bgColor indexed="51"/>
        </patternFill>
      </fill>
    </dxf>
    <dxf>
      <font>
        <b val="0"/>
        <i val="0"/>
        <condense val="0"/>
        <extend val="0"/>
      </font>
      <fill>
        <patternFill>
          <bgColor indexed="52"/>
        </patternFill>
      </fill>
    </dxf>
    <dxf>
      <fill>
        <patternFill>
          <bgColor indexed="42"/>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13"/>
        </patternFill>
      </fill>
    </dxf>
    <dxf>
      <fill>
        <patternFill>
          <bgColor indexed="51"/>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400050</xdr:colOff>
      <xdr:row>1</xdr:row>
      <xdr:rowOff>485775</xdr:rowOff>
    </xdr:from>
    <xdr:to>
      <xdr:col>1</xdr:col>
      <xdr:colOff>295275</xdr:colOff>
      <xdr:row>1</xdr:row>
      <xdr:rowOff>485775</xdr:rowOff>
    </xdr:to>
    <xdr:sp macro="" textlink="">
      <xdr:nvSpPr>
        <xdr:cNvPr id="2" name="Line 3"/>
        <xdr:cNvSpPr>
          <a:spLocks noChangeShapeType="1"/>
        </xdr:cNvSpPr>
      </xdr:nvSpPr>
      <xdr:spPr bwMode="auto">
        <a:xfrm>
          <a:off x="295275" y="419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876300</xdr:colOff>
      <xdr:row>2</xdr:row>
      <xdr:rowOff>9525</xdr:rowOff>
    </xdr:from>
    <xdr:to>
      <xdr:col>27</xdr:col>
      <xdr:colOff>47625</xdr:colOff>
      <xdr:row>2</xdr:row>
      <xdr:rowOff>9525</xdr:rowOff>
    </xdr:to>
    <xdr:sp macro="" textlink="">
      <xdr:nvSpPr>
        <xdr:cNvPr id="3" name="Line 4"/>
        <xdr:cNvSpPr>
          <a:spLocks noChangeShapeType="1"/>
        </xdr:cNvSpPr>
      </xdr:nvSpPr>
      <xdr:spPr bwMode="auto">
        <a:xfrm flipV="1">
          <a:off x="5591175" y="428625"/>
          <a:ext cx="1581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828675</xdr:colOff>
      <xdr:row>2</xdr:row>
      <xdr:rowOff>19050</xdr:rowOff>
    </xdr:from>
    <xdr:to>
      <xdr:col>4</xdr:col>
      <xdr:colOff>152400</xdr:colOff>
      <xdr:row>2</xdr:row>
      <xdr:rowOff>19050</xdr:rowOff>
    </xdr:to>
    <xdr:cxnSp macro="">
      <xdr:nvCxnSpPr>
        <xdr:cNvPr id="4" name="Straight Connector 3"/>
        <xdr:cNvCxnSpPr/>
      </xdr:nvCxnSpPr>
      <xdr:spPr>
        <a:xfrm>
          <a:off x="1123950" y="438150"/>
          <a:ext cx="638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533400</xdr:colOff>
      <xdr:row>2</xdr:row>
      <xdr:rowOff>28575</xdr:rowOff>
    </xdr:from>
    <xdr:to>
      <xdr:col>3</xdr:col>
      <xdr:colOff>1390650</xdr:colOff>
      <xdr:row>2</xdr:row>
      <xdr:rowOff>28575</xdr:rowOff>
    </xdr:to>
    <xdr:sp macro="" textlink="">
      <xdr:nvSpPr>
        <xdr:cNvPr id="2" name="Line 33"/>
        <xdr:cNvSpPr>
          <a:spLocks noChangeShapeType="1"/>
        </xdr:cNvSpPr>
      </xdr:nvSpPr>
      <xdr:spPr bwMode="auto">
        <a:xfrm>
          <a:off x="904875" y="447675"/>
          <a:ext cx="857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419100</xdr:colOff>
      <xdr:row>2</xdr:row>
      <xdr:rowOff>19049</xdr:rowOff>
    </xdr:from>
    <xdr:to>
      <xdr:col>19</xdr:col>
      <xdr:colOff>219075</xdr:colOff>
      <xdr:row>2</xdr:row>
      <xdr:rowOff>19050</xdr:rowOff>
    </xdr:to>
    <xdr:sp macro="" textlink="">
      <xdr:nvSpPr>
        <xdr:cNvPr id="3" name="Line 47"/>
        <xdr:cNvSpPr>
          <a:spLocks noChangeShapeType="1"/>
        </xdr:cNvSpPr>
      </xdr:nvSpPr>
      <xdr:spPr bwMode="auto">
        <a:xfrm>
          <a:off x="4791075" y="438149"/>
          <a:ext cx="1600200"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400050</xdr:colOff>
      <xdr:row>1</xdr:row>
      <xdr:rowOff>485775</xdr:rowOff>
    </xdr:from>
    <xdr:to>
      <xdr:col>1</xdr:col>
      <xdr:colOff>304800</xdr:colOff>
      <xdr:row>1</xdr:row>
      <xdr:rowOff>485775</xdr:rowOff>
    </xdr:to>
    <xdr:sp macro="" textlink="">
      <xdr:nvSpPr>
        <xdr:cNvPr id="4" name="Line 3"/>
        <xdr:cNvSpPr>
          <a:spLocks noChangeShapeType="1"/>
        </xdr:cNvSpPr>
      </xdr:nvSpPr>
      <xdr:spPr bwMode="auto">
        <a:xfrm>
          <a:off x="304800" y="419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py%20of%20@.Lg%20+PC%2002-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VHC/AppData/Local/Temp/Temp1_04-3-2015-%20Diep.zip/04-3-2015-%20Diep/@.Lg%20+PC%2027-02-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GiaoQĐ-$"/>
      <sheetName val="Ds QĐ=$"/>
      <sheetName val="TTr=$"/>
      <sheetName val="TB=$ "/>
      <sheetName val="@@ DL"/>
      <sheetName val="TB--%"/>
      <sheetName val="TTr--%"/>
      <sheetName val="Ds QĐ - %"/>
      <sheetName val="Giao QĐ - %"/>
      <sheetName val="Ds Huu+Thoi.."/>
      <sheetName val="TH số liệu"/>
      <sheetName val="- DLiêu Gốc -"/>
      <sheetName val="Sheet2"/>
      <sheetName val="CƠ CẤU"/>
    </sheetNames>
    <sheetDataSet>
      <sheetData sheetId="0"/>
      <sheetData sheetId="1"/>
      <sheetData sheetId="2"/>
      <sheetData sheetId="3"/>
      <sheetData sheetId="4"/>
      <sheetData sheetId="5"/>
      <sheetData sheetId="6"/>
      <sheetData sheetId="7"/>
      <sheetData sheetId="8"/>
      <sheetData sheetId="9"/>
      <sheetData sheetId="10"/>
      <sheetData sheetId="11">
        <row r="1">
          <cell r="B1" t="str">
            <v>NGẠCH</v>
          </cell>
          <cell r="C1" t="str">
            <v>MÃ SỐ</v>
          </cell>
          <cell r="D1" t="str">
            <v>HS bậc 1</v>
          </cell>
          <cell r="E1" t="str">
            <v>BƯỚC</v>
          </cell>
          <cell r="F1" t="str">
            <v>LOẠI</v>
          </cell>
          <cell r="G1" t="str">
            <v>NHÓM</v>
          </cell>
        </row>
        <row r="2">
          <cell r="B2" t="str">
            <v>Giảng viên cao cấp (hạng I)</v>
          </cell>
          <cell r="C2" t="str">
            <v>V.07.01.01</v>
          </cell>
          <cell r="D2">
            <v>6.2</v>
          </cell>
          <cell r="E2">
            <v>0.36</v>
          </cell>
          <cell r="F2" t="str">
            <v>A3</v>
          </cell>
          <cell r="G2" t="str">
            <v>A3.1</v>
          </cell>
        </row>
        <row r="3">
          <cell r="B3" t="str">
            <v>Giảng viên chính (hạng II)</v>
          </cell>
          <cell r="C3" t="str">
            <v>V.07.01.02</v>
          </cell>
          <cell r="D3">
            <v>4.4000000000000004</v>
          </cell>
          <cell r="E3">
            <v>0.34</v>
          </cell>
          <cell r="F3" t="str">
            <v>A2</v>
          </cell>
          <cell r="G3" t="str">
            <v>A2.1</v>
          </cell>
        </row>
        <row r="4">
          <cell r="B4" t="str">
            <v>Giảng viên (hạng III)</v>
          </cell>
          <cell r="C4" t="str">
            <v>V.07.01.03</v>
          </cell>
          <cell r="D4">
            <v>2.34</v>
          </cell>
          <cell r="E4">
            <v>0.33</v>
          </cell>
          <cell r="F4" t="str">
            <v>A1</v>
          </cell>
          <cell r="G4" t="str">
            <v>- - -</v>
          </cell>
        </row>
        <row r="5">
          <cell r="B5" t="str">
            <v>Giáo viên trung học cao cấp</v>
          </cell>
          <cell r="C5" t="str">
            <v>15.112</v>
          </cell>
          <cell r="D5">
            <v>4</v>
          </cell>
          <cell r="E5">
            <v>0.34</v>
          </cell>
          <cell r="F5" t="str">
            <v>A2</v>
          </cell>
          <cell r="G5" t="str">
            <v>A2.2</v>
          </cell>
        </row>
        <row r="6">
          <cell r="B6" t="str">
            <v>Giáo viên trung học</v>
          </cell>
          <cell r="C6" t="str">
            <v>15.113</v>
          </cell>
          <cell r="D6">
            <v>2.34</v>
          </cell>
          <cell r="E6">
            <v>0.33</v>
          </cell>
          <cell r="F6" t="str">
            <v>A1</v>
          </cell>
          <cell r="G6" t="str">
            <v>- - -</v>
          </cell>
        </row>
        <row r="7">
          <cell r="B7" t="str">
            <v>Giáo viên trung học cơ sở chính</v>
          </cell>
          <cell r="C7" t="str">
            <v>15a.201</v>
          </cell>
          <cell r="D7">
            <v>2.34</v>
          </cell>
          <cell r="E7">
            <v>0.33</v>
          </cell>
          <cell r="F7" t="str">
            <v>A1</v>
          </cell>
          <cell r="G7" t="str">
            <v>- - -</v>
          </cell>
        </row>
        <row r="8">
          <cell r="B8" t="str">
            <v>Giáo viên trung học cơ sở</v>
          </cell>
          <cell r="C8" t="str">
            <v>15a.202</v>
          </cell>
          <cell r="D8">
            <v>2.1</v>
          </cell>
          <cell r="E8">
            <v>0.31</v>
          </cell>
          <cell r="F8" t="str">
            <v>A0</v>
          </cell>
          <cell r="G8" t="str">
            <v>- - -</v>
          </cell>
        </row>
        <row r="9">
          <cell r="B9" t="str">
            <v>Nghiên cứu viên cao cấp</v>
          </cell>
          <cell r="C9" t="str">
            <v>13.090</v>
          </cell>
          <cell r="D9">
            <v>6.2</v>
          </cell>
          <cell r="E9">
            <v>0.36</v>
          </cell>
          <cell r="F9" t="str">
            <v>A3</v>
          </cell>
          <cell r="G9" t="str">
            <v>A3.1</v>
          </cell>
        </row>
        <row r="10">
          <cell r="B10" t="str">
            <v>Nghiên cứu viên chính</v>
          </cell>
          <cell r="C10" t="str">
            <v>13.091</v>
          </cell>
          <cell r="D10">
            <v>4.4000000000000004</v>
          </cell>
          <cell r="E10">
            <v>0.34</v>
          </cell>
          <cell r="F10" t="str">
            <v>A2</v>
          </cell>
          <cell r="G10" t="str">
            <v>A2.1</v>
          </cell>
        </row>
        <row r="11">
          <cell r="B11" t="str">
            <v>Nghiên cứu viên</v>
          </cell>
          <cell r="C11" t="str">
            <v>13.092</v>
          </cell>
          <cell r="D11">
            <v>2.34</v>
          </cell>
          <cell r="E11">
            <v>0.33</v>
          </cell>
          <cell r="F11" t="str">
            <v>A1</v>
          </cell>
          <cell r="G11" t="str">
            <v>- - -</v>
          </cell>
        </row>
        <row r="12">
          <cell r="B12" t="str">
            <v>Chuyên viên cao cấp</v>
          </cell>
          <cell r="C12" t="str">
            <v>01.001</v>
          </cell>
          <cell r="D12">
            <v>6.2</v>
          </cell>
          <cell r="E12">
            <v>0.36</v>
          </cell>
          <cell r="F12" t="str">
            <v>A3</v>
          </cell>
          <cell r="G12" t="str">
            <v>A3.1</v>
          </cell>
        </row>
        <row r="13">
          <cell r="B13" t="str">
            <v>Chuyên viên chính</v>
          </cell>
          <cell r="C13" t="str">
            <v>01.002</v>
          </cell>
          <cell r="D13">
            <v>4.4000000000000004</v>
          </cell>
          <cell r="E13">
            <v>0.34</v>
          </cell>
          <cell r="F13" t="str">
            <v>A2</v>
          </cell>
          <cell r="G13" t="str">
            <v>A2.1</v>
          </cell>
        </row>
        <row r="14">
          <cell r="B14" t="str">
            <v>Chuyên viên</v>
          </cell>
          <cell r="C14" t="str">
            <v>01.003</v>
          </cell>
          <cell r="D14">
            <v>2.34</v>
          </cell>
          <cell r="E14">
            <v>0.33</v>
          </cell>
          <cell r="F14" t="str">
            <v>A1</v>
          </cell>
          <cell r="G14" t="str">
            <v>- - -</v>
          </cell>
        </row>
        <row r="15">
          <cell r="B15" t="str">
            <v>Chuyên viên (cao đẳng)</v>
          </cell>
          <cell r="C15" t="str">
            <v>01a.003</v>
          </cell>
          <cell r="D15">
            <v>2.1</v>
          </cell>
          <cell r="E15">
            <v>0.31</v>
          </cell>
          <cell r="F15" t="str">
            <v>A0</v>
          </cell>
          <cell r="G15" t="str">
            <v>- - -</v>
          </cell>
        </row>
        <row r="16">
          <cell r="B16" t="str">
            <v>Cán sự</v>
          </cell>
          <cell r="C16" t="str">
            <v>01.004</v>
          </cell>
          <cell r="D16">
            <v>1.86</v>
          </cell>
          <cell r="E16">
            <v>0.2</v>
          </cell>
          <cell r="F16" t="str">
            <v>B</v>
          </cell>
          <cell r="G16" t="str">
            <v>- - -</v>
          </cell>
        </row>
        <row r="17">
          <cell r="B17" t="str">
            <v>Thanh tra viên cao cấp</v>
          </cell>
          <cell r="C17" t="str">
            <v>04.023</v>
          </cell>
          <cell r="D17">
            <v>6.2</v>
          </cell>
          <cell r="E17">
            <v>0.36</v>
          </cell>
          <cell r="F17" t="str">
            <v>A3</v>
          </cell>
          <cell r="G17" t="str">
            <v>A3.1</v>
          </cell>
        </row>
        <row r="18">
          <cell r="B18" t="str">
            <v>Thanh tra viên chính</v>
          </cell>
          <cell r="C18" t="str">
            <v>04.024</v>
          </cell>
          <cell r="D18">
            <v>4.4000000000000004</v>
          </cell>
          <cell r="E18">
            <v>0.34</v>
          </cell>
          <cell r="F18" t="str">
            <v>A2</v>
          </cell>
          <cell r="G18" t="str">
            <v>A2.1</v>
          </cell>
        </row>
        <row r="19">
          <cell r="B19" t="str">
            <v>Thanh tra viên</v>
          </cell>
          <cell r="C19" t="str">
            <v>04.025</v>
          </cell>
          <cell r="D19">
            <v>2.34</v>
          </cell>
          <cell r="E19">
            <v>0.33</v>
          </cell>
          <cell r="F19" t="str">
            <v>A1</v>
          </cell>
          <cell r="G19" t="str">
            <v>- - -</v>
          </cell>
        </row>
        <row r="20">
          <cell r="B20" t="str">
            <v>Thẩm tra viên</v>
          </cell>
          <cell r="C20" t="str">
            <v>03.230</v>
          </cell>
          <cell r="D20">
            <v>2.34</v>
          </cell>
          <cell r="E20">
            <v>0.33</v>
          </cell>
          <cell r="F20" t="str">
            <v>A1</v>
          </cell>
          <cell r="G20" t="str">
            <v>- - -</v>
          </cell>
        </row>
        <row r="21">
          <cell r="B21" t="str">
            <v>Thư viện viên cao cấp</v>
          </cell>
          <cell r="C21" t="str">
            <v>17.168</v>
          </cell>
          <cell r="D21">
            <v>5.75</v>
          </cell>
          <cell r="E21">
            <v>0.36</v>
          </cell>
          <cell r="F21" t="str">
            <v>A3</v>
          </cell>
          <cell r="G21" t="str">
            <v>A3.2</v>
          </cell>
        </row>
        <row r="22">
          <cell r="B22" t="str">
            <v>Thư viện viên chính</v>
          </cell>
          <cell r="C22" t="str">
            <v>17.169</v>
          </cell>
          <cell r="D22">
            <v>4</v>
          </cell>
          <cell r="E22">
            <v>0.34</v>
          </cell>
          <cell r="F22" t="str">
            <v>A2</v>
          </cell>
          <cell r="G22" t="str">
            <v>A2.2</v>
          </cell>
        </row>
        <row r="23">
          <cell r="B23" t="str">
            <v>Thư viện viên</v>
          </cell>
          <cell r="C23" t="str">
            <v>17.170</v>
          </cell>
          <cell r="D23">
            <v>2.34</v>
          </cell>
          <cell r="E23">
            <v>0.33</v>
          </cell>
          <cell r="F23" t="str">
            <v>A1</v>
          </cell>
          <cell r="G23" t="str">
            <v>- - -</v>
          </cell>
        </row>
        <row r="24">
          <cell r="B24" t="str">
            <v>Thư viện viên (cao đẳng)</v>
          </cell>
          <cell r="C24" t="str">
            <v>17a.170</v>
          </cell>
          <cell r="D24">
            <v>2.1</v>
          </cell>
          <cell r="E24">
            <v>0.31</v>
          </cell>
          <cell r="F24" t="str">
            <v>A0</v>
          </cell>
          <cell r="G24" t="str">
            <v>- - -</v>
          </cell>
        </row>
        <row r="25">
          <cell r="B25" t="str">
            <v>Thư viện viên trung cấp</v>
          </cell>
          <cell r="C25" t="str">
            <v>17.171</v>
          </cell>
          <cell r="D25">
            <v>1.86</v>
          </cell>
          <cell r="E25">
            <v>0.2</v>
          </cell>
          <cell r="F25" t="str">
            <v>B</v>
          </cell>
          <cell r="G25" t="str">
            <v>- - -</v>
          </cell>
        </row>
        <row r="26">
          <cell r="B26" t="str">
            <v>Kỹ sư cao cấp</v>
          </cell>
          <cell r="C26" t="str">
            <v>13.093</v>
          </cell>
          <cell r="D26">
            <v>6.2</v>
          </cell>
          <cell r="E26">
            <v>0.36</v>
          </cell>
          <cell r="F26" t="str">
            <v>A3</v>
          </cell>
          <cell r="G26" t="str">
            <v>A3.1</v>
          </cell>
        </row>
        <row r="27">
          <cell r="B27" t="str">
            <v>Kỹ sư chính</v>
          </cell>
          <cell r="C27" t="str">
            <v>13.094</v>
          </cell>
          <cell r="D27">
            <v>4.4000000000000004</v>
          </cell>
          <cell r="E27">
            <v>0.34</v>
          </cell>
          <cell r="F27" t="str">
            <v>A2</v>
          </cell>
          <cell r="G27" t="str">
            <v>A2.1</v>
          </cell>
        </row>
        <row r="28">
          <cell r="B28" t="str">
            <v>Kỹ sư</v>
          </cell>
          <cell r="C28" t="str">
            <v>13.095</v>
          </cell>
          <cell r="D28">
            <v>2.34</v>
          </cell>
          <cell r="E28">
            <v>0.33</v>
          </cell>
          <cell r="F28" t="str">
            <v>A1</v>
          </cell>
          <cell r="G28" t="str">
            <v>- - -</v>
          </cell>
        </row>
        <row r="29">
          <cell r="B29" t="str">
            <v>Kỹ thuật viên</v>
          </cell>
          <cell r="C29" t="str">
            <v>13.096</v>
          </cell>
          <cell r="D29">
            <v>1.86</v>
          </cell>
          <cell r="E29">
            <v>0.2</v>
          </cell>
          <cell r="F29" t="str">
            <v>B</v>
          </cell>
          <cell r="G29" t="str">
            <v>- - -</v>
          </cell>
        </row>
        <row r="30">
          <cell r="B30" t="str">
            <v>Bác sỹ cao cấp</v>
          </cell>
          <cell r="C30" t="str">
            <v>16.116</v>
          </cell>
          <cell r="D30">
            <v>6.2</v>
          </cell>
          <cell r="E30">
            <v>0.36</v>
          </cell>
          <cell r="F30" t="str">
            <v>A3</v>
          </cell>
          <cell r="G30" t="str">
            <v>A3.1</v>
          </cell>
        </row>
        <row r="31">
          <cell r="B31" t="str">
            <v>Bác sỹ chính</v>
          </cell>
          <cell r="C31" t="str">
            <v>16.117</v>
          </cell>
          <cell r="D31">
            <v>4.4000000000000004</v>
          </cell>
          <cell r="E31">
            <v>0.34</v>
          </cell>
          <cell r="F31" t="str">
            <v>A2</v>
          </cell>
          <cell r="G31" t="str">
            <v>A2.1</v>
          </cell>
        </row>
        <row r="32">
          <cell r="B32" t="str">
            <v>Bác sỹ</v>
          </cell>
          <cell r="C32" t="str">
            <v>16.118</v>
          </cell>
          <cell r="D32">
            <v>2.34</v>
          </cell>
          <cell r="E32">
            <v>0.33</v>
          </cell>
          <cell r="F32" t="str">
            <v>A1</v>
          </cell>
          <cell r="G32" t="str">
            <v>- - -</v>
          </cell>
        </row>
        <row r="33">
          <cell r="B33" t="str">
            <v>Y sỹ</v>
          </cell>
          <cell r="C33" t="str">
            <v>16.119</v>
          </cell>
          <cell r="D33">
            <v>1.86</v>
          </cell>
          <cell r="E33">
            <v>0.2</v>
          </cell>
          <cell r="F33" t="str">
            <v>B</v>
          </cell>
          <cell r="G33" t="str">
            <v>- - -</v>
          </cell>
        </row>
        <row r="34">
          <cell r="B34" t="str">
            <v>Biên tập viên cao cấp</v>
          </cell>
          <cell r="C34" t="str">
            <v>17.139</v>
          </cell>
          <cell r="D34">
            <v>6.2</v>
          </cell>
          <cell r="E34">
            <v>0.36</v>
          </cell>
          <cell r="F34" t="str">
            <v>A3</v>
          </cell>
          <cell r="G34" t="str">
            <v>A3.1</v>
          </cell>
        </row>
        <row r="35">
          <cell r="B35" t="str">
            <v>Biên tập viên chính</v>
          </cell>
          <cell r="C35" t="str">
            <v>17.140</v>
          </cell>
          <cell r="D35">
            <v>4.4000000000000004</v>
          </cell>
          <cell r="E35">
            <v>0.34</v>
          </cell>
          <cell r="F35" t="str">
            <v>A2</v>
          </cell>
          <cell r="G35" t="str">
            <v>A2.1</v>
          </cell>
        </row>
        <row r="36">
          <cell r="B36" t="str">
            <v>Biên tập viên</v>
          </cell>
          <cell r="C36" t="str">
            <v>17.141</v>
          </cell>
          <cell r="D36">
            <v>2.34</v>
          </cell>
          <cell r="E36">
            <v>0.33</v>
          </cell>
          <cell r="F36" t="str">
            <v>A1</v>
          </cell>
          <cell r="G36" t="str">
            <v>- - -</v>
          </cell>
        </row>
        <row r="37">
          <cell r="B37" t="str">
            <v>Phóng viên cao cấp</v>
          </cell>
          <cell r="C37" t="str">
            <v>17.142</v>
          </cell>
          <cell r="D37">
            <v>6.2</v>
          </cell>
          <cell r="E37">
            <v>0.36</v>
          </cell>
          <cell r="F37" t="str">
            <v>A3</v>
          </cell>
          <cell r="G37" t="str">
            <v>A3.1</v>
          </cell>
        </row>
        <row r="38">
          <cell r="B38" t="str">
            <v>Phóng viên chính</v>
          </cell>
          <cell r="C38" t="str">
            <v>17.143</v>
          </cell>
          <cell r="D38">
            <v>4.4000000000000004</v>
          </cell>
          <cell r="E38">
            <v>0.34</v>
          </cell>
          <cell r="F38" t="str">
            <v>A2</v>
          </cell>
          <cell r="G38" t="str">
            <v>A2.1</v>
          </cell>
        </row>
        <row r="39">
          <cell r="B39" t="str">
            <v>Phóng viên</v>
          </cell>
          <cell r="C39" t="str">
            <v>17.144</v>
          </cell>
          <cell r="D39">
            <v>2.34</v>
          </cell>
          <cell r="E39">
            <v>0.33</v>
          </cell>
          <cell r="F39" t="str">
            <v>A1</v>
          </cell>
          <cell r="G39" t="str">
            <v>- - -</v>
          </cell>
        </row>
        <row r="40">
          <cell r="B40" t="str">
            <v>Kế toán viên cao cấp</v>
          </cell>
          <cell r="C40" t="str">
            <v>06.029</v>
          </cell>
          <cell r="D40">
            <v>5.75</v>
          </cell>
          <cell r="E40">
            <v>0.36</v>
          </cell>
          <cell r="F40" t="str">
            <v>A3</v>
          </cell>
          <cell r="G40" t="str">
            <v>A3.2</v>
          </cell>
        </row>
        <row r="41">
          <cell r="B41" t="str">
            <v>Kế toán viên chính</v>
          </cell>
          <cell r="C41" t="str">
            <v>06.030</v>
          </cell>
          <cell r="D41">
            <v>4</v>
          </cell>
          <cell r="E41">
            <v>0.34</v>
          </cell>
          <cell r="F41" t="str">
            <v>A2</v>
          </cell>
          <cell r="G41" t="str">
            <v>A2.2</v>
          </cell>
        </row>
        <row r="42">
          <cell r="B42" t="str">
            <v>Kế toán viên</v>
          </cell>
          <cell r="C42" t="str">
            <v>06.031</v>
          </cell>
          <cell r="D42">
            <v>2.34</v>
          </cell>
          <cell r="E42">
            <v>0.33</v>
          </cell>
          <cell r="F42" t="str">
            <v>A1</v>
          </cell>
          <cell r="G42" t="str">
            <v>- - -</v>
          </cell>
        </row>
        <row r="43">
          <cell r="B43" t="str">
            <v>Kế toán viên (cao đẳng)</v>
          </cell>
          <cell r="C43" t="str">
            <v>06a.031</v>
          </cell>
          <cell r="D43">
            <v>2.1</v>
          </cell>
          <cell r="E43">
            <v>0.31</v>
          </cell>
          <cell r="F43" t="str">
            <v>A0</v>
          </cell>
          <cell r="G43" t="str">
            <v>- - -</v>
          </cell>
        </row>
        <row r="44">
          <cell r="B44" t="str">
            <v>Kế toán viên trung cấp</v>
          </cell>
          <cell r="C44" t="str">
            <v>06.032</v>
          </cell>
          <cell r="D44">
            <v>1.86</v>
          </cell>
          <cell r="E44">
            <v>0.2</v>
          </cell>
          <cell r="F44" t="str">
            <v>B</v>
          </cell>
          <cell r="G44" t="str">
            <v>- - -</v>
          </cell>
        </row>
        <row r="45">
          <cell r="B45" t="str">
            <v>Lưu trữ viên</v>
          </cell>
          <cell r="C45" t="str">
            <v>02.014</v>
          </cell>
          <cell r="D45">
            <v>2.34</v>
          </cell>
          <cell r="E45">
            <v>0.33</v>
          </cell>
          <cell r="F45" t="str">
            <v>A1</v>
          </cell>
          <cell r="G45" t="str">
            <v>- - -</v>
          </cell>
        </row>
        <row r="46">
          <cell r="B46" t="str">
            <v>Lưu trữ viên (cao đẳng)</v>
          </cell>
          <cell r="C46" t="str">
            <v>02a.014</v>
          </cell>
          <cell r="D46">
            <v>2.1</v>
          </cell>
          <cell r="E46">
            <v>0.31</v>
          </cell>
          <cell r="F46" t="str">
            <v>A0</v>
          </cell>
          <cell r="G46" t="str">
            <v>- - -</v>
          </cell>
        </row>
        <row r="47">
          <cell r="B47" t="str">
            <v>Lưu trữ viên trung cấp</v>
          </cell>
          <cell r="C47" t="str">
            <v>02.015</v>
          </cell>
          <cell r="D47">
            <v>1.86</v>
          </cell>
          <cell r="E47">
            <v>0.2</v>
          </cell>
          <cell r="F47" t="str">
            <v>B</v>
          </cell>
          <cell r="G47" t="str">
            <v>- - -</v>
          </cell>
        </row>
        <row r="48">
          <cell r="B48" t="str">
            <v>Kỹ Thuật viên đánh máy</v>
          </cell>
          <cell r="C48" t="str">
            <v>01.005</v>
          </cell>
          <cell r="D48">
            <v>1.5</v>
          </cell>
          <cell r="E48">
            <v>0.18</v>
          </cell>
          <cell r="F48" t="str">
            <v>C</v>
          </cell>
          <cell r="G48" t="str">
            <v>Nhân viên</v>
          </cell>
        </row>
        <row r="49">
          <cell r="B49" t="str">
            <v>Nhân viên đánh máy</v>
          </cell>
          <cell r="C49" t="str">
            <v>01.006</v>
          </cell>
          <cell r="D49">
            <v>1.5</v>
          </cell>
          <cell r="E49">
            <v>0.18</v>
          </cell>
          <cell r="F49" t="str">
            <v>C</v>
          </cell>
          <cell r="G49" t="str">
            <v>Nhân viên</v>
          </cell>
        </row>
        <row r="50">
          <cell r="B50" t="str">
            <v>Nhân viên kỹ thuật</v>
          </cell>
          <cell r="C50" t="str">
            <v>01.007</v>
          </cell>
          <cell r="D50">
            <v>1.65</v>
          </cell>
          <cell r="E50">
            <v>0.18</v>
          </cell>
          <cell r="F50" t="str">
            <v>C</v>
          </cell>
          <cell r="G50" t="str">
            <v>Nhân viên</v>
          </cell>
        </row>
        <row r="51">
          <cell r="B51" t="str">
            <v>Nhân viên văn thư</v>
          </cell>
          <cell r="C51" t="str">
            <v>01.008</v>
          </cell>
          <cell r="D51">
            <v>1.35</v>
          </cell>
          <cell r="E51">
            <v>0.18</v>
          </cell>
          <cell r="F51" t="str">
            <v>C</v>
          </cell>
          <cell r="G51" t="str">
            <v>Nhân viên</v>
          </cell>
        </row>
        <row r="52">
          <cell r="B52" t="str">
            <v>Nhân viên phục vụ</v>
          </cell>
          <cell r="C52" t="str">
            <v>01.009</v>
          </cell>
          <cell r="D52">
            <v>1</v>
          </cell>
          <cell r="E52">
            <v>0.18</v>
          </cell>
          <cell r="F52" t="str">
            <v>C</v>
          </cell>
          <cell r="G52" t="str">
            <v>Nhân viên</v>
          </cell>
        </row>
        <row r="53">
          <cell r="B53" t="str">
            <v>Lái xe cơ quan</v>
          </cell>
          <cell r="C53" t="str">
            <v>01.010</v>
          </cell>
          <cell r="D53">
            <v>2.0499999999999998</v>
          </cell>
          <cell r="E53">
            <v>0.18</v>
          </cell>
          <cell r="F53" t="str">
            <v>C</v>
          </cell>
          <cell r="G53" t="str">
            <v>Nhân viên</v>
          </cell>
        </row>
        <row r="54">
          <cell r="B54" t="str">
            <v>Nhân viên bảo vệ</v>
          </cell>
          <cell r="C54" t="str">
            <v>01.011</v>
          </cell>
          <cell r="D54">
            <v>1.5</v>
          </cell>
          <cell r="E54">
            <v>0.18</v>
          </cell>
          <cell r="F54" t="str">
            <v>C</v>
          </cell>
          <cell r="G54" t="str">
            <v>Nhân viên</v>
          </cell>
        </row>
        <row r="55">
          <cell r="B55" t="str">
            <v>Thủ kho bảo quản</v>
          </cell>
          <cell r="C55" t="str">
            <v>19.185</v>
          </cell>
          <cell r="D55">
            <v>1.65</v>
          </cell>
          <cell r="E55">
            <v>0.18</v>
          </cell>
          <cell r="F55" t="str">
            <v>C</v>
          </cell>
          <cell r="G55" t="str">
            <v>Nhân viên</v>
          </cell>
        </row>
        <row r="56">
          <cell r="B56" t="str">
            <v>Thủ quỹ</v>
          </cell>
          <cell r="C56" t="str">
            <v>06.035</v>
          </cell>
          <cell r="D56">
            <v>1.5</v>
          </cell>
          <cell r="E56">
            <v>0.18</v>
          </cell>
          <cell r="F56" t="str">
            <v>C</v>
          </cell>
          <cell r="G56" t="str">
            <v>Nhân viên</v>
          </cell>
        </row>
        <row r="71">
          <cell r="B71" t="str">
            <v>CHỨC VỤ</v>
          </cell>
          <cell r="C71" t="str">
            <v>PC CV</v>
          </cell>
        </row>
        <row r="72">
          <cell r="B72" t="str">
            <v>Giám đốc Học viện</v>
          </cell>
          <cell r="C72">
            <v>1.3</v>
          </cell>
        </row>
        <row r="73">
          <cell r="B73" t="str">
            <v>Nguyên giám đốc Học viện</v>
          </cell>
          <cell r="C73">
            <v>1.3</v>
          </cell>
        </row>
        <row r="74">
          <cell r="B74" t="str">
            <v>Phó Giám đốc Học viện</v>
          </cell>
          <cell r="C74">
            <v>1.1000000000000001</v>
          </cell>
        </row>
        <row r="75">
          <cell r="B75" t="str">
            <v>Nguyên Phó giám đốc Học viện</v>
          </cell>
          <cell r="C75">
            <v>1.1000000000000001</v>
          </cell>
        </row>
        <row r="76">
          <cell r="B76" t="str">
            <v>Giám đốc phân viện</v>
          </cell>
          <cell r="C76" t="str">
            <v>1,2</v>
          </cell>
        </row>
        <row r="77">
          <cell r="B77" t="str">
            <v>Trưởng khoa</v>
          </cell>
          <cell r="C77" t="str">
            <v>1,0</v>
          </cell>
        </row>
        <row r="78">
          <cell r="B78" t="str">
            <v>Nguyên Trưởng khoa</v>
          </cell>
          <cell r="C78" t="str">
            <v>1,0</v>
          </cell>
        </row>
        <row r="79">
          <cell r="B79" t="str">
            <v>Phó Trưởng khoa</v>
          </cell>
          <cell r="C79" t="str">
            <v>0,8</v>
          </cell>
        </row>
        <row r="80">
          <cell r="B80" t="str">
            <v>Nguyên Phó trưởng khoa</v>
          </cell>
          <cell r="C80" t="str">
            <v>0,8</v>
          </cell>
        </row>
        <row r="81">
          <cell r="B81" t="str">
            <v>Trưởng ban</v>
          </cell>
          <cell r="C81" t="str">
            <v>1,0</v>
          </cell>
        </row>
        <row r="82">
          <cell r="B82" t="str">
            <v>Nguyên Trưởng ban</v>
          </cell>
          <cell r="C82" t="str">
            <v>1,0</v>
          </cell>
        </row>
        <row r="83">
          <cell r="B83" t="str">
            <v>Phó Trưởng ban</v>
          </cell>
          <cell r="C83" t="str">
            <v>0,8</v>
          </cell>
        </row>
        <row r="84">
          <cell r="B84" t="str">
            <v>Phó Trưởng ban (PT)</v>
          </cell>
          <cell r="C84" t="str">
            <v>0,8</v>
          </cell>
        </row>
        <row r="85">
          <cell r="B85" t="str">
            <v>Nguyên Phó trưởng ban</v>
          </cell>
          <cell r="C85" t="str">
            <v>0,8</v>
          </cell>
        </row>
        <row r="86">
          <cell r="B86" t="str">
            <v>Trưởng phòng</v>
          </cell>
          <cell r="C86" t="str">
            <v>0,6</v>
          </cell>
        </row>
        <row r="87">
          <cell r="B87" t="str">
            <v>Q. Trưởng phòng</v>
          </cell>
          <cell r="C87" t="str">
            <v>0,6</v>
          </cell>
        </row>
        <row r="88">
          <cell r="B88" t="str">
            <v>Phó Trưởng phòng</v>
          </cell>
          <cell r="C88" t="str">
            <v>0,4</v>
          </cell>
        </row>
        <row r="89">
          <cell r="B89" t="str">
            <v>Phó Trưởng phòng (PT)</v>
          </cell>
          <cell r="C89" t="str">
            <v>0,4</v>
          </cell>
        </row>
        <row r="90">
          <cell r="B90" t="str">
            <v>Trưởng bộ môn</v>
          </cell>
          <cell r="C90" t="str">
            <v>0,6</v>
          </cell>
        </row>
        <row r="91">
          <cell r="B91" t="str">
            <v>Phó Trưởng bộ môn</v>
          </cell>
          <cell r="C91" t="str">
            <v>0,4</v>
          </cell>
        </row>
        <row r="92">
          <cell r="B92" t="str">
            <v>Tổng Biên tập</v>
          </cell>
          <cell r="C92" t="str">
            <v>1,0</v>
          </cell>
        </row>
        <row r="93">
          <cell r="B93" t="str">
            <v>Phó Tổng biên tập</v>
          </cell>
          <cell r="C93" t="str">
            <v>0,8</v>
          </cell>
        </row>
        <row r="94">
          <cell r="B94" t="str">
            <v>Trưởng ban (TC QLNN)</v>
          </cell>
          <cell r="C94" t="str">
            <v>0,6</v>
          </cell>
        </row>
        <row r="95">
          <cell r="B95" t="str">
            <v>Trưởng Ban Biên tập</v>
          </cell>
          <cell r="C95" t="str">
            <v>0,6</v>
          </cell>
        </row>
        <row r="96">
          <cell r="B96" t="str">
            <v>Phó Trưởng ban (TC QLNN)</v>
          </cell>
          <cell r="C96" t="str">
            <v>0,4</v>
          </cell>
        </row>
        <row r="97">
          <cell r="B97" t="str">
            <v>Phó Trưởng ban (TC QLNN)</v>
          </cell>
          <cell r="C97" t="str">
            <v>0,4</v>
          </cell>
        </row>
        <row r="98">
          <cell r="B98" t="str">
            <v>Viện Trưởng</v>
          </cell>
          <cell r="C98" t="str">
            <v>1,0</v>
          </cell>
        </row>
        <row r="99">
          <cell r="B99" t="str">
            <v>Nguyên Viện Trưởng</v>
          </cell>
          <cell r="C99" t="str">
            <v>1,0</v>
          </cell>
        </row>
        <row r="100">
          <cell r="B100" t="str">
            <v>Phó Viện Trưởng</v>
          </cell>
          <cell r="C100" t="str">
            <v>0,8</v>
          </cell>
        </row>
        <row r="101">
          <cell r="B101" t="str">
            <v>Nguyên Phó Viện Trưởng</v>
          </cell>
          <cell r="C101" t="str">
            <v>0,8</v>
          </cell>
        </row>
        <row r="102">
          <cell r="B102" t="str">
            <v>Chủ nhiệm TV</v>
          </cell>
          <cell r="C102" t="str">
            <v>0,6</v>
          </cell>
        </row>
        <row r="103">
          <cell r="B103" t="str">
            <v>Phó Chủ nhiệm TV</v>
          </cell>
          <cell r="C103" t="str">
            <v>0,4</v>
          </cell>
        </row>
        <row r="104">
          <cell r="B104" t="str">
            <v>Giám đốc (cấp vụ)</v>
          </cell>
          <cell r="C104" t="str">
            <v>1,0</v>
          </cell>
        </row>
        <row r="105">
          <cell r="B105" t="str">
            <v>Phó Giám đốc (cấp vụ)</v>
          </cell>
          <cell r="C105" t="str">
            <v>0,8</v>
          </cell>
        </row>
        <row r="106">
          <cell r="B106" t="str">
            <v>Giám đốc (cấp phòng)</v>
          </cell>
          <cell r="C106">
            <v>0.6</v>
          </cell>
        </row>
        <row r="107">
          <cell r="B107" t="str">
            <v>Phó Giám đốc (cấp phòng)</v>
          </cell>
          <cell r="C107" t="str">
            <v>0,4</v>
          </cell>
        </row>
        <row r="108">
          <cell r="B108" t="str">
            <v>Chánh văn phòng</v>
          </cell>
          <cell r="C108" t="str">
            <v>1,0</v>
          </cell>
        </row>
        <row r="109">
          <cell r="B109" t="str">
            <v>Phó Chánh văn phòng</v>
          </cell>
          <cell r="C109" t="str">
            <v>0,8</v>
          </cell>
        </row>
        <row r="110">
          <cell r="B110" t="str">
            <v>Đội Trưởng</v>
          </cell>
          <cell r="C110" t="str">
            <v>0,6</v>
          </cell>
        </row>
        <row r="111">
          <cell r="B111" t="str">
            <v>Đội Phó</v>
          </cell>
          <cell r="C111" t="str">
            <v>0,4</v>
          </cell>
        </row>
      </sheetData>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GiaoQĐ-$"/>
      <sheetName val="Ds QĐ=$"/>
      <sheetName val="TTr=$"/>
      <sheetName val="TB=$ "/>
      <sheetName val="@@ DL"/>
      <sheetName val="TB--%"/>
      <sheetName val="TTr--%"/>
      <sheetName val="Ds QĐ - %"/>
      <sheetName val="Giao QĐ - %"/>
      <sheetName val="Ds Huu+Thoi.."/>
      <sheetName val="TH số liệu"/>
      <sheetName val="- DLiêu Gốc -"/>
      <sheetName val="Sheet2"/>
      <sheetName val="CƠ CẤ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
          <cell r="B1" t="str">
            <v>NGẠCH</v>
          </cell>
          <cell r="C1" t="str">
            <v>MÃ SỐ</v>
          </cell>
          <cell r="D1" t="str">
            <v>HS bậc 1</v>
          </cell>
          <cell r="E1" t="str">
            <v>BƯỚC</v>
          </cell>
          <cell r="F1" t="str">
            <v>LOẠI</v>
          </cell>
          <cell r="G1" t="str">
            <v>NHÓM</v>
          </cell>
        </row>
        <row r="2">
          <cell r="B2" t="str">
            <v>Giảng viên cao cấp (hạng I)</v>
          </cell>
          <cell r="C2" t="str">
            <v>V.07.01.01</v>
          </cell>
          <cell r="D2">
            <v>6.2</v>
          </cell>
          <cell r="E2">
            <v>0.36</v>
          </cell>
          <cell r="F2" t="str">
            <v>A3</v>
          </cell>
          <cell r="G2" t="str">
            <v>A3.1</v>
          </cell>
        </row>
        <row r="3">
          <cell r="B3" t="str">
            <v>Giảng viên chính (hạng II)</v>
          </cell>
          <cell r="C3" t="str">
            <v>V.07.01.02</v>
          </cell>
          <cell r="D3">
            <v>4.4000000000000004</v>
          </cell>
          <cell r="E3">
            <v>0.34</v>
          </cell>
          <cell r="F3" t="str">
            <v>A2</v>
          </cell>
          <cell r="G3" t="str">
            <v>A2.1</v>
          </cell>
        </row>
        <row r="4">
          <cell r="B4" t="str">
            <v>Giảng viên (hạng III)</v>
          </cell>
          <cell r="C4" t="str">
            <v>V.07.01.03</v>
          </cell>
          <cell r="D4">
            <v>2.34</v>
          </cell>
          <cell r="E4">
            <v>0.33</v>
          </cell>
          <cell r="F4" t="str">
            <v>A1</v>
          </cell>
          <cell r="G4" t="str">
            <v>- - -</v>
          </cell>
        </row>
        <row r="5">
          <cell r="B5" t="str">
            <v>Giáo viên trung học cao cấp</v>
          </cell>
          <cell r="C5" t="str">
            <v>15.112</v>
          </cell>
          <cell r="D5">
            <v>4</v>
          </cell>
          <cell r="E5">
            <v>0.34</v>
          </cell>
          <cell r="F5" t="str">
            <v>A2</v>
          </cell>
          <cell r="G5" t="str">
            <v>A2.2</v>
          </cell>
        </row>
        <row r="6">
          <cell r="B6" t="str">
            <v>Giáo viên trung học</v>
          </cell>
          <cell r="C6" t="str">
            <v>15.113</v>
          </cell>
          <cell r="D6">
            <v>2.34</v>
          </cell>
          <cell r="E6">
            <v>0.33</v>
          </cell>
          <cell r="F6" t="str">
            <v>A1</v>
          </cell>
          <cell r="G6" t="str">
            <v>- - -</v>
          </cell>
        </row>
        <row r="7">
          <cell r="B7" t="str">
            <v>Giáo viên trung học cơ sở chính</v>
          </cell>
          <cell r="C7" t="str">
            <v>15a.201</v>
          </cell>
          <cell r="D7">
            <v>2.34</v>
          </cell>
          <cell r="E7">
            <v>0.33</v>
          </cell>
          <cell r="F7" t="str">
            <v>A1</v>
          </cell>
          <cell r="G7" t="str">
            <v>- - -</v>
          </cell>
        </row>
        <row r="8">
          <cell r="B8" t="str">
            <v>Giáo viên trung học cơ sở</v>
          </cell>
          <cell r="C8" t="str">
            <v>15a.202</v>
          </cell>
          <cell r="D8">
            <v>2.1</v>
          </cell>
          <cell r="E8">
            <v>0.31</v>
          </cell>
          <cell r="F8" t="str">
            <v>A0</v>
          </cell>
          <cell r="G8" t="str">
            <v>- - -</v>
          </cell>
        </row>
        <row r="9">
          <cell r="B9" t="str">
            <v>Nghiên cứu viên cao cấp</v>
          </cell>
          <cell r="C9" t="str">
            <v>13.090</v>
          </cell>
          <cell r="D9">
            <v>6.2</v>
          </cell>
          <cell r="E9">
            <v>0.36</v>
          </cell>
          <cell r="F9" t="str">
            <v>A3</v>
          </cell>
          <cell r="G9" t="str">
            <v>A3.1</v>
          </cell>
        </row>
        <row r="10">
          <cell r="B10" t="str">
            <v>Nghiên cứu viên chính</v>
          </cell>
          <cell r="C10" t="str">
            <v>13.091</v>
          </cell>
          <cell r="D10">
            <v>4.4000000000000004</v>
          </cell>
          <cell r="E10">
            <v>0.34</v>
          </cell>
          <cell r="F10" t="str">
            <v>A2</v>
          </cell>
          <cell r="G10" t="str">
            <v>A2.1</v>
          </cell>
        </row>
        <row r="11">
          <cell r="B11" t="str">
            <v>Nghiên cứu viên</v>
          </cell>
          <cell r="C11" t="str">
            <v>13.092</v>
          </cell>
          <cell r="D11">
            <v>2.34</v>
          </cell>
          <cell r="E11">
            <v>0.33</v>
          </cell>
          <cell r="F11" t="str">
            <v>A1</v>
          </cell>
          <cell r="G11" t="str">
            <v>- - -</v>
          </cell>
        </row>
        <row r="12">
          <cell r="B12" t="str">
            <v>Chuyên viên cao cấp</v>
          </cell>
          <cell r="C12" t="str">
            <v>01.001</v>
          </cell>
          <cell r="D12">
            <v>6.2</v>
          </cell>
          <cell r="E12">
            <v>0.36</v>
          </cell>
          <cell r="F12" t="str">
            <v>A3</v>
          </cell>
          <cell r="G12" t="str">
            <v>A3.1</v>
          </cell>
        </row>
        <row r="13">
          <cell r="B13" t="str">
            <v>Chuyên viên chính</v>
          </cell>
          <cell r="C13" t="str">
            <v>01.002</v>
          </cell>
          <cell r="D13">
            <v>4.4000000000000004</v>
          </cell>
          <cell r="E13">
            <v>0.34</v>
          </cell>
          <cell r="F13" t="str">
            <v>A2</v>
          </cell>
          <cell r="G13" t="str">
            <v>A2.1</v>
          </cell>
        </row>
        <row r="14">
          <cell r="B14" t="str">
            <v>Chuyên viên</v>
          </cell>
          <cell r="C14" t="str">
            <v>01.003</v>
          </cell>
          <cell r="D14">
            <v>2.34</v>
          </cell>
          <cell r="E14">
            <v>0.33</v>
          </cell>
          <cell r="F14" t="str">
            <v>A1</v>
          </cell>
          <cell r="G14" t="str">
            <v>- - -</v>
          </cell>
        </row>
        <row r="15">
          <cell r="B15" t="str">
            <v>Chuyên viên (cao đẳng)</v>
          </cell>
          <cell r="C15" t="str">
            <v>01a.003</v>
          </cell>
          <cell r="D15">
            <v>2.1</v>
          </cell>
          <cell r="E15">
            <v>0.31</v>
          </cell>
          <cell r="F15" t="str">
            <v>A0</v>
          </cell>
          <cell r="G15" t="str">
            <v>- - -</v>
          </cell>
        </row>
        <row r="16">
          <cell r="B16" t="str">
            <v>Cán sự</v>
          </cell>
          <cell r="C16" t="str">
            <v>01.004</v>
          </cell>
          <cell r="D16">
            <v>1.86</v>
          </cell>
          <cell r="E16">
            <v>0.2</v>
          </cell>
          <cell r="F16" t="str">
            <v>B</v>
          </cell>
          <cell r="G16" t="str">
            <v>- - -</v>
          </cell>
        </row>
        <row r="17">
          <cell r="B17" t="str">
            <v>Thanh tra viên cao cấp</v>
          </cell>
          <cell r="C17" t="str">
            <v>04.023</v>
          </cell>
          <cell r="D17">
            <v>6.2</v>
          </cell>
          <cell r="E17">
            <v>0.36</v>
          </cell>
          <cell r="F17" t="str">
            <v>A3</v>
          </cell>
          <cell r="G17" t="str">
            <v>A3.1</v>
          </cell>
        </row>
        <row r="18">
          <cell r="B18" t="str">
            <v>Thanh tra viên chính</v>
          </cell>
          <cell r="C18" t="str">
            <v>04.024</v>
          </cell>
          <cell r="D18">
            <v>4.4000000000000004</v>
          </cell>
          <cell r="E18">
            <v>0.34</v>
          </cell>
          <cell r="F18" t="str">
            <v>A2</v>
          </cell>
          <cell r="G18" t="str">
            <v>A2.1</v>
          </cell>
        </row>
        <row r="19">
          <cell r="B19" t="str">
            <v>Thanh tra viên</v>
          </cell>
          <cell r="C19" t="str">
            <v>04.025</v>
          </cell>
          <cell r="D19">
            <v>2.34</v>
          </cell>
          <cell r="E19">
            <v>0.33</v>
          </cell>
          <cell r="F19" t="str">
            <v>A1</v>
          </cell>
          <cell r="G19" t="str">
            <v>- - -</v>
          </cell>
        </row>
        <row r="20">
          <cell r="B20" t="str">
            <v>Thẩm tra viên</v>
          </cell>
          <cell r="C20" t="str">
            <v>03.230</v>
          </cell>
          <cell r="D20">
            <v>2.34</v>
          </cell>
          <cell r="E20">
            <v>0.33</v>
          </cell>
          <cell r="F20" t="str">
            <v>A1</v>
          </cell>
          <cell r="G20" t="str">
            <v>- - -</v>
          </cell>
        </row>
        <row r="21">
          <cell r="B21" t="str">
            <v>Thư viện viên cao cấp</v>
          </cell>
          <cell r="C21" t="str">
            <v>17.168</v>
          </cell>
          <cell r="D21">
            <v>5.75</v>
          </cell>
          <cell r="E21">
            <v>0.36</v>
          </cell>
          <cell r="F21" t="str">
            <v>A3</v>
          </cell>
          <cell r="G21" t="str">
            <v>A3.2</v>
          </cell>
        </row>
        <row r="22">
          <cell r="B22" t="str">
            <v>Thư viện viên chính</v>
          </cell>
          <cell r="C22" t="str">
            <v>17.169</v>
          </cell>
          <cell r="D22">
            <v>4</v>
          </cell>
          <cell r="E22">
            <v>0.34</v>
          </cell>
          <cell r="F22" t="str">
            <v>A2</v>
          </cell>
          <cell r="G22" t="str">
            <v>A2.2</v>
          </cell>
        </row>
        <row r="23">
          <cell r="B23" t="str">
            <v>Thư viện viên</v>
          </cell>
          <cell r="C23" t="str">
            <v>17.170</v>
          </cell>
          <cell r="D23">
            <v>2.34</v>
          </cell>
          <cell r="E23">
            <v>0.33</v>
          </cell>
          <cell r="F23" t="str">
            <v>A1</v>
          </cell>
          <cell r="G23" t="str">
            <v>- - -</v>
          </cell>
        </row>
        <row r="24">
          <cell r="B24" t="str">
            <v>Thư viện viên (cao đẳng)</v>
          </cell>
          <cell r="C24" t="str">
            <v>17a.170</v>
          </cell>
          <cell r="D24">
            <v>2.1</v>
          </cell>
          <cell r="E24">
            <v>0.31</v>
          </cell>
          <cell r="F24" t="str">
            <v>A0</v>
          </cell>
          <cell r="G24" t="str">
            <v>- - -</v>
          </cell>
        </row>
        <row r="25">
          <cell r="B25" t="str">
            <v>Thư viện viên trung cấp</v>
          </cell>
          <cell r="C25" t="str">
            <v>17.171</v>
          </cell>
          <cell r="D25">
            <v>1.86</v>
          </cell>
          <cell r="E25">
            <v>0.2</v>
          </cell>
          <cell r="F25" t="str">
            <v>B</v>
          </cell>
          <cell r="G25" t="str">
            <v>- - -</v>
          </cell>
        </row>
        <row r="26">
          <cell r="B26" t="str">
            <v>Kỹ sư cao cấp</v>
          </cell>
          <cell r="C26" t="str">
            <v>13.093</v>
          </cell>
          <cell r="D26">
            <v>6.2</v>
          </cell>
          <cell r="E26">
            <v>0.36</v>
          </cell>
          <cell r="F26" t="str">
            <v>A3</v>
          </cell>
          <cell r="G26" t="str">
            <v>A3.1</v>
          </cell>
        </row>
        <row r="27">
          <cell r="B27" t="str">
            <v>Kỹ sư chính</v>
          </cell>
          <cell r="C27" t="str">
            <v>13.094</v>
          </cell>
          <cell r="D27">
            <v>4.4000000000000004</v>
          </cell>
          <cell r="E27">
            <v>0.34</v>
          </cell>
          <cell r="F27" t="str">
            <v>A2</v>
          </cell>
          <cell r="G27" t="str">
            <v>A2.1</v>
          </cell>
        </row>
        <row r="28">
          <cell r="B28" t="str">
            <v>Kỹ sư</v>
          </cell>
          <cell r="C28" t="str">
            <v>13.095</v>
          </cell>
          <cell r="D28">
            <v>2.34</v>
          </cell>
          <cell r="E28">
            <v>0.33</v>
          </cell>
          <cell r="F28" t="str">
            <v>A1</v>
          </cell>
          <cell r="G28" t="str">
            <v>- - -</v>
          </cell>
        </row>
        <row r="29">
          <cell r="B29" t="str">
            <v>Kỹ thuật viên</v>
          </cell>
          <cell r="C29" t="str">
            <v>13.096</v>
          </cell>
          <cell r="D29">
            <v>1.86</v>
          </cell>
          <cell r="E29">
            <v>0.2</v>
          </cell>
          <cell r="F29" t="str">
            <v>B</v>
          </cell>
          <cell r="G29" t="str">
            <v>- - -</v>
          </cell>
        </row>
        <row r="30">
          <cell r="B30" t="str">
            <v>Bác sỹ cao cấp</v>
          </cell>
          <cell r="C30" t="str">
            <v>16.116</v>
          </cell>
          <cell r="D30">
            <v>6.2</v>
          </cell>
          <cell r="E30">
            <v>0.36</v>
          </cell>
          <cell r="F30" t="str">
            <v>A3</v>
          </cell>
          <cell r="G30" t="str">
            <v>A3.1</v>
          </cell>
        </row>
        <row r="31">
          <cell r="B31" t="str">
            <v>Bác sỹ chính</v>
          </cell>
          <cell r="C31" t="str">
            <v>16.117</v>
          </cell>
          <cell r="D31">
            <v>4.4000000000000004</v>
          </cell>
          <cell r="E31">
            <v>0.34</v>
          </cell>
          <cell r="F31" t="str">
            <v>A2</v>
          </cell>
          <cell r="G31" t="str">
            <v>A2.1</v>
          </cell>
        </row>
        <row r="32">
          <cell r="B32" t="str">
            <v>Bác sỹ</v>
          </cell>
          <cell r="C32" t="str">
            <v>16.118</v>
          </cell>
          <cell r="D32">
            <v>2.34</v>
          </cell>
          <cell r="E32">
            <v>0.33</v>
          </cell>
          <cell r="F32" t="str">
            <v>A1</v>
          </cell>
          <cell r="G32" t="str">
            <v>- - -</v>
          </cell>
        </row>
        <row r="33">
          <cell r="B33" t="str">
            <v>Y sỹ</v>
          </cell>
          <cell r="C33" t="str">
            <v>16.119</v>
          </cell>
          <cell r="D33">
            <v>1.86</v>
          </cell>
          <cell r="E33">
            <v>0.2</v>
          </cell>
          <cell r="F33" t="str">
            <v>B</v>
          </cell>
          <cell r="G33" t="str">
            <v>- - -</v>
          </cell>
        </row>
        <row r="34">
          <cell r="B34" t="str">
            <v>Biên tập viên cao cấp</v>
          </cell>
          <cell r="C34" t="str">
            <v>17.139</v>
          </cell>
          <cell r="D34">
            <v>6.2</v>
          </cell>
          <cell r="E34">
            <v>0.36</v>
          </cell>
          <cell r="F34" t="str">
            <v>A3</v>
          </cell>
          <cell r="G34" t="str">
            <v>A3.1</v>
          </cell>
        </row>
        <row r="35">
          <cell r="B35" t="str">
            <v>Biên tập viên chính</v>
          </cell>
          <cell r="C35" t="str">
            <v>17.140</v>
          </cell>
          <cell r="D35">
            <v>4.4000000000000004</v>
          </cell>
          <cell r="E35">
            <v>0.34</v>
          </cell>
          <cell r="F35" t="str">
            <v>A2</v>
          </cell>
          <cell r="G35" t="str">
            <v>A2.1</v>
          </cell>
        </row>
        <row r="36">
          <cell r="B36" t="str">
            <v>Biên tập viên</v>
          </cell>
          <cell r="C36" t="str">
            <v>17.141</v>
          </cell>
          <cell r="D36">
            <v>2.34</v>
          </cell>
          <cell r="E36">
            <v>0.33</v>
          </cell>
          <cell r="F36" t="str">
            <v>A1</v>
          </cell>
          <cell r="G36" t="str">
            <v>- - -</v>
          </cell>
        </row>
        <row r="37">
          <cell r="B37" t="str">
            <v>Phóng viên cao cấp</v>
          </cell>
          <cell r="C37" t="str">
            <v>17.142</v>
          </cell>
          <cell r="D37">
            <v>6.2</v>
          </cell>
          <cell r="E37">
            <v>0.36</v>
          </cell>
          <cell r="F37" t="str">
            <v>A3</v>
          </cell>
          <cell r="G37" t="str">
            <v>A3.1</v>
          </cell>
        </row>
        <row r="38">
          <cell r="B38" t="str">
            <v>Phóng viên chính</v>
          </cell>
          <cell r="C38" t="str">
            <v>17.143</v>
          </cell>
          <cell r="D38">
            <v>4.4000000000000004</v>
          </cell>
          <cell r="E38">
            <v>0.34</v>
          </cell>
          <cell r="F38" t="str">
            <v>A2</v>
          </cell>
          <cell r="G38" t="str">
            <v>A2.1</v>
          </cell>
        </row>
        <row r="39">
          <cell r="B39" t="str">
            <v>Phóng viên</v>
          </cell>
          <cell r="C39" t="str">
            <v>17.144</v>
          </cell>
          <cell r="D39">
            <v>2.34</v>
          </cell>
          <cell r="E39">
            <v>0.33</v>
          </cell>
          <cell r="F39" t="str">
            <v>A1</v>
          </cell>
          <cell r="G39" t="str">
            <v>- - -</v>
          </cell>
        </row>
        <row r="40">
          <cell r="B40" t="str">
            <v>Kế toán viên cao cấp</v>
          </cell>
          <cell r="C40" t="str">
            <v>06.029</v>
          </cell>
          <cell r="D40">
            <v>5.75</v>
          </cell>
          <cell r="E40">
            <v>0.36</v>
          </cell>
          <cell r="F40" t="str">
            <v>A3</v>
          </cell>
          <cell r="G40" t="str">
            <v>A3.2</v>
          </cell>
        </row>
        <row r="41">
          <cell r="B41" t="str">
            <v>Kế toán viên chính</v>
          </cell>
          <cell r="C41" t="str">
            <v>06.030</v>
          </cell>
          <cell r="D41">
            <v>4</v>
          </cell>
          <cell r="E41">
            <v>0.34</v>
          </cell>
          <cell r="F41" t="str">
            <v>A2</v>
          </cell>
          <cell r="G41" t="str">
            <v>A2.2</v>
          </cell>
        </row>
        <row r="42">
          <cell r="B42" t="str">
            <v>Kế toán viên</v>
          </cell>
          <cell r="C42" t="str">
            <v>06.031</v>
          </cell>
          <cell r="D42">
            <v>2.34</v>
          </cell>
          <cell r="E42">
            <v>0.33</v>
          </cell>
          <cell r="F42" t="str">
            <v>A1</v>
          </cell>
          <cell r="G42" t="str">
            <v>- - -</v>
          </cell>
        </row>
        <row r="43">
          <cell r="B43" t="str">
            <v>Kế toán viên (cao đẳng)</v>
          </cell>
          <cell r="C43" t="str">
            <v>06a.031</v>
          </cell>
          <cell r="D43">
            <v>2.1</v>
          </cell>
          <cell r="E43">
            <v>0.31</v>
          </cell>
          <cell r="F43" t="str">
            <v>A0</v>
          </cell>
          <cell r="G43" t="str">
            <v>- - -</v>
          </cell>
        </row>
        <row r="44">
          <cell r="B44" t="str">
            <v>Kế toán viên trung cấp</v>
          </cell>
          <cell r="C44" t="str">
            <v>06.032</v>
          </cell>
          <cell r="D44">
            <v>1.86</v>
          </cell>
          <cell r="E44">
            <v>0.2</v>
          </cell>
          <cell r="F44" t="str">
            <v>B</v>
          </cell>
          <cell r="G44" t="str">
            <v>- - -</v>
          </cell>
        </row>
        <row r="45">
          <cell r="B45" t="str">
            <v>Lưu trữ viên</v>
          </cell>
          <cell r="C45" t="str">
            <v>02.014</v>
          </cell>
          <cell r="D45">
            <v>2.34</v>
          </cell>
          <cell r="E45">
            <v>0.33</v>
          </cell>
          <cell r="F45" t="str">
            <v>A1</v>
          </cell>
          <cell r="G45" t="str">
            <v>- - -</v>
          </cell>
        </row>
        <row r="46">
          <cell r="B46" t="str">
            <v>Lưu trữ viên (cao đẳng)</v>
          </cell>
          <cell r="C46" t="str">
            <v>02a.014</v>
          </cell>
          <cell r="D46">
            <v>2.1</v>
          </cell>
          <cell r="E46">
            <v>0.31</v>
          </cell>
          <cell r="F46" t="str">
            <v>A0</v>
          </cell>
          <cell r="G46" t="str">
            <v>- - -</v>
          </cell>
        </row>
        <row r="47">
          <cell r="B47" t="str">
            <v>Lưu trữ viên trung cấp</v>
          </cell>
          <cell r="C47" t="str">
            <v>02.015</v>
          </cell>
          <cell r="D47">
            <v>1.86</v>
          </cell>
          <cell r="E47">
            <v>0.2</v>
          </cell>
          <cell r="F47" t="str">
            <v>B</v>
          </cell>
          <cell r="G47" t="str">
            <v>- - -</v>
          </cell>
        </row>
        <row r="48">
          <cell r="B48" t="str">
            <v>Kỹ Thuật viên đánh máy</v>
          </cell>
          <cell r="C48" t="str">
            <v>01.005</v>
          </cell>
          <cell r="D48">
            <v>1.5</v>
          </cell>
          <cell r="E48">
            <v>0.18</v>
          </cell>
          <cell r="F48" t="str">
            <v>C</v>
          </cell>
          <cell r="G48" t="str">
            <v>Nhân viên</v>
          </cell>
        </row>
        <row r="49">
          <cell r="B49" t="str">
            <v>Nhân viên đánh máy</v>
          </cell>
          <cell r="C49" t="str">
            <v>01.006</v>
          </cell>
          <cell r="D49">
            <v>1.5</v>
          </cell>
          <cell r="E49">
            <v>0.18</v>
          </cell>
          <cell r="F49" t="str">
            <v>C</v>
          </cell>
          <cell r="G49" t="str">
            <v>Nhân viên</v>
          </cell>
        </row>
        <row r="50">
          <cell r="B50" t="str">
            <v>Nhân viên kỹ thuật</v>
          </cell>
          <cell r="C50" t="str">
            <v>01.007</v>
          </cell>
          <cell r="D50">
            <v>1.65</v>
          </cell>
          <cell r="E50">
            <v>0.18</v>
          </cell>
          <cell r="F50" t="str">
            <v>C</v>
          </cell>
          <cell r="G50" t="str">
            <v>Nhân viên</v>
          </cell>
        </row>
        <row r="51">
          <cell r="B51" t="str">
            <v>Nhân viên văn thư</v>
          </cell>
          <cell r="C51" t="str">
            <v>01.008</v>
          </cell>
          <cell r="D51">
            <v>1.35</v>
          </cell>
          <cell r="E51">
            <v>0.18</v>
          </cell>
          <cell r="F51" t="str">
            <v>C</v>
          </cell>
          <cell r="G51" t="str">
            <v>Nhân viên</v>
          </cell>
        </row>
        <row r="52">
          <cell r="B52" t="str">
            <v>Nhân viên phục vụ</v>
          </cell>
          <cell r="C52" t="str">
            <v>01.009</v>
          </cell>
          <cell r="D52">
            <v>1</v>
          </cell>
          <cell r="E52">
            <v>0.18</v>
          </cell>
          <cell r="F52" t="str">
            <v>C</v>
          </cell>
          <cell r="G52" t="str">
            <v>Nhân viên</v>
          </cell>
        </row>
        <row r="53">
          <cell r="B53" t="str">
            <v>Lái xe cơ quan</v>
          </cell>
          <cell r="C53" t="str">
            <v>01.010</v>
          </cell>
          <cell r="D53">
            <v>2.0499999999999998</v>
          </cell>
          <cell r="E53">
            <v>0.18</v>
          </cell>
          <cell r="F53" t="str">
            <v>C</v>
          </cell>
          <cell r="G53" t="str">
            <v>Nhân viên</v>
          </cell>
        </row>
        <row r="54">
          <cell r="B54" t="str">
            <v>Nhân viên bảo vệ</v>
          </cell>
          <cell r="C54" t="str">
            <v>01.011</v>
          </cell>
          <cell r="D54">
            <v>1.5</v>
          </cell>
          <cell r="E54">
            <v>0.18</v>
          </cell>
          <cell r="F54" t="str">
            <v>C</v>
          </cell>
          <cell r="G54" t="str">
            <v>Nhân viên</v>
          </cell>
        </row>
        <row r="55">
          <cell r="B55" t="str">
            <v>Thủ kho bảo quản</v>
          </cell>
          <cell r="C55" t="str">
            <v>19.185</v>
          </cell>
          <cell r="D55">
            <v>1.65</v>
          </cell>
          <cell r="E55">
            <v>0.18</v>
          </cell>
          <cell r="F55" t="str">
            <v>C</v>
          </cell>
          <cell r="G55" t="str">
            <v>Nhân viên</v>
          </cell>
        </row>
        <row r="56">
          <cell r="B56" t="str">
            <v>Thủ quỹ</v>
          </cell>
          <cell r="C56" t="str">
            <v>06.035</v>
          </cell>
          <cell r="D56">
            <v>1.5</v>
          </cell>
          <cell r="E56">
            <v>0.18</v>
          </cell>
          <cell r="F56" t="str">
            <v>C</v>
          </cell>
          <cell r="G56" t="str">
            <v>Nhân viên</v>
          </cell>
        </row>
        <row r="71">
          <cell r="B71" t="str">
            <v>CHỨC VỤ</v>
          </cell>
          <cell r="C71" t="str">
            <v>PC CV</v>
          </cell>
        </row>
        <row r="72">
          <cell r="B72" t="str">
            <v>Giám đốc Học viện</v>
          </cell>
          <cell r="C72">
            <v>1.3</v>
          </cell>
        </row>
        <row r="73">
          <cell r="B73" t="str">
            <v>Nguyên giám đốc Học viện</v>
          </cell>
          <cell r="C73">
            <v>1.3</v>
          </cell>
        </row>
        <row r="74">
          <cell r="B74" t="str">
            <v>Phó Giám đốc Học viện</v>
          </cell>
          <cell r="C74">
            <v>1.1000000000000001</v>
          </cell>
        </row>
        <row r="75">
          <cell r="B75" t="str">
            <v>Nguyên Phó giám đốc Học viện</v>
          </cell>
          <cell r="C75">
            <v>1.1000000000000001</v>
          </cell>
        </row>
        <row r="76">
          <cell r="B76" t="str">
            <v>Giám đốc phân viện</v>
          </cell>
          <cell r="C76" t="str">
            <v>1,2</v>
          </cell>
        </row>
        <row r="77">
          <cell r="B77" t="str">
            <v>Trưởng khoa</v>
          </cell>
          <cell r="C77" t="str">
            <v>1,0</v>
          </cell>
        </row>
        <row r="78">
          <cell r="B78" t="str">
            <v>Nguyên Trưởng khoa</v>
          </cell>
          <cell r="C78" t="str">
            <v>1,0</v>
          </cell>
        </row>
        <row r="79">
          <cell r="B79" t="str">
            <v>Phó Trưởng khoa</v>
          </cell>
          <cell r="C79" t="str">
            <v>0,8</v>
          </cell>
        </row>
        <row r="80">
          <cell r="B80" t="str">
            <v>Nguyên Phó trưởng khoa</v>
          </cell>
          <cell r="C80" t="str">
            <v>0,8</v>
          </cell>
        </row>
        <row r="81">
          <cell r="B81" t="str">
            <v>Trưởng ban</v>
          </cell>
          <cell r="C81" t="str">
            <v>1,0</v>
          </cell>
        </row>
        <row r="82">
          <cell r="B82" t="str">
            <v>Nguyên Trưởng ban</v>
          </cell>
          <cell r="C82" t="str">
            <v>1,0</v>
          </cell>
        </row>
        <row r="83">
          <cell r="B83" t="str">
            <v>Phó Trưởng ban</v>
          </cell>
          <cell r="C83" t="str">
            <v>0,8</v>
          </cell>
        </row>
        <row r="84">
          <cell r="B84" t="str">
            <v>Phó Trưởng ban (PT)</v>
          </cell>
          <cell r="C84" t="str">
            <v>0,8</v>
          </cell>
        </row>
        <row r="85">
          <cell r="B85" t="str">
            <v>Nguyên Phó trưởng ban</v>
          </cell>
          <cell r="C85" t="str">
            <v>0,8</v>
          </cell>
        </row>
        <row r="86">
          <cell r="B86" t="str">
            <v>Trưởng phòng</v>
          </cell>
          <cell r="C86" t="str">
            <v>0,6</v>
          </cell>
        </row>
        <row r="87">
          <cell r="B87" t="str">
            <v>Q. Trưởng phòng</v>
          </cell>
          <cell r="C87" t="str">
            <v>0,6</v>
          </cell>
        </row>
        <row r="88">
          <cell r="B88" t="str">
            <v>Phó Trưởng phòng</v>
          </cell>
          <cell r="C88" t="str">
            <v>0,4</v>
          </cell>
        </row>
        <row r="89">
          <cell r="B89" t="str">
            <v>Phó Trưởng phòng (PT)</v>
          </cell>
          <cell r="C89" t="str">
            <v>0,4</v>
          </cell>
        </row>
        <row r="90">
          <cell r="B90" t="str">
            <v>Trưởng bộ môn</v>
          </cell>
          <cell r="C90" t="str">
            <v>0,6</v>
          </cell>
        </row>
        <row r="91">
          <cell r="B91" t="str">
            <v>Phó Trưởng bộ môn</v>
          </cell>
          <cell r="C91" t="str">
            <v>0,4</v>
          </cell>
        </row>
        <row r="92">
          <cell r="B92" t="str">
            <v>Tổng Biên tập</v>
          </cell>
          <cell r="C92" t="str">
            <v>1,0</v>
          </cell>
        </row>
        <row r="93">
          <cell r="B93" t="str">
            <v>Phó Tổng biên tập</v>
          </cell>
          <cell r="C93" t="str">
            <v>0,8</v>
          </cell>
        </row>
        <row r="94">
          <cell r="B94" t="str">
            <v>Trưởng ban (TC QLNN)</v>
          </cell>
          <cell r="C94" t="str">
            <v>0,6</v>
          </cell>
        </row>
        <row r="95">
          <cell r="B95" t="str">
            <v>Trưởng Ban Biên tập</v>
          </cell>
          <cell r="C95" t="str">
            <v>0,6</v>
          </cell>
        </row>
        <row r="96">
          <cell r="B96" t="str">
            <v>Phó Trưởng ban (TC QLNN)</v>
          </cell>
          <cell r="C96" t="str">
            <v>0,4</v>
          </cell>
        </row>
        <row r="97">
          <cell r="B97" t="str">
            <v>Phó Trưởng ban (TC QLNN)</v>
          </cell>
          <cell r="C97" t="str">
            <v>0,4</v>
          </cell>
        </row>
        <row r="98">
          <cell r="B98" t="str">
            <v>Viện Trưởng</v>
          </cell>
          <cell r="C98" t="str">
            <v>1,0</v>
          </cell>
        </row>
        <row r="99">
          <cell r="B99" t="str">
            <v>Nguyên Viện Trưởng</v>
          </cell>
          <cell r="C99" t="str">
            <v>1,0</v>
          </cell>
        </row>
        <row r="100">
          <cell r="B100" t="str">
            <v>Phó Viện Trưởng</v>
          </cell>
          <cell r="C100" t="str">
            <v>0,8</v>
          </cell>
        </row>
        <row r="101">
          <cell r="B101" t="str">
            <v>Nguyên Phó Viện Trưởng</v>
          </cell>
          <cell r="C101" t="str">
            <v>0,8</v>
          </cell>
        </row>
        <row r="102">
          <cell r="B102" t="str">
            <v>Chủ nhiệm TV</v>
          </cell>
          <cell r="C102" t="str">
            <v>0,6</v>
          </cell>
        </row>
        <row r="103">
          <cell r="B103" t="str">
            <v>Phó Chủ nhiệm TV</v>
          </cell>
          <cell r="C103" t="str">
            <v>0,4</v>
          </cell>
        </row>
        <row r="104">
          <cell r="B104" t="str">
            <v>Giám đốc (cấp vụ)</v>
          </cell>
          <cell r="C104" t="str">
            <v>1,0</v>
          </cell>
        </row>
        <row r="105">
          <cell r="B105" t="str">
            <v>Phó Giám đốc (cấp vụ)</v>
          </cell>
          <cell r="C105" t="str">
            <v>0,8</v>
          </cell>
        </row>
        <row r="106">
          <cell r="B106" t="str">
            <v>Giám đốc (cấp phòng)</v>
          </cell>
          <cell r="C106">
            <v>0.6</v>
          </cell>
        </row>
        <row r="107">
          <cell r="B107" t="str">
            <v>Phó Giám đốc (cấp phòng)</v>
          </cell>
          <cell r="C107" t="str">
            <v>0,4</v>
          </cell>
        </row>
        <row r="108">
          <cell r="B108" t="str">
            <v>Chánh văn phòng</v>
          </cell>
          <cell r="C108" t="str">
            <v>1,0</v>
          </cell>
        </row>
        <row r="109">
          <cell r="B109" t="str">
            <v>Phó Chánh văn phòng</v>
          </cell>
          <cell r="C109" t="str">
            <v>0,8</v>
          </cell>
        </row>
        <row r="110">
          <cell r="B110" t="str">
            <v>Đội Trưởng</v>
          </cell>
          <cell r="C110" t="str">
            <v>0,6</v>
          </cell>
        </row>
        <row r="111">
          <cell r="B111" t="str">
            <v>Đội Phó</v>
          </cell>
          <cell r="C111" t="str">
            <v>0,4</v>
          </cell>
        </row>
      </sheetData>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41"/>
  <sheetViews>
    <sheetView topLeftCell="B1" workbookViewId="0">
      <selection activeCell="S3" sqref="S3:AE3"/>
    </sheetView>
  </sheetViews>
  <sheetFormatPr defaultRowHeight="15" x14ac:dyDescent="0.25"/>
  <cols>
    <col min="1" max="1" width="9.140625" hidden="1" customWidth="1"/>
    <col min="2" max="2" width="5" customWidth="1"/>
    <col min="3" max="3" width="9.140625" hidden="1" customWidth="1"/>
    <col min="4" max="4" width="21.85546875" customWidth="1"/>
    <col min="5" max="5" width="6.28515625" customWidth="1"/>
    <col min="6" max="13" width="9.140625" hidden="1" customWidth="1"/>
    <col min="14" max="14" width="18.28515625" customWidth="1"/>
    <col min="15" max="15" width="22.42578125" customWidth="1"/>
    <col min="16" max="18" width="9.140625" hidden="1" customWidth="1"/>
    <col min="19" max="19" width="13.140625" customWidth="1"/>
    <col min="20" max="20" width="9.85546875" customWidth="1"/>
    <col min="21" max="22" width="9.140625" hidden="1" customWidth="1"/>
    <col min="23" max="23" width="1.7109375" hidden="1" customWidth="1"/>
    <col min="24" max="24" width="2.5703125" customWidth="1"/>
    <col min="25" max="25" width="1.28515625" customWidth="1"/>
    <col min="26" max="26" width="3.42578125" customWidth="1"/>
    <col min="27" max="27" width="5.42578125" customWidth="1"/>
    <col min="28" max="28" width="1.85546875" customWidth="1"/>
    <col min="29" max="29" width="1" customWidth="1"/>
    <col min="30" max="30" width="3" customWidth="1"/>
    <col min="31" max="31" width="5.85546875" customWidth="1"/>
    <col min="32" max="32" width="3" customWidth="1"/>
    <col min="33" max="33" width="1.7109375" customWidth="1"/>
    <col min="34" max="34" width="2.42578125" customWidth="1"/>
    <col min="35" max="35" width="0.85546875" customWidth="1"/>
    <col min="36" max="36" width="4.85546875" customWidth="1"/>
    <col min="37" max="37" width="0.140625" hidden="1" customWidth="1"/>
    <col min="38" max="50" width="9.140625" hidden="1" customWidth="1"/>
    <col min="51" max="51" width="0.140625" hidden="1" customWidth="1"/>
    <col min="52" max="59" width="9.140625" hidden="1" customWidth="1"/>
    <col min="60" max="60" width="6.42578125" customWidth="1"/>
    <col min="61" max="61" width="10.140625" customWidth="1"/>
    <col min="62" max="62" width="7.28515625" customWidth="1"/>
    <col min="63" max="63" width="7.42578125" customWidth="1"/>
    <col min="64" max="64" width="7.85546875" customWidth="1"/>
    <col min="65" max="70" width="9.140625" customWidth="1"/>
    <col min="71" max="71" width="16.42578125" customWidth="1"/>
  </cols>
  <sheetData>
    <row r="1" spans="1:126" s="6" customFormat="1" ht="16.5" x14ac:dyDescent="0.3">
      <c r="A1" s="1"/>
      <c r="B1" s="2" t="s">
        <v>0</v>
      </c>
      <c r="C1" s="2"/>
      <c r="D1" s="2"/>
      <c r="E1" s="2"/>
      <c r="F1" s="2"/>
      <c r="G1" s="2"/>
      <c r="H1" s="2"/>
      <c r="I1" s="2"/>
      <c r="J1" s="2"/>
      <c r="K1" s="2"/>
      <c r="L1" s="2"/>
      <c r="M1" s="2"/>
      <c r="N1" s="2"/>
      <c r="O1" s="3"/>
      <c r="P1" s="4"/>
      <c r="Q1" s="4"/>
      <c r="R1" s="4"/>
      <c r="S1" s="5" t="s">
        <v>1</v>
      </c>
      <c r="T1" s="5"/>
      <c r="U1" s="5"/>
      <c r="V1" s="5"/>
      <c r="W1" s="5"/>
      <c r="X1" s="5"/>
      <c r="Y1" s="5"/>
      <c r="Z1" s="5"/>
      <c r="AA1" s="5"/>
      <c r="AB1" s="5"/>
      <c r="AC1" s="5"/>
      <c r="AD1" s="5"/>
      <c r="AE1" s="5"/>
      <c r="AF1" s="4"/>
      <c r="AG1" s="4"/>
      <c r="AH1" s="4"/>
      <c r="AI1" s="4"/>
      <c r="AJ1" s="4"/>
      <c r="AK1" s="4"/>
    </row>
    <row r="2" spans="1:126" s="6" customFormat="1" ht="16.5" x14ac:dyDescent="0.3">
      <c r="A2" s="1"/>
      <c r="B2" s="5" t="s">
        <v>2</v>
      </c>
      <c r="C2" s="5"/>
      <c r="D2" s="5"/>
      <c r="E2" s="5"/>
      <c r="F2" s="5"/>
      <c r="G2" s="5"/>
      <c r="H2" s="5"/>
      <c r="I2" s="5"/>
      <c r="J2" s="5"/>
      <c r="K2" s="5"/>
      <c r="L2" s="5"/>
      <c r="M2" s="5"/>
      <c r="N2" s="5"/>
      <c r="O2" s="7"/>
      <c r="P2" s="4"/>
      <c r="Q2" s="4"/>
      <c r="R2" s="4"/>
      <c r="S2" s="8" t="s">
        <v>3</v>
      </c>
      <c r="T2" s="8"/>
      <c r="U2" s="8"/>
      <c r="V2" s="8"/>
      <c r="W2" s="8"/>
      <c r="X2" s="8"/>
      <c r="Y2" s="8"/>
      <c r="Z2" s="8"/>
      <c r="AA2" s="8"/>
      <c r="AB2" s="8"/>
      <c r="AC2" s="8"/>
      <c r="AD2" s="8"/>
      <c r="AE2" s="8"/>
      <c r="AF2" s="4"/>
      <c r="AG2" s="4"/>
      <c r="AH2" s="4"/>
      <c r="AI2" s="4"/>
      <c r="AJ2" s="4"/>
      <c r="AK2" s="4"/>
    </row>
    <row r="3" spans="1:126" s="15" customFormat="1" ht="22.5" customHeight="1" x14ac:dyDescent="0.3">
      <c r="A3" s="9"/>
      <c r="B3" s="9"/>
      <c r="C3" s="9"/>
      <c r="D3" s="10"/>
      <c r="E3" s="9"/>
      <c r="F3" s="9"/>
      <c r="G3" s="9"/>
      <c r="H3" s="9"/>
      <c r="I3" s="9"/>
      <c r="J3" s="9"/>
      <c r="K3" s="9"/>
      <c r="L3" s="9"/>
      <c r="M3" s="9"/>
      <c r="N3" s="10"/>
      <c r="O3" s="11"/>
      <c r="P3" s="12"/>
      <c r="Q3" s="12"/>
      <c r="R3" s="12"/>
      <c r="S3" s="13" t="s">
        <v>4</v>
      </c>
      <c r="T3" s="13"/>
      <c r="U3" s="13"/>
      <c r="V3" s="13"/>
      <c r="W3" s="13"/>
      <c r="X3" s="13"/>
      <c r="Y3" s="13"/>
      <c r="Z3" s="13"/>
      <c r="AA3" s="13"/>
      <c r="AB3" s="13"/>
      <c r="AC3" s="13"/>
      <c r="AD3" s="13"/>
      <c r="AE3" s="13"/>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I3" s="14"/>
    </row>
    <row r="4" spans="1:126" s="15" customFormat="1" ht="35.25" customHeight="1" x14ac:dyDescent="0.3">
      <c r="A4" s="16" t="s">
        <v>132</v>
      </c>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row>
    <row r="5" spans="1:126" s="22" customFormat="1" ht="4.5" customHeight="1" x14ac:dyDescent="0.25">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7"/>
      <c r="BJ5" s="18"/>
      <c r="BK5" s="19"/>
      <c r="BL5" s="19"/>
      <c r="BM5" s="20"/>
      <c r="BN5" s="21"/>
      <c r="BP5" s="18"/>
      <c r="BQ5" s="18"/>
      <c r="BR5" s="18"/>
      <c r="BS5" s="18"/>
      <c r="BU5" s="23"/>
      <c r="BV5" s="24"/>
      <c r="BW5" s="25"/>
    </row>
    <row r="6" spans="1:126" s="7" customFormat="1" ht="5.25" hidden="1" customHeight="1" x14ac:dyDescent="0.3">
      <c r="A6" s="26"/>
      <c r="B6" s="27"/>
      <c r="C6" s="26"/>
      <c r="D6" s="28" t="s">
        <v>5</v>
      </c>
      <c r="E6" s="27" t="e">
        <f>#REF!+#REF!</f>
        <v>#REF!</v>
      </c>
      <c r="F6" s="28"/>
      <c r="G6" s="29"/>
      <c r="H6" s="29"/>
      <c r="I6" s="29"/>
      <c r="J6" s="30"/>
      <c r="K6" s="30" t="s">
        <v>6</v>
      </c>
      <c r="L6" s="30"/>
      <c r="M6" s="30"/>
      <c r="N6" s="31" t="s">
        <v>6</v>
      </c>
      <c r="O6" s="31"/>
      <c r="P6" s="32"/>
      <c r="Q6" s="32"/>
      <c r="R6" s="32"/>
      <c r="S6" s="33"/>
      <c r="T6" s="34"/>
      <c r="U6" s="35"/>
      <c r="V6" s="36"/>
      <c r="W6" s="36"/>
      <c r="X6" s="37"/>
      <c r="Y6" s="38"/>
      <c r="Z6" s="39"/>
      <c r="AA6" s="40"/>
      <c r="AB6" s="41"/>
      <c r="AC6" s="42"/>
      <c r="AD6" s="39"/>
      <c r="AE6" s="40"/>
      <c r="AF6" s="43"/>
      <c r="AG6" s="43"/>
      <c r="AH6" s="43"/>
      <c r="AI6" s="43"/>
      <c r="AJ6" s="43"/>
      <c r="AK6" s="44"/>
      <c r="AL6" s="45"/>
      <c r="AM6" s="46"/>
      <c r="AN6" s="29"/>
      <c r="AO6" s="38"/>
      <c r="AP6" s="47"/>
      <c r="AQ6" s="48"/>
      <c r="AR6" s="49"/>
      <c r="AS6" s="50"/>
      <c r="AT6" s="51"/>
      <c r="AU6" s="40"/>
      <c r="AV6" s="42"/>
      <c r="AW6" s="49"/>
      <c r="AX6" s="40"/>
      <c r="AY6" s="49"/>
      <c r="AZ6" s="52"/>
      <c r="BA6" s="53"/>
      <c r="BB6" s="54"/>
      <c r="BC6" s="54"/>
      <c r="BD6" s="55"/>
      <c r="BE6" s="55"/>
      <c r="BF6" s="40"/>
      <c r="BG6" s="56"/>
      <c r="BH6" s="57"/>
      <c r="BI6" s="58"/>
      <c r="BJ6" s="59"/>
      <c r="BK6" s="19"/>
      <c r="BL6" s="19"/>
      <c r="BM6" s="20"/>
      <c r="BN6" s="60"/>
      <c r="BP6" s="59"/>
      <c r="BQ6" s="59"/>
      <c r="BR6" s="59"/>
      <c r="BS6" s="59"/>
      <c r="BU6" s="61"/>
      <c r="BV6" s="62"/>
      <c r="BW6" s="63"/>
    </row>
    <row r="7" spans="1:126" s="96" customFormat="1" ht="16.5" x14ac:dyDescent="0.25">
      <c r="A7" s="64"/>
      <c r="B7" s="65" t="s">
        <v>133</v>
      </c>
      <c r="C7" s="64"/>
      <c r="D7" s="66"/>
      <c r="E7" s="67"/>
      <c r="F7" s="68"/>
      <c r="G7" s="66"/>
      <c r="H7" s="66"/>
      <c r="I7" s="66"/>
      <c r="J7" s="69"/>
      <c r="K7" s="69"/>
      <c r="L7" s="69"/>
      <c r="M7" s="69"/>
      <c r="N7" s="65"/>
      <c r="O7" s="65"/>
      <c r="P7" s="70"/>
      <c r="Q7" s="70"/>
      <c r="R7" s="70"/>
      <c r="S7" s="71"/>
      <c r="T7" s="72"/>
      <c r="U7" s="73"/>
      <c r="V7" s="72"/>
      <c r="W7" s="72"/>
      <c r="X7" s="66"/>
      <c r="Y7" s="74"/>
      <c r="Z7" s="75"/>
      <c r="AA7" s="76"/>
      <c r="AB7" s="77"/>
      <c r="AC7" s="74"/>
      <c r="AD7" s="75"/>
      <c r="AE7" s="76"/>
      <c r="AF7" s="78"/>
      <c r="AG7" s="67"/>
      <c r="AH7" s="67"/>
      <c r="AI7" s="79"/>
      <c r="AJ7" s="80"/>
      <c r="AK7" s="81"/>
      <c r="AL7" s="82"/>
      <c r="AM7" s="83"/>
      <c r="AN7" s="66"/>
      <c r="AO7" s="74"/>
      <c r="AP7" s="84"/>
      <c r="AQ7" s="85"/>
      <c r="AR7" s="86"/>
      <c r="AS7" s="66"/>
      <c r="AT7" s="87"/>
      <c r="AU7" s="76"/>
      <c r="AV7" s="74"/>
      <c r="AW7" s="86"/>
      <c r="AX7" s="76"/>
      <c r="AY7" s="88"/>
      <c r="AZ7" s="89"/>
      <c r="BA7" s="90"/>
      <c r="BB7" s="74"/>
      <c r="BC7" s="74"/>
      <c r="BD7" s="91"/>
      <c r="BE7" s="91"/>
      <c r="BF7" s="87"/>
      <c r="BG7" s="77"/>
      <c r="BH7" s="92"/>
      <c r="BI7" s="92"/>
      <c r="BJ7" s="93"/>
      <c r="BK7" s="94"/>
      <c r="BL7" s="94"/>
      <c r="BM7" s="94"/>
      <c r="BN7" s="95"/>
      <c r="BP7" s="93"/>
      <c r="BQ7" s="93"/>
      <c r="BR7" s="93"/>
      <c r="BS7" s="93"/>
      <c r="BV7" s="97"/>
      <c r="BW7" s="92"/>
    </row>
    <row r="8" spans="1:126" s="96" customFormat="1" ht="16.5" x14ac:dyDescent="0.25">
      <c r="A8" s="64"/>
      <c r="B8" s="65"/>
      <c r="C8" s="64"/>
      <c r="D8" s="69" t="s">
        <v>7</v>
      </c>
      <c r="E8" s="67"/>
      <c r="F8" s="68"/>
      <c r="G8" s="66"/>
      <c r="H8" s="66"/>
      <c r="I8" s="66"/>
      <c r="J8" s="69"/>
      <c r="K8" s="69"/>
      <c r="L8" s="69"/>
      <c r="M8" s="69"/>
      <c r="N8" s="65"/>
      <c r="O8" s="65"/>
      <c r="P8" s="70"/>
      <c r="Q8" s="70"/>
      <c r="R8" s="70"/>
      <c r="S8" s="71"/>
      <c r="T8" s="72"/>
      <c r="U8" s="73"/>
      <c r="V8" s="72"/>
      <c r="W8" s="72"/>
      <c r="X8" s="66"/>
      <c r="Y8" s="74"/>
      <c r="Z8" s="75"/>
      <c r="AA8" s="76"/>
      <c r="AB8" s="77"/>
      <c r="AC8" s="74"/>
      <c r="AD8" s="75"/>
      <c r="AE8" s="76"/>
      <c r="AF8" s="78"/>
      <c r="AG8" s="67"/>
      <c r="AH8" s="67"/>
      <c r="AI8" s="79"/>
      <c r="AJ8" s="80"/>
      <c r="AK8" s="81"/>
      <c r="AL8" s="82"/>
      <c r="AM8" s="83"/>
      <c r="AN8" s="66"/>
      <c r="AO8" s="74"/>
      <c r="AP8" s="84"/>
      <c r="AQ8" s="85"/>
      <c r="AR8" s="86"/>
      <c r="AS8" s="66"/>
      <c r="AT8" s="87"/>
      <c r="AU8" s="76"/>
      <c r="AV8" s="74"/>
      <c r="AW8" s="86"/>
      <c r="AX8" s="76"/>
      <c r="AY8" s="88"/>
      <c r="AZ8" s="89"/>
      <c r="BA8" s="90"/>
      <c r="BB8" s="74"/>
      <c r="BC8" s="74"/>
      <c r="BD8" s="91"/>
      <c r="BE8" s="91"/>
      <c r="BF8" s="87"/>
      <c r="BG8" s="77"/>
      <c r="BH8" s="92"/>
      <c r="BI8" s="92"/>
      <c r="BJ8" s="93"/>
      <c r="BK8" s="94"/>
      <c r="BL8" s="94"/>
      <c r="BM8" s="94"/>
      <c r="BN8" s="95"/>
      <c r="BP8" s="93"/>
      <c r="BQ8" s="93"/>
      <c r="BR8" s="93"/>
      <c r="BS8" s="93"/>
      <c r="BV8" s="97"/>
      <c r="BW8" s="92"/>
    </row>
    <row r="9" spans="1:126" s="98" customFormat="1" ht="84.75" customHeight="1" x14ac:dyDescent="0.3">
      <c r="D9" s="99" t="s">
        <v>8</v>
      </c>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row>
    <row r="10" spans="1:126" s="101" customFormat="1" ht="50.25" customHeight="1" x14ac:dyDescent="0.25">
      <c r="A10" s="100"/>
      <c r="C10" s="102"/>
      <c r="D10" s="103" t="s">
        <v>9</v>
      </c>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4"/>
      <c r="BJ10" s="105"/>
      <c r="BK10" s="106"/>
      <c r="BL10" s="106"/>
      <c r="BM10" s="106"/>
      <c r="BN10" s="107"/>
      <c r="BP10" s="105"/>
      <c r="BQ10" s="105"/>
      <c r="BR10" s="105"/>
      <c r="BS10" s="105"/>
      <c r="BV10" s="108"/>
      <c r="BW10" s="104"/>
    </row>
    <row r="11" spans="1:126" s="92" customFormat="1" ht="17.25" thickBot="1" x14ac:dyDescent="0.3">
      <c r="A11" s="109"/>
      <c r="B11" s="67"/>
      <c r="C11" s="64"/>
      <c r="D11" s="65" t="s">
        <v>134</v>
      </c>
      <c r="E11" s="67"/>
      <c r="F11" s="68"/>
      <c r="G11" s="66"/>
      <c r="H11" s="66"/>
      <c r="I11" s="66"/>
      <c r="J11" s="69"/>
      <c r="K11" s="69"/>
      <c r="L11" s="69"/>
      <c r="M11" s="69"/>
      <c r="N11" s="65"/>
      <c r="O11" s="65"/>
      <c r="P11" s="70"/>
      <c r="Q11" s="70"/>
      <c r="R11" s="70"/>
      <c r="S11" s="71"/>
      <c r="T11" s="72"/>
      <c r="U11" s="73"/>
      <c r="V11" s="72"/>
      <c r="W11" s="72"/>
      <c r="X11" s="66"/>
      <c r="Y11" s="74"/>
      <c r="Z11" s="75"/>
      <c r="AA11" s="76"/>
      <c r="AB11" s="77"/>
      <c r="AC11" s="74"/>
      <c r="AD11" s="75"/>
      <c r="AE11" s="76"/>
      <c r="AF11" s="110"/>
      <c r="AG11" s="84"/>
      <c r="AH11" s="111"/>
      <c r="AI11" s="112"/>
      <c r="AJ11" s="113"/>
      <c r="AK11" s="81"/>
      <c r="AL11" s="82"/>
      <c r="AM11" s="83"/>
      <c r="AN11" s="66"/>
      <c r="AO11" s="74"/>
      <c r="AP11" s="67"/>
      <c r="AQ11" s="85"/>
      <c r="AR11" s="86"/>
      <c r="AS11" s="66"/>
      <c r="AT11" s="76"/>
      <c r="AU11" s="76"/>
      <c r="AV11" s="74"/>
      <c r="AW11" s="86"/>
      <c r="AX11" s="76"/>
      <c r="AY11" s="86"/>
      <c r="AZ11" s="89"/>
      <c r="BA11" s="90"/>
      <c r="BB11" s="74"/>
      <c r="BC11" s="74"/>
      <c r="BD11" s="91"/>
      <c r="BE11" s="91"/>
      <c r="BF11" s="76"/>
      <c r="BG11" s="77"/>
      <c r="BK11" s="94"/>
      <c r="BL11" s="94"/>
      <c r="BM11" s="94"/>
    </row>
    <row r="12" spans="1:126" s="122" customFormat="1" ht="15" customHeight="1" thickTop="1" x14ac:dyDescent="0.25">
      <c r="A12" s="114"/>
      <c r="B12" s="67" t="s">
        <v>10</v>
      </c>
      <c r="C12" s="64"/>
      <c r="D12" s="65" t="s">
        <v>11</v>
      </c>
      <c r="E12" s="67"/>
      <c r="F12" s="68"/>
      <c r="G12" s="66"/>
      <c r="H12" s="66"/>
      <c r="I12" s="66"/>
      <c r="J12" s="69"/>
      <c r="K12" s="69"/>
      <c r="L12" s="69"/>
      <c r="M12" s="69"/>
      <c r="N12" s="65"/>
      <c r="O12" s="65"/>
      <c r="P12" s="70"/>
      <c r="Q12" s="70"/>
      <c r="R12" s="70"/>
      <c r="S12" s="71"/>
      <c r="T12" s="72"/>
      <c r="U12" s="73"/>
      <c r="V12" s="72"/>
      <c r="W12" s="72"/>
      <c r="X12" s="66"/>
      <c r="Y12" s="74"/>
      <c r="Z12" s="75"/>
      <c r="AA12" s="76"/>
      <c r="AB12" s="77"/>
      <c r="AC12" s="74"/>
      <c r="AD12" s="75"/>
      <c r="AE12" s="76"/>
      <c r="AF12" s="115"/>
      <c r="AG12" s="79"/>
      <c r="AH12" s="79"/>
      <c r="AI12" s="116"/>
      <c r="AJ12" s="80"/>
      <c r="AK12" s="81"/>
      <c r="AL12" s="82"/>
      <c r="AM12" s="83"/>
      <c r="AN12" s="66"/>
      <c r="AO12" s="74"/>
      <c r="AP12" s="84"/>
      <c r="AQ12" s="85"/>
      <c r="AR12" s="86"/>
      <c r="AS12" s="66"/>
      <c r="AT12" s="87"/>
      <c r="AU12" s="76"/>
      <c r="AV12" s="74"/>
      <c r="AW12" s="86"/>
      <c r="AX12" s="76"/>
      <c r="AY12" s="88"/>
      <c r="AZ12" s="89"/>
      <c r="BA12" s="90"/>
      <c r="BB12" s="74"/>
      <c r="BC12" s="74"/>
      <c r="BD12" s="91"/>
      <c r="BE12" s="91"/>
      <c r="BF12" s="87"/>
      <c r="BG12" s="77"/>
      <c r="BH12" s="92"/>
      <c r="BI12" s="117"/>
      <c r="BJ12" s="117"/>
      <c r="BK12" s="117"/>
      <c r="BL12" s="118"/>
      <c r="BM12" s="117"/>
      <c r="BN12" s="119"/>
      <c r="BO12" s="119"/>
      <c r="BP12" s="120"/>
      <c r="BQ12" s="120"/>
      <c r="BR12" s="120"/>
      <c r="BS12" s="120"/>
      <c r="BT12" s="120"/>
      <c r="BU12" s="121"/>
      <c r="BV12" s="117"/>
      <c r="BW12" s="118"/>
      <c r="BX12" s="119"/>
      <c r="CQ12" s="117"/>
      <c r="CR12" s="114"/>
      <c r="CS12" s="123"/>
      <c r="CT12" s="118"/>
      <c r="CU12" s="123"/>
      <c r="CV12" s="123"/>
      <c r="CW12" s="117"/>
      <c r="CX12" s="117"/>
      <c r="CY12" s="117"/>
      <c r="CZ12" s="123"/>
      <c r="DA12" s="123"/>
      <c r="DB12" s="117"/>
      <c r="DC12" s="117"/>
    </row>
    <row r="13" spans="1:126" s="137" customFormat="1" ht="16.5" customHeight="1" x14ac:dyDescent="0.3">
      <c r="A13" s="124"/>
      <c r="B13" s="125"/>
      <c r="C13" s="125"/>
      <c r="D13" s="28" t="s">
        <v>12</v>
      </c>
      <c r="E13" s="126">
        <f>B19+B35</f>
        <v>15</v>
      </c>
      <c r="F13" s="127"/>
      <c r="G13" s="127"/>
      <c r="H13" s="127"/>
      <c r="I13" s="128"/>
      <c r="J13" s="129"/>
      <c r="K13" s="129"/>
      <c r="L13" s="129"/>
      <c r="M13" s="129"/>
      <c r="N13" s="129"/>
      <c r="O13" s="30"/>
      <c r="P13" s="30"/>
      <c r="Q13" s="30"/>
      <c r="R13" s="30"/>
      <c r="S13" s="130"/>
      <c r="T13" s="27"/>
      <c r="U13" s="27"/>
      <c r="V13" s="127"/>
      <c r="W13" s="127"/>
      <c r="X13" s="30"/>
      <c r="Y13" s="127"/>
      <c r="Z13" s="30"/>
      <c r="AA13" s="127"/>
      <c r="AB13" s="30"/>
      <c r="AC13" s="30"/>
      <c r="AD13" s="30"/>
      <c r="AE13" s="34"/>
      <c r="AF13" s="131"/>
      <c r="AG13" s="132"/>
      <c r="AH13" s="133"/>
      <c r="AI13" s="134"/>
      <c r="AJ13" s="135"/>
      <c r="AK13" s="129"/>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J13" s="353"/>
      <c r="BK13" s="354"/>
      <c r="BL13" s="354"/>
      <c r="BM13" s="354"/>
      <c r="BN13" s="354"/>
      <c r="BO13" s="354"/>
      <c r="BP13" s="354"/>
      <c r="BQ13" s="354"/>
      <c r="BR13" s="354"/>
      <c r="BS13" s="354"/>
      <c r="BT13" s="354"/>
      <c r="BU13" s="354"/>
      <c r="BV13" s="354"/>
      <c r="BW13" s="354"/>
      <c r="BX13" s="354"/>
      <c r="BY13" s="354"/>
      <c r="BZ13" s="354"/>
      <c r="CA13" s="354"/>
      <c r="CB13" s="354"/>
      <c r="CC13" s="354"/>
      <c r="CD13" s="354"/>
      <c r="CE13" s="354"/>
      <c r="CF13" s="354"/>
      <c r="CG13" s="354"/>
      <c r="CH13" s="354"/>
      <c r="CI13" s="354"/>
      <c r="CJ13" s="354"/>
      <c r="CK13" s="354"/>
      <c r="CL13" s="354"/>
      <c r="CM13" s="354"/>
      <c r="CN13" s="354"/>
      <c r="CO13" s="354"/>
      <c r="CP13" s="354"/>
      <c r="CQ13" s="354"/>
      <c r="CR13" s="354"/>
      <c r="CS13" s="354"/>
      <c r="CT13" s="354"/>
      <c r="CU13" s="354"/>
      <c r="CV13" s="354"/>
      <c r="CW13" s="354"/>
      <c r="CX13" s="354"/>
      <c r="CY13" s="354"/>
    </row>
    <row r="14" spans="1:126" s="164" customFormat="1" ht="3" customHeight="1" thickBot="1" x14ac:dyDescent="0.3">
      <c r="A14" s="138">
        <v>92</v>
      </c>
      <c r="B14" s="139"/>
      <c r="C14" s="139"/>
      <c r="D14" s="140"/>
      <c r="E14" s="141"/>
      <c r="F14" s="139"/>
      <c r="G14" s="139"/>
      <c r="H14" s="142"/>
      <c r="I14" s="143"/>
      <c r="J14" s="139"/>
      <c r="K14" s="139"/>
      <c r="L14" s="139"/>
      <c r="M14" s="139"/>
      <c r="N14" s="144"/>
      <c r="O14" s="144"/>
      <c r="P14" s="144"/>
      <c r="Q14" s="144"/>
      <c r="R14" s="144"/>
      <c r="S14" s="145"/>
      <c r="T14" s="146"/>
      <c r="U14" s="147"/>
      <c r="V14" s="146"/>
      <c r="W14" s="146"/>
      <c r="X14" s="148"/>
      <c r="Y14" s="149"/>
      <c r="Z14" s="147"/>
      <c r="AA14" s="150"/>
      <c r="AB14" s="151"/>
      <c r="AC14" s="148"/>
      <c r="AD14" s="152"/>
      <c r="AE14" s="148"/>
      <c r="AF14" s="153"/>
      <c r="AG14" s="154"/>
      <c r="AH14" s="155"/>
      <c r="AI14" s="156"/>
      <c r="AJ14" s="157"/>
      <c r="AK14" s="158"/>
      <c r="AL14" s="159"/>
      <c r="AM14" s="139"/>
      <c r="AN14" s="159"/>
      <c r="AO14" s="159"/>
      <c r="AP14" s="159"/>
      <c r="AQ14" s="159"/>
      <c r="AR14" s="159"/>
      <c r="AS14" s="159"/>
      <c r="AT14" s="159"/>
      <c r="AU14" s="159"/>
      <c r="AV14" s="159"/>
      <c r="AW14" s="159"/>
      <c r="AX14" s="160"/>
      <c r="AY14" s="159"/>
      <c r="AZ14" s="159"/>
      <c r="BA14" s="159"/>
      <c r="BB14" s="159"/>
      <c r="BC14" s="159"/>
      <c r="BD14" s="159"/>
      <c r="BE14" s="159"/>
      <c r="BF14" s="159"/>
      <c r="BG14" s="159"/>
      <c r="BH14" s="159"/>
      <c r="BI14" s="161"/>
      <c r="BJ14" s="355"/>
      <c r="BK14" s="356" t="s">
        <v>13</v>
      </c>
      <c r="BL14" s="357" t="str">
        <f>IF(O29="Cơ sở Học viện Hành chính khu vực miền Trung","B",IF(O29="Phân viện Khu vực Tây Nguyên","C",IF(O29="Cơ sở Học viện Hành chính tại thành phố Hồ Chí Minh","D","A")))</f>
        <v>A</v>
      </c>
      <c r="BM14" s="356" t="e">
        <f>IF(AND(AB29&gt;0,X29&lt;(Z29-1),BN14&gt;0,BN14&lt;13,OR(AND(BT14="Cùg Ng",(#REF!-BP14)&gt;AM29),BT14="- - -")),"Sớm TT","=&gt; s")</f>
        <v>#REF!</v>
      </c>
      <c r="BN14" s="358" t="e">
        <f>IF(AM29=3,36-(12*(#REF!-AJ29)+(12-AH29)-AO29),IF(AM29=2,24-(12*(#REF!-AJ29)+(12-AH29)-AO29),"---"))</f>
        <v>#REF!</v>
      </c>
      <c r="BO14" s="359" t="str">
        <f>IF(BP14&gt;1,"S","---")</f>
        <v>---</v>
      </c>
      <c r="BP14" s="360"/>
      <c r="BQ14" s="361"/>
      <c r="BR14" s="362"/>
      <c r="BS14" s="362"/>
      <c r="BT14" s="360" t="str">
        <f>IF(V29=BQ14,"Cùg Ng","- - -")</f>
        <v>- - -</v>
      </c>
      <c r="BU14" s="363" t="str">
        <f>IF(BW14&gt;2000,"NN","- - -")</f>
        <v>- - -</v>
      </c>
      <c r="BV14" s="356"/>
      <c r="BW14" s="356"/>
      <c r="BX14" s="364"/>
      <c r="BY14" s="364"/>
      <c r="BZ14" s="364" t="str">
        <f>IF(CB14&gt;2000,"CN","- - -")</f>
        <v>- - -</v>
      </c>
      <c r="CA14" s="364"/>
      <c r="CB14" s="364"/>
      <c r="CC14" s="364"/>
      <c r="CD14" s="364"/>
      <c r="CE14" s="364" t="e">
        <f>IF(AND(CF14="Hưu",X29&lt;(Z29-1),CM14&gt;0,CM14&lt;18,OR(AU29&lt;4,AND(AU29&gt;3,OR(BG29&lt;3,BG29&gt;5)))),"Lg Sớm",IF(AND(CF14="Hưu",X29&gt;(Z29-2),OR(AR29=0.33,AR29=0.34),OR(AU29&lt;4,AND(AU29&gt;3,OR(BG29&lt;3,BG29&gt;5)))),"Nâng Ngạch",IF(AND(CF14="Hưu",AM29=1,CM14&gt;2,CM14&lt;6,OR(AU29&lt;4,AND(AU29&gt;3,OR(BG29&lt;3,BG29&gt;5)))),"Nâng PcVK cùng QĐ",IF(AND(CF14="Hưu",AU29&gt;3,BG29&gt;2,BG29&lt;6,X29&lt;(Z29-1),CM14&gt;17,OR(AM29&gt;1,AND(AM29=1,OR(CM14&lt;3,CM14&gt;5)))),"Nâng PcNG cùng QĐ",IF(AND(CF14="Hưu",X29&lt;(Z29-1),CM14&gt;0,CM14&lt;18,AU29&gt;3,BG29&gt;2,BG29&lt;6),"Nâng Lg Sớm +(PcNG cùng QĐ)",IF(AND(CF14="Hưu",X29&gt;(Z29-2),OR(AR29=0.33,AR29=0.34),AU29&gt;3,BG29&gt;2,BG29&lt;6),"Nâng Ngạch +(PcNG cùng QĐ)",IF(AND(CF14="Hưu",AM29=1,CM14&gt;2,CM14&lt;6,AU29&gt;3,BG29&gt;2,BG29&lt;6),"Nâng (PcVK +PcNG) cùng QĐ",("---"))))))))</f>
        <v>#REF!</v>
      </c>
      <c r="CF14" s="364" t="e">
        <f>IF(AND(CQ14&gt;CP14,CQ14&lt;(CP14+13)),"Hưu",IF(AND(CQ14&gt;(CP14+12),CQ14&lt;1000),"Quá","/-/ /-/"))</f>
        <v>#REF!</v>
      </c>
      <c r="CG14" s="364">
        <f>IF((H29+0)&lt;12,(H29+0)+1,IF((H29+0)=12,1,IF((H29+0)&gt;12,(H29+0)-12)))</f>
        <v>7</v>
      </c>
      <c r="CH14" s="364">
        <f>IF(OR((H29+0)=12,(H29+0)&gt;12),J29+CP14/12+1,IF(AND((H29+0)&gt;0,(H29+0)&lt;12),J29+CP14/12,"---"))</f>
        <v>2039</v>
      </c>
      <c r="CI14" s="364">
        <f>IF(AND(CG14&gt;3,CG14&lt;13),CG14-3,IF(CG14&lt;4,CG14-3+12))</f>
        <v>4</v>
      </c>
      <c r="CJ14" s="364">
        <f>IF(CI14&lt;CG14,CH14,IF(CI14&gt;CG14,CH14-1))</f>
        <v>2039</v>
      </c>
      <c r="CK14" s="364">
        <f>IF(CG14&gt;6,CG14-6,IF(CG14=6,12,IF(CG14&lt;6,CG14+6)))</f>
        <v>1</v>
      </c>
      <c r="CL14" s="364">
        <f>IF(CG14&gt;6,CH14,IF(CG14&lt;7,CH14-1))</f>
        <v>2039</v>
      </c>
      <c r="CM14" s="364" t="e">
        <f>IF(AND(CF14="Hưu",AM29=3),36+AO29-(12*(CL14-AJ29)+(CK14-AH29)),IF(AND(CF14="Hưu",AM29=2),24+AO29-(12*(CL14-AJ29)+(CK14-AH29)),IF(AND(CF14="Hưu",AM29=1),12+AO29-(12*(CL14-AJ29)+(CK14-AH29)),"- - -")))</f>
        <v>#REF!</v>
      </c>
      <c r="CN14" s="365" t="str">
        <f>IF(CO14&gt;0,"K.Dài",". .")</f>
        <v>. .</v>
      </c>
      <c r="CO14" s="366"/>
      <c r="CP14" s="367">
        <f>IF(E29="Nam",(60+CO14)*12,IF(E29="Nữ",(55+CO14)*12,))</f>
        <v>720</v>
      </c>
      <c r="CQ14" s="368" t="e">
        <f>12*(#REF!-J29)+(12-H29)</f>
        <v>#REF!</v>
      </c>
      <c r="CR14" s="369" t="e">
        <f>#REF!-J29</f>
        <v>#REF!</v>
      </c>
      <c r="CS14" s="370" t="e">
        <f>IF(AND(CR14&lt;35,E29="Nam"),"Nam dưới 35",IF(AND(CR14&lt;30,E29="Nữ"),"Nữ dưới 30",IF(AND(CR14&gt;34,CR14&lt;46,E29="Nam"),"Nam từ 35 - 45",IF(AND(CR14&gt;29,CR14&lt;41,E29="Nữ"),"Nữ từ 30 - 40",IF(AND(CR14&gt;45,CR14&lt;56,E29="Nam"),"Nam trên 45 - 55",IF(AND(CR14&gt;40,CR14&lt;51,E29="Nữ"),"Nữ trên 40 - 50",IF(AND(CR14&gt;55,E29="Nam"),"Nam trên 55","Nữ trên 50")))))))</f>
        <v>#REF!</v>
      </c>
      <c r="CT14" s="371"/>
      <c r="CU14" s="372"/>
      <c r="CV14" s="373" t="e">
        <f>IF(CR14&lt;31,"Đến 30",IF(AND(CR14&gt;30,CR14&lt;46),"31 - 45",IF(AND(CR14&gt;45,CR14&lt;70),"Trên 45")))</f>
        <v>#REF!</v>
      </c>
      <c r="CW14" s="374" t="str">
        <f>IF(CX14&gt;0,"TD","--")</f>
        <v>TD</v>
      </c>
      <c r="CX14" s="374">
        <v>2009</v>
      </c>
      <c r="CY14" s="371"/>
      <c r="CZ14" s="168"/>
      <c r="DA14" s="169"/>
      <c r="DB14" s="170"/>
      <c r="DC14" s="170"/>
      <c r="DH14" s="164" t="s">
        <v>14</v>
      </c>
      <c r="DI14" s="164" t="s">
        <v>15</v>
      </c>
      <c r="DJ14" s="164" t="s">
        <v>16</v>
      </c>
      <c r="DK14" s="164" t="s">
        <v>15</v>
      </c>
      <c r="DL14" s="164">
        <v>2009</v>
      </c>
      <c r="DM14" s="164">
        <f>(DH14+0)-(DO14+0)</f>
        <v>0</v>
      </c>
      <c r="DN14" s="164" t="str">
        <f>IF(DM14&gt;0,"Sửa","- - -")</f>
        <v>- - -</v>
      </c>
      <c r="DO14" s="164" t="s">
        <v>14</v>
      </c>
      <c r="DP14" s="164" t="s">
        <v>15</v>
      </c>
      <c r="DQ14" s="164" t="s">
        <v>16</v>
      </c>
      <c r="DR14" s="164" t="s">
        <v>15</v>
      </c>
      <c r="DS14" s="164">
        <v>2009</v>
      </c>
      <c r="DU14" s="164" t="str">
        <f>IF(AND(AR29&gt;0.34,AB29=1,OR(AQ29=6.2,AQ29=5.75)),((AQ29-DT14)-2*0.34),IF(AND(AR29&gt;0.33,AB29=1,OR(AQ29=4.4,AQ29=4)),((AQ29-DT14)-2*0.33),"- - -"))</f>
        <v>- - -</v>
      </c>
      <c r="DV14" s="164" t="e">
        <f>IF(CF14="Hưu",12*(CL14-AJ29)+(CK14-AH29),"---")</f>
        <v>#REF!</v>
      </c>
    </row>
    <row r="15" spans="1:126" s="177" customFormat="1" ht="24.75" customHeight="1" x14ac:dyDescent="0.25">
      <c r="A15" s="237"/>
      <c r="B15" s="423" t="s">
        <v>17</v>
      </c>
      <c r="C15" s="424"/>
      <c r="D15" s="425" t="s">
        <v>18</v>
      </c>
      <c r="E15" s="425" t="s">
        <v>19</v>
      </c>
      <c r="F15" s="426"/>
      <c r="G15" s="426"/>
      <c r="H15" s="426"/>
      <c r="I15" s="426"/>
      <c r="J15" s="426"/>
      <c r="K15" s="424"/>
      <c r="L15" s="424"/>
      <c r="M15" s="424"/>
      <c r="N15" s="425" t="s">
        <v>20</v>
      </c>
      <c r="O15" s="425"/>
      <c r="P15" s="427"/>
      <c r="Q15" s="427"/>
      <c r="R15" s="427"/>
      <c r="S15" s="428" t="s">
        <v>21</v>
      </c>
      <c r="T15" s="429"/>
      <c r="U15" s="425" t="s">
        <v>22</v>
      </c>
      <c r="V15" s="425" t="s">
        <v>23</v>
      </c>
      <c r="W15" s="424"/>
      <c r="X15" s="425" t="s">
        <v>24</v>
      </c>
      <c r="Y15" s="425"/>
      <c r="Z15" s="425"/>
      <c r="AA15" s="425"/>
      <c r="AB15" s="425"/>
      <c r="AC15" s="425"/>
      <c r="AD15" s="425"/>
      <c r="AE15" s="425"/>
      <c r="AF15" s="425"/>
      <c r="AG15" s="425"/>
      <c r="AH15" s="425"/>
      <c r="AI15" s="425"/>
      <c r="AJ15" s="425"/>
      <c r="AK15" s="425" t="s">
        <v>25</v>
      </c>
      <c r="AL15" s="424"/>
      <c r="AM15" s="425" t="s">
        <v>26</v>
      </c>
      <c r="AN15" s="424"/>
      <c r="AO15" s="424"/>
      <c r="AP15" s="424"/>
      <c r="AQ15" s="424"/>
      <c r="AR15" s="424"/>
      <c r="AS15" s="424"/>
      <c r="AT15" s="424"/>
      <c r="AU15" s="424"/>
      <c r="AV15" s="424"/>
      <c r="AW15" s="424"/>
      <c r="AX15" s="425" t="s">
        <v>27</v>
      </c>
      <c r="AY15" s="424"/>
      <c r="AZ15" s="424"/>
      <c r="BA15" s="424"/>
      <c r="BB15" s="424"/>
      <c r="BC15" s="424"/>
      <c r="BD15" s="424"/>
      <c r="BE15" s="424"/>
      <c r="BF15" s="424"/>
      <c r="BG15" s="424"/>
      <c r="BH15" s="430" t="s">
        <v>27</v>
      </c>
      <c r="BI15" s="399"/>
      <c r="BJ15" s="400"/>
      <c r="BK15" s="401"/>
      <c r="BL15" s="402"/>
      <c r="BM15" s="401"/>
      <c r="BN15" s="403"/>
      <c r="BO15" s="404"/>
      <c r="BP15" s="405"/>
      <c r="BQ15" s="406"/>
      <c r="BR15" s="406"/>
      <c r="BS15" s="406"/>
      <c r="BT15" s="405"/>
      <c r="BU15" s="404"/>
      <c r="BV15" s="401"/>
      <c r="BW15" s="401"/>
      <c r="BX15" s="407"/>
      <c r="BY15" s="407"/>
      <c r="BZ15" s="407"/>
      <c r="CA15" s="407"/>
      <c r="CB15" s="407"/>
      <c r="CC15" s="407"/>
      <c r="CD15" s="407"/>
      <c r="CE15" s="407"/>
      <c r="CF15" s="407"/>
      <c r="CG15" s="407"/>
      <c r="CH15" s="407"/>
      <c r="CI15" s="407"/>
      <c r="CJ15" s="407"/>
      <c r="CK15" s="407"/>
      <c r="CL15" s="407"/>
      <c r="CM15" s="407"/>
      <c r="CN15" s="408"/>
      <c r="CO15" s="405"/>
      <c r="CP15" s="409"/>
      <c r="CQ15" s="410"/>
      <c r="CR15" s="411"/>
      <c r="CS15" s="412"/>
      <c r="CT15" s="413"/>
      <c r="CU15" s="411"/>
      <c r="CV15" s="414"/>
      <c r="CW15" s="398"/>
      <c r="CX15" s="376"/>
      <c r="CY15" s="375"/>
      <c r="CZ15" s="181"/>
      <c r="DA15" s="182"/>
      <c r="DB15" s="183"/>
      <c r="DC15" s="183"/>
    </row>
    <row r="16" spans="1:126" s="177" customFormat="1" ht="28.5" customHeight="1" x14ac:dyDescent="0.25">
      <c r="A16" s="237">
        <v>163</v>
      </c>
      <c r="B16" s="431"/>
      <c r="C16" s="184"/>
      <c r="D16" s="173"/>
      <c r="E16" s="173"/>
      <c r="F16" s="185"/>
      <c r="G16" s="185"/>
      <c r="H16" s="185"/>
      <c r="I16" s="185"/>
      <c r="J16" s="185"/>
      <c r="K16" s="184"/>
      <c r="L16" s="184"/>
      <c r="M16" s="184"/>
      <c r="N16" s="173"/>
      <c r="O16" s="173"/>
      <c r="P16" s="186"/>
      <c r="Q16" s="186"/>
      <c r="R16" s="186"/>
      <c r="S16" s="187"/>
      <c r="T16" s="188"/>
      <c r="U16" s="173"/>
      <c r="V16" s="173"/>
      <c r="W16" s="184"/>
      <c r="X16" s="432" t="s">
        <v>28</v>
      </c>
      <c r="Y16" s="432"/>
      <c r="Z16" s="432"/>
      <c r="AA16" s="189" t="s">
        <v>29</v>
      </c>
      <c r="AB16" s="432" t="s">
        <v>30</v>
      </c>
      <c r="AC16" s="432"/>
      <c r="AD16" s="432"/>
      <c r="AE16" s="189" t="s">
        <v>31</v>
      </c>
      <c r="AF16" s="432" t="s">
        <v>32</v>
      </c>
      <c r="AG16" s="432"/>
      <c r="AH16" s="432"/>
      <c r="AI16" s="432"/>
      <c r="AJ16" s="432"/>
      <c r="AK16" s="173"/>
      <c r="AL16" s="184"/>
      <c r="AM16" s="173"/>
      <c r="AN16" s="184"/>
      <c r="AO16" s="184"/>
      <c r="AP16" s="184"/>
      <c r="AQ16" s="184"/>
      <c r="AR16" s="184"/>
      <c r="AS16" s="184"/>
      <c r="AT16" s="184"/>
      <c r="AU16" s="184"/>
      <c r="AV16" s="184"/>
      <c r="AW16" s="184"/>
      <c r="AX16" s="173"/>
      <c r="AY16" s="184"/>
      <c r="AZ16" s="184"/>
      <c r="BA16" s="184"/>
      <c r="BB16" s="184"/>
      <c r="BC16" s="184"/>
      <c r="BD16" s="184"/>
      <c r="BE16" s="184"/>
      <c r="BF16" s="184"/>
      <c r="BG16" s="184"/>
      <c r="BH16" s="433"/>
      <c r="BI16" s="399"/>
      <c r="BJ16" s="400"/>
      <c r="BK16" s="401" t="s">
        <v>33</v>
      </c>
      <c r="BL16" s="402" t="str">
        <f>IF(O31="Cơ sở Học viện Hành chính khu vực miền Trung","B",IF(O31="Phân viện Khu vực Tây Nguyên","C",IF(O31="Cơ sở Học viện Hành chính tại thành phố Hồ Chí Minh","D","A")))</f>
        <v>A</v>
      </c>
      <c r="BM16" s="401" t="e">
        <f>IF(AND(AB31&gt;0,X31&lt;(Z31-1),BN16&gt;0,BN16&lt;13,OR(AND(BT16="Cùg Ng",(#REF!-BP16)&gt;AM31),BT16="- - -")),"Sớm TT","=&gt; s")</f>
        <v>#REF!</v>
      </c>
      <c r="BN16" s="403" t="e">
        <f>IF(AM31=3,36-(12*(#REF!-AJ31)+(12-AH31)-AO31),IF(AM31=2,24-(12*(#REF!-AJ31)+(12-AH31)-AO31),"---"))</f>
        <v>#REF!</v>
      </c>
      <c r="BO16" s="404" t="str">
        <f>IF(BP16&gt;1,"S","---")</f>
        <v>---</v>
      </c>
      <c r="BP16" s="405"/>
      <c r="BQ16" s="406"/>
      <c r="BR16" s="406"/>
      <c r="BS16" s="406"/>
      <c r="BT16" s="405" t="str">
        <f>IF(V31=BQ16,"Cùg Ng","- - -")</f>
        <v>- - -</v>
      </c>
      <c r="BU16" s="404" t="str">
        <f>IF(BW16&gt;2000,"NN","- - -")</f>
        <v>- - -</v>
      </c>
      <c r="BV16" s="401"/>
      <c r="BW16" s="401"/>
      <c r="BX16" s="407"/>
      <c r="BY16" s="407"/>
      <c r="BZ16" s="407" t="str">
        <f>IF(CB16&gt;2000,"CN","- - -")</f>
        <v>- - -</v>
      </c>
      <c r="CA16" s="407"/>
      <c r="CB16" s="407"/>
      <c r="CC16" s="407"/>
      <c r="CD16" s="407"/>
      <c r="CE16" s="407" t="e">
        <f>IF(AND(CF16="Hưu",X31&lt;(Z31-1),CM16&gt;0,CM16&lt;18,OR(AU31&lt;4,AND(AU31&gt;3,OR(BG31&lt;3,BG31&gt;5)))),"Lg Sớm",IF(AND(CF16="Hưu",X31&gt;(Z31-2),OR(AR31=0.33,AR31=0.34),OR(AU31&lt;4,AND(AU31&gt;3,OR(BG31&lt;3,BG31&gt;5)))),"Nâng Ngạch",IF(AND(CF16="Hưu",AM31=1,CM16&gt;2,CM16&lt;6,OR(AU31&lt;4,AND(AU31&gt;3,OR(BG31&lt;3,BG31&gt;5)))),"Nâng PcVK cùng QĐ",IF(AND(CF16="Hưu",AU31&gt;3,BG31&gt;2,BG31&lt;6,X31&lt;(Z31-1),CM16&gt;17,OR(AM31&gt;1,AND(AM31=1,OR(CM16&lt;3,CM16&gt;5)))),"Nâng PcNG cùng QĐ",IF(AND(CF16="Hưu",X31&lt;(Z31-1),CM16&gt;0,CM16&lt;18,AU31&gt;3,BG31&gt;2,BG31&lt;6),"Nâng Lg Sớm +(PcNG cùng QĐ)",IF(AND(CF16="Hưu",X31&gt;(Z31-2),OR(AR31=0.33,AR31=0.34),AU31&gt;3,BG31&gt;2,BG31&lt;6),"Nâng Ngạch +(PcNG cùng QĐ)",IF(AND(CF16="Hưu",AM31=1,CM16&gt;2,CM16&lt;6,AU31&gt;3,BG31&gt;2,BG31&lt;6),"Nâng (PcVK +PcNG) cùng QĐ",("---"))))))))</f>
        <v>#REF!</v>
      </c>
      <c r="CF16" s="407" t="e">
        <f>IF(AND(CQ16&gt;CP16,CQ16&lt;(CP16+13)),"Hưu",IF(AND(CQ16&gt;(CP16+12),CQ16&lt;1000),"Quá","/-/ /-/"))</f>
        <v>#REF!</v>
      </c>
      <c r="CG16" s="407">
        <f>IF((H31+0)&lt;12,(H31+0)+1,IF((H31+0)=12,1,IF((H31+0)&gt;12,(H31+0)-12)))</f>
        <v>11</v>
      </c>
      <c r="CH16" s="407">
        <f>IF(OR((H31+0)=12,(H31+0)&gt;12),J31+CP16/12+1,IF(AND((H31+0)&gt;0,(H31+0)&lt;12),J31+CP16/12,"---"))</f>
        <v>2037</v>
      </c>
      <c r="CI16" s="407">
        <f>IF(AND(CG16&gt;3,CG16&lt;13),CG16-3,IF(CG16&lt;4,CG16-3+12))</f>
        <v>8</v>
      </c>
      <c r="CJ16" s="407">
        <f>IF(CI16&lt;CG16,CH16,IF(CI16&gt;CG16,CH16-1))</f>
        <v>2037</v>
      </c>
      <c r="CK16" s="407">
        <f>IF(CG16&gt;6,CG16-6,IF(CG16=6,12,IF(CG16&lt;6,CG16+6)))</f>
        <v>5</v>
      </c>
      <c r="CL16" s="407">
        <f>IF(CG16&gt;6,CH16,IF(CG16&lt;7,CH16-1))</f>
        <v>2037</v>
      </c>
      <c r="CM16" s="407" t="e">
        <f>IF(AND(CF16="Hưu",AM31=3),36+AO31-(12*(CL16-AJ31)+(CK16-AH31)),IF(AND(CF16="Hưu",AM31=2),24+AO31-(12*(CL16-AJ31)+(CK16-AH31)),IF(AND(CF16="Hưu",AM31=1),12+AO31-(12*(CL16-AJ31)+(CK16-AH31)),"- - -")))</f>
        <v>#REF!</v>
      </c>
      <c r="CN16" s="408" t="str">
        <f>IF(CO16&gt;0,"K.Dài",". .")</f>
        <v>. .</v>
      </c>
      <c r="CO16" s="405"/>
      <c r="CP16" s="409">
        <f>IF(E31="Nam",(60+CO16)*12,IF(E31="Nữ",(55+CO16)*12,))</f>
        <v>660</v>
      </c>
      <c r="CQ16" s="410" t="e">
        <f>12*(#REF!-J31)+(12-H31)</f>
        <v>#REF!</v>
      </c>
      <c r="CR16" s="411" t="e">
        <f>#REF!-J31</f>
        <v>#REF!</v>
      </c>
      <c r="CS16" s="412" t="e">
        <f>IF(AND(CR16&lt;35,E31="Nam"),"Nam dưới 35",IF(AND(CR16&lt;30,E31="Nữ"),"Nữ dưới 30",IF(AND(CR16&gt;34,CR16&lt;46,E31="Nam"),"Nam từ 35 - 45",IF(AND(CR16&gt;29,CR16&lt;41,E31="Nữ"),"Nữ từ 30 - 40",IF(AND(CR16&gt;45,CR16&lt;56,E31="Nam"),"Nam trên 45 - 55",IF(AND(CR16&gt;40,CR16&lt;51,E31="Nữ"),"Nữ trên 40 - 50",IF(AND(CR16&gt;55,E31="Nam"),"Nam trên 55","Nữ trên 50")))))))</f>
        <v>#REF!</v>
      </c>
      <c r="CT16" s="413"/>
      <c r="CU16" s="411"/>
      <c r="CV16" s="414" t="e">
        <f>IF(CR16&lt;31,"Đến 30",IF(AND(CR16&gt;30,CR16&lt;46),"31 - 45",IF(AND(CR16&gt;45,CR16&lt;70),"Trên 45")))</f>
        <v>#REF!</v>
      </c>
      <c r="CW16" s="398" t="str">
        <f>IF(CX16&gt;0,"TD","--")</f>
        <v>--</v>
      </c>
      <c r="CX16" s="376"/>
      <c r="CY16" s="375"/>
      <c r="CZ16" s="181"/>
      <c r="DA16" s="182"/>
      <c r="DB16" s="183"/>
      <c r="DC16" s="183"/>
      <c r="DG16" s="177" t="s">
        <v>34</v>
      </c>
      <c r="DH16" s="177" t="s">
        <v>14</v>
      </c>
      <c r="DI16" s="177" t="s">
        <v>15</v>
      </c>
      <c r="DJ16" s="177" t="s">
        <v>35</v>
      </c>
      <c r="DK16" s="177" t="s">
        <v>15</v>
      </c>
      <c r="DL16" s="177" t="s">
        <v>36</v>
      </c>
      <c r="DM16" s="177">
        <f>(DH16+0)-(DO16+0)</f>
        <v>0</v>
      </c>
      <c r="DN16" s="177" t="str">
        <f>IF(DM16&gt;0,"Sửa","- - -")</f>
        <v>- - -</v>
      </c>
      <c r="DO16" s="177" t="s">
        <v>14</v>
      </c>
      <c r="DP16" s="177" t="s">
        <v>15</v>
      </c>
      <c r="DQ16" s="177" t="s">
        <v>35</v>
      </c>
      <c r="DR16" s="177" t="s">
        <v>15</v>
      </c>
      <c r="DS16" s="177" t="s">
        <v>36</v>
      </c>
      <c r="DU16" s="177" t="str">
        <f>IF(AND(AR31&gt;0.34,AB31=1,OR(AQ31=6.2,AQ31=5.75)),((AQ31-DT16)-2*0.34),IF(AND(AR31&gt;0.33,AB31=1,OR(AQ31=4.4,AQ31=4)),((AQ31-DT16)-2*0.33),"- - -"))</f>
        <v>- - -</v>
      </c>
      <c r="DV16" s="177" t="e">
        <f>IF(CF16="Hưu",12*(CL16-AJ31)+(CK16-AH31),"---")</f>
        <v>#REF!</v>
      </c>
    </row>
    <row r="17" spans="1:126" s="190" customFormat="1" ht="12.75" x14ac:dyDescent="0.25">
      <c r="B17" s="434">
        <v>1</v>
      </c>
      <c r="C17" s="191"/>
      <c r="D17" s="191">
        <v>2</v>
      </c>
      <c r="E17" s="191">
        <v>3</v>
      </c>
      <c r="F17" s="191"/>
      <c r="G17" s="191"/>
      <c r="H17" s="191"/>
      <c r="I17" s="191"/>
      <c r="J17" s="191"/>
      <c r="K17" s="191"/>
      <c r="L17" s="191"/>
      <c r="M17" s="191"/>
      <c r="N17" s="192">
        <v>4</v>
      </c>
      <c r="O17" s="192"/>
      <c r="P17" s="191"/>
      <c r="Q17" s="191"/>
      <c r="R17" s="191"/>
      <c r="S17" s="192">
        <v>5</v>
      </c>
      <c r="T17" s="192"/>
      <c r="U17" s="191">
        <v>5</v>
      </c>
      <c r="V17" s="191">
        <v>6</v>
      </c>
      <c r="W17" s="191"/>
      <c r="X17" s="192">
        <v>6</v>
      </c>
      <c r="Y17" s="192"/>
      <c r="Z17" s="192"/>
      <c r="AA17" s="191">
        <v>7</v>
      </c>
      <c r="AB17" s="192">
        <v>8</v>
      </c>
      <c r="AC17" s="192"/>
      <c r="AD17" s="192"/>
      <c r="AE17" s="191">
        <v>9</v>
      </c>
      <c r="AF17" s="192">
        <v>10</v>
      </c>
      <c r="AG17" s="192"/>
      <c r="AH17" s="192"/>
      <c r="AI17" s="192"/>
      <c r="AJ17" s="192"/>
      <c r="AK17" s="191">
        <v>12</v>
      </c>
      <c r="AL17" s="191"/>
      <c r="AM17" s="191"/>
      <c r="AN17" s="191"/>
      <c r="AO17" s="191"/>
      <c r="AP17" s="191"/>
      <c r="AQ17" s="191"/>
      <c r="AR17" s="191"/>
      <c r="AS17" s="191"/>
      <c r="AT17" s="191"/>
      <c r="AU17" s="191"/>
      <c r="AV17" s="191"/>
      <c r="AW17" s="191"/>
      <c r="AX17" s="191">
        <v>12</v>
      </c>
      <c r="AY17" s="191"/>
      <c r="AZ17" s="191"/>
      <c r="BA17" s="191"/>
      <c r="BB17" s="191"/>
      <c r="BC17" s="191"/>
      <c r="BD17" s="191"/>
      <c r="BE17" s="191"/>
      <c r="BF17" s="191"/>
      <c r="BG17" s="191"/>
      <c r="BH17" s="435">
        <v>11</v>
      </c>
      <c r="BI17" s="415"/>
      <c r="BJ17" s="416"/>
      <c r="BK17" s="416"/>
      <c r="BL17" s="416"/>
      <c r="BM17" s="416"/>
      <c r="BN17" s="416"/>
      <c r="BO17" s="416"/>
      <c r="BP17" s="416"/>
      <c r="BQ17" s="416"/>
      <c r="BR17" s="416"/>
      <c r="BS17" s="416"/>
      <c r="BT17" s="416"/>
      <c r="BU17" s="416"/>
      <c r="BV17" s="416"/>
      <c r="BW17" s="416"/>
      <c r="BX17" s="416"/>
      <c r="BY17" s="416"/>
      <c r="BZ17" s="416"/>
      <c r="CA17" s="416"/>
      <c r="CB17" s="416"/>
      <c r="CC17" s="416"/>
      <c r="CD17" s="416"/>
      <c r="CE17" s="416"/>
      <c r="CF17" s="416"/>
      <c r="CG17" s="416"/>
      <c r="CH17" s="416"/>
      <c r="CI17" s="416"/>
      <c r="CJ17" s="416"/>
      <c r="CK17" s="416"/>
      <c r="CL17" s="416"/>
      <c r="CM17" s="416"/>
      <c r="CN17" s="416"/>
      <c r="CO17" s="416"/>
      <c r="CP17" s="416"/>
      <c r="CQ17" s="416"/>
      <c r="CR17" s="416"/>
      <c r="CS17" s="416"/>
      <c r="CT17" s="416"/>
      <c r="CU17" s="416"/>
      <c r="CV17" s="416"/>
      <c r="CW17" s="377"/>
      <c r="CX17" s="377"/>
      <c r="CY17" s="377"/>
    </row>
    <row r="18" spans="1:126" s="233" customFormat="1" ht="17.25" customHeight="1" x14ac:dyDescent="0.25">
      <c r="A18" s="193">
        <v>64</v>
      </c>
      <c r="B18" s="436" t="s">
        <v>37</v>
      </c>
      <c r="C18" s="194"/>
      <c r="D18" s="195" t="s">
        <v>38</v>
      </c>
      <c r="E18" s="196"/>
      <c r="F18" s="197"/>
      <c r="G18" s="198"/>
      <c r="H18" s="198"/>
      <c r="I18" s="198"/>
      <c r="J18" s="198"/>
      <c r="K18" s="198"/>
      <c r="L18" s="198"/>
      <c r="M18" s="198"/>
      <c r="N18" s="199"/>
      <c r="O18" s="200"/>
      <c r="P18" s="201"/>
      <c r="Q18" s="201"/>
      <c r="R18" s="202"/>
      <c r="S18" s="203"/>
      <c r="T18" s="204"/>
      <c r="U18" s="205"/>
      <c r="V18" s="197"/>
      <c r="W18" s="206"/>
      <c r="X18" s="207"/>
      <c r="Y18" s="208"/>
      <c r="Z18" s="209"/>
      <c r="AA18" s="210"/>
      <c r="AB18" s="211"/>
      <c r="AC18" s="212"/>
      <c r="AD18" s="209"/>
      <c r="AE18" s="213"/>
      <c r="AF18" s="214"/>
      <c r="AG18" s="215"/>
      <c r="AH18" s="216"/>
      <c r="AI18" s="217"/>
      <c r="AJ18" s="218"/>
      <c r="AK18" s="219"/>
      <c r="AL18" s="220"/>
      <c r="AM18" s="221"/>
      <c r="AN18" s="222"/>
      <c r="AO18" s="223"/>
      <c r="AP18" s="224"/>
      <c r="AQ18" s="207"/>
      <c r="AR18" s="225"/>
      <c r="AS18" s="226"/>
      <c r="AT18" s="226"/>
      <c r="AU18" s="227" t="e">
        <v>#N/A</v>
      </c>
      <c r="AV18" s="228" t="e">
        <v>#N/A</v>
      </c>
      <c r="AW18" s="228"/>
      <c r="AX18" s="229"/>
      <c r="AY18" s="230"/>
      <c r="AZ18" s="228"/>
      <c r="BA18" s="231"/>
      <c r="BB18" s="231"/>
      <c r="BC18" s="231"/>
      <c r="BD18" s="231"/>
      <c r="BE18" s="231"/>
      <c r="BF18" s="231"/>
      <c r="BG18" s="232"/>
      <c r="BH18" s="437"/>
      <c r="BI18" s="417"/>
      <c r="BJ18" s="400"/>
      <c r="BK18" s="401"/>
      <c r="BL18" s="402"/>
      <c r="BM18" s="401"/>
      <c r="BN18" s="403"/>
      <c r="BO18" s="404"/>
      <c r="BP18" s="405"/>
      <c r="BQ18" s="406"/>
      <c r="BR18" s="406"/>
      <c r="BS18" s="406"/>
      <c r="BT18" s="405"/>
      <c r="BU18" s="404"/>
      <c r="BV18" s="401"/>
      <c r="BW18" s="401"/>
      <c r="BX18" s="407"/>
      <c r="BY18" s="407"/>
      <c r="BZ18" s="407"/>
      <c r="CA18" s="407"/>
      <c r="CB18" s="407"/>
      <c r="CC18" s="407"/>
      <c r="CD18" s="407"/>
      <c r="CE18" s="407"/>
      <c r="CF18" s="407"/>
      <c r="CG18" s="407"/>
      <c r="CH18" s="407"/>
      <c r="CI18" s="407"/>
      <c r="CJ18" s="407"/>
      <c r="CK18" s="407"/>
      <c r="CL18" s="407"/>
      <c r="CM18" s="407"/>
      <c r="CN18" s="408"/>
      <c r="CO18" s="405"/>
      <c r="CP18" s="409"/>
      <c r="CQ18" s="410"/>
      <c r="CR18" s="411"/>
      <c r="CS18" s="412"/>
      <c r="CT18" s="413"/>
      <c r="CU18" s="411"/>
      <c r="CV18" s="414"/>
      <c r="CW18" s="398"/>
      <c r="CX18" s="376"/>
      <c r="CY18" s="375"/>
      <c r="CZ18" s="234"/>
      <c r="DA18" s="235"/>
      <c r="DB18" s="236"/>
      <c r="DC18" s="236"/>
    </row>
    <row r="19" spans="1:126" s="164" customFormat="1" ht="46.5" customHeight="1" x14ac:dyDescent="0.25">
      <c r="A19" s="237">
        <v>387</v>
      </c>
      <c r="B19" s="438">
        <v>1</v>
      </c>
      <c r="C19" s="175" t="str">
        <f>IF(E19="Nam","Ông","Bà")</f>
        <v>Bà</v>
      </c>
      <c r="D19" s="238" t="s">
        <v>39</v>
      </c>
      <c r="E19" s="175" t="s">
        <v>40</v>
      </c>
      <c r="F19" s="239" t="s">
        <v>41</v>
      </c>
      <c r="G19" s="240" t="s">
        <v>15</v>
      </c>
      <c r="H19" s="240">
        <v>7</v>
      </c>
      <c r="I19" s="240" t="s">
        <v>15</v>
      </c>
      <c r="J19" s="241">
        <v>1976</v>
      </c>
      <c r="K19" s="242"/>
      <c r="L19" s="242"/>
      <c r="M19" s="242" t="e">
        <f>VLOOKUP(L19,'[1]- DLiêu Gốc -'!$B$2:$G$121,2,0)</f>
        <v>#N/A</v>
      </c>
      <c r="N19" s="243"/>
      <c r="O19" s="244" t="s">
        <v>42</v>
      </c>
      <c r="P19" s="245" t="str">
        <f>VLOOKUP(U19,'[1]- DLiêu Gốc -'!$B$2:$G$56,5,0)</f>
        <v>A1</v>
      </c>
      <c r="Q19" s="245" t="str">
        <f>VLOOKUP(U19,'[1]- DLiêu Gốc -'!$B$2:$G$56,6,0)</f>
        <v>- - -</v>
      </c>
      <c r="R19" s="246" t="s">
        <v>43</v>
      </c>
      <c r="S19" s="247" t="str">
        <f>IF(OR(U19="Kỹ thuật viên đánh máy",U19="Nhân viên đánh máy",U19="Nhân viên kỹ thuật",U19="Nhân viên văn thư",U19="Nhân viên phục vụ",U19="Lái xe cơ quan",U19="Nhân viên bảo vệ"),"Nhân viên",U19)</f>
        <v>Giảng viên (hạng III)</v>
      </c>
      <c r="T19" s="248" t="str">
        <f>IF(S19="Nhân viên","01.005",V19)</f>
        <v>V.07.01.03</v>
      </c>
      <c r="U19" s="249" t="s">
        <v>44</v>
      </c>
      <c r="V19" s="248" t="str">
        <f>VLOOKUP(U19,'[1]- DLiêu Gốc -'!$B$1:$G$121,2,0)</f>
        <v>V.07.01.03</v>
      </c>
      <c r="W19" s="250" t="e">
        <f>IF(OR(AND(AN19=36,AM19=3),AND(AN19=24,AM19=2),AND(AN19=12,AM19=1)),"Đến $",IF(AND(AN19&lt;12*10,OR(AND(AN19&gt;36,AM19=3),AND(AN19&gt;24,AN19&lt;120,AM19=2),AND(AN19&gt;12,AM19=1))),"Dừng $","Lương"))</f>
        <v>#REF!</v>
      </c>
      <c r="X19" s="251">
        <v>4</v>
      </c>
      <c r="Y19" s="252" t="str">
        <f>IF(Z19&gt;0,"/")</f>
        <v>/</v>
      </c>
      <c r="Z19" s="253">
        <f>IF(OR(AR19=0.18,AR19=0.2),12,IF(AR19=0.31,10,IF(AR19=0.33,9,IF(AR19=0.34,8,IF(AR19=0.36,6)))))</f>
        <v>9</v>
      </c>
      <c r="AA19" s="254">
        <f>AQ19+(X19-1)*AR19</f>
        <v>3.33</v>
      </c>
      <c r="AB19" s="255">
        <f>X19+1</f>
        <v>5</v>
      </c>
      <c r="AC19" s="242" t="str">
        <f>IF(Z19=X19,"%",IF(Z19&gt;X19,"/"))</f>
        <v>/</v>
      </c>
      <c r="AD19" s="253">
        <f>IF(AND(Z19=X19,AB19=4),5,IF(AND(Z19=X19,AB19&gt;4),AB19+1,IF(Z19&gt;X19,Z19)))</f>
        <v>9</v>
      </c>
      <c r="AE19" s="256">
        <f>IF(Z19=X19,"%",IF(Z19&gt;X19,AA19+AR19))</f>
        <v>3.66</v>
      </c>
      <c r="AF19" s="257" t="s">
        <v>14</v>
      </c>
      <c r="AG19" s="258" t="s">
        <v>15</v>
      </c>
      <c r="AH19" s="259" t="s">
        <v>46</v>
      </c>
      <c r="AI19" s="260" t="s">
        <v>15</v>
      </c>
      <c r="AJ19" s="261">
        <v>2015</v>
      </c>
      <c r="AK19" s="262"/>
      <c r="AL19" s="263"/>
      <c r="AM19" s="178">
        <f>IF(AND(Z19&gt;X19,OR(AR19=0.18,AR19=0.2)),2,IF(AND(Z19&gt;X19,OR(AR19=0.31,AR19=0.33,AR19=0.34,AR19=0.36)),3,IF(Z19=X19,1)))</f>
        <v>3</v>
      </c>
      <c r="AN19" s="178" t="e">
        <f>12*(#REF!-AJ19)+(#REF!-AH19)-AO19</f>
        <v>#REF!</v>
      </c>
      <c r="AO19" s="171"/>
      <c r="AP19" s="264"/>
      <c r="AQ19" s="180">
        <f>VLOOKUP(U19,'[1]- DLiêu Gốc -'!$B$1:$E$56,3,0)</f>
        <v>2.34</v>
      </c>
      <c r="AR19" s="174">
        <f>VLOOKUP(U19,'[1]- DLiêu Gốc -'!$B$1:$E$56,4,0)</f>
        <v>0.33</v>
      </c>
      <c r="AS19" s="265"/>
      <c r="AT19" s="266" t="e">
        <f>IF(AND(AU19&gt;3,BF19=12),"Đến %",IF(AND(AU19&gt;3,BF19&gt;12,BF19&lt;120),"Dừng %",IF(AND(AU19&gt;3,BF19&lt;12),"PCTN","o-o-o")))</f>
        <v>#REF!</v>
      </c>
      <c r="AU19" s="267">
        <v>6</v>
      </c>
      <c r="AV19" s="267" t="s">
        <v>47</v>
      </c>
      <c r="AW19" s="174">
        <f>IF(AU19&gt;3,AU19+1,0)</f>
        <v>7</v>
      </c>
      <c r="AX19" s="268" t="s">
        <v>47</v>
      </c>
      <c r="AY19" s="269" t="s">
        <v>46</v>
      </c>
      <c r="AZ19" s="177" t="s">
        <v>15</v>
      </c>
      <c r="BA19" s="177">
        <v>2014</v>
      </c>
      <c r="BB19" s="177"/>
      <c r="BC19" s="177"/>
      <c r="BD19" s="177"/>
      <c r="BE19" s="177">
        <v>2</v>
      </c>
      <c r="BF19" s="179" t="e">
        <f>IF(AU19&gt;3,((#REF!-BA19)*12+(#REF!-AY19)-BC19),"- - -")</f>
        <v>#REF!</v>
      </c>
      <c r="BG19" s="270" t="e">
        <f>IF(AND(CF19="Hưu",AU19&gt;3),12-(12*(CL19-BA19)+(CK19-AY19))-BC19,"- - -")</f>
        <v>#REF!</v>
      </c>
      <c r="BH19" s="439" t="str">
        <f>IF(BK19="công chức, viên chức","CC,VC",IF(BK19="người lao động","NLĐ","- - -"))</f>
        <v>CC,VC</v>
      </c>
      <c r="BI19" s="399"/>
      <c r="BJ19" s="400"/>
      <c r="BK19" s="401" t="s">
        <v>13</v>
      </c>
      <c r="BL19" s="402" t="str">
        <f>IF(O19="Cơ sở Học viện Hành chính khu vực miền Trung","B",IF(O19="Phân viện Khu vực Tây Nguyên","C",IF(O19="Cơ sở Học viện Hành chính tại thành phố Hồ Chí Minh","D","A")))</f>
        <v>A</v>
      </c>
      <c r="BM19" s="401" t="e">
        <f>IF(AND(AB19&gt;0,X19&lt;(Z19-1),BN19&gt;0,BN19&lt;13,OR(AND(BT19="Cùg Ng",(#REF!-BP19)&gt;AM19),BT19="- - -")),"Sớm TT","=&gt; s")</f>
        <v>#REF!</v>
      </c>
      <c r="BN19" s="403" t="e">
        <f>IF(AM19=3,36-(12*(#REF!-AJ19)+(12-AH19)-AO19),IF(AM19=2,24-(12*(#REF!-AJ19)+(12-AH19)-AO19),"---"))</f>
        <v>#REF!</v>
      </c>
      <c r="BO19" s="404" t="str">
        <f>IF(BP19&gt;1,"S","---")</f>
        <v>S</v>
      </c>
      <c r="BP19" s="405">
        <v>2012</v>
      </c>
      <c r="BQ19" s="406" t="s">
        <v>45</v>
      </c>
      <c r="BR19" s="406"/>
      <c r="BS19" s="406"/>
      <c r="BT19" s="405" t="str">
        <f>IF(T19=BQ19,"Cùg Ng","- - -")</f>
        <v>Cùg Ng</v>
      </c>
      <c r="BU19" s="404" t="str">
        <f>IF(BW19&gt;2000,"NN","- - -")</f>
        <v>- - -</v>
      </c>
      <c r="BV19" s="401"/>
      <c r="BW19" s="401"/>
      <c r="BX19" s="407"/>
      <c r="BY19" s="407"/>
      <c r="BZ19" s="407" t="str">
        <f>IF(CB19&gt;2000,"CN","- - -")</f>
        <v>- - -</v>
      </c>
      <c r="CA19" s="407"/>
      <c r="CB19" s="407"/>
      <c r="CC19" s="407"/>
      <c r="CD19" s="407"/>
      <c r="CE19" s="407" t="e">
        <f>IF(AND(CF19="Hưu",X19&lt;(Z19-1),CM19&gt;0,CM19&lt;18,OR(AU19&lt;4,AND(AU19&gt;3,OR(BG19&lt;3,BG19&gt;5)))),"Lg Sớm",IF(AND(CF19="Hưu",X19&gt;(Z19-2),OR(AR19=0.33,AR19=0.34),OR(AU19&lt;4,AND(AU19&gt;3,OR(BG19&lt;3,BG19&gt;5)))),"Nâng Ngạch",IF(AND(CF19="Hưu",AM19=1,CM19&gt;2,CM19&lt;6,OR(AU19&lt;4,AND(AU19&gt;3,OR(BG19&lt;3,BG19&gt;5)))),"Nâng PcVK cùng QĐ",IF(AND(CF19="Hưu",AU19&gt;3,BG19&gt;2,BG19&lt;6,X19&lt;(Z19-1),CM19&gt;17,OR(AM19&gt;1,AND(AM19=1,OR(CM19&lt;3,CM19&gt;5)))),"Nâng PcNG cùng QĐ",IF(AND(CF19="Hưu",X19&lt;(Z19-1),CM19&gt;0,CM19&lt;18,AU19&gt;3,BG19&gt;2,BG19&lt;6),"Nâng Lg Sớm +(PcNG cùng QĐ)",IF(AND(CF19="Hưu",X19&gt;(Z19-2),OR(AR19=0.33,AR19=0.34),AU19&gt;3,BG19&gt;2,BG19&lt;6),"Nâng Ngạch +(PcNG cùng QĐ)",IF(AND(CF19="Hưu",AM19=1,CM19&gt;2,CM19&lt;6,AU19&gt;3,BG19&gt;2,BG19&lt;6),"Nâng (PcVK +PcNG) cùng QĐ",("---"))))))))</f>
        <v>#REF!</v>
      </c>
      <c r="CF19" s="407" t="e">
        <f>IF(AND(CQ19&gt;CP19,CQ19&lt;(CP19+13)),"Hưu",IF(AND(CQ19&gt;(CP19+12),CQ19&lt;1000),"Quá","/-/ /-/"))</f>
        <v>#REF!</v>
      </c>
      <c r="CG19" s="407">
        <f>IF((H19+0)&lt;12,(H19+0)+1,IF((H19+0)=12,1,IF((H19+0)&gt;12,(H19+0)-12)))</f>
        <v>8</v>
      </c>
      <c r="CH19" s="407">
        <f>IF(OR((H19+0)=12,(H19+0)&gt;12),J19+CP19/12+1,IF(AND((H19+0)&gt;0,(H19+0)&lt;12),J19+CP19/12,"---"))</f>
        <v>2031</v>
      </c>
      <c r="CI19" s="407">
        <f>IF(AND(CG19&gt;3,CG19&lt;13),CG19-3,IF(CG19&lt;4,CG19-3+12))</f>
        <v>5</v>
      </c>
      <c r="CJ19" s="407">
        <f>IF(CI19&lt;CG19,CH19,IF(CI19&gt;CG19,CH19-1))</f>
        <v>2031</v>
      </c>
      <c r="CK19" s="407">
        <f>IF(CG19&gt;6,CG19-6,IF(CG19=6,12,IF(CG19&lt;6,CG19+6)))</f>
        <v>2</v>
      </c>
      <c r="CL19" s="407">
        <f>IF(CG19&gt;6,CH19,IF(CG19&lt;7,CH19-1))</f>
        <v>2031</v>
      </c>
      <c r="CM19" s="407" t="e">
        <f>IF(AND(CF19="Hưu",AM19=3),36+AO19-(12*(CL19-AJ19)+(CK19-AH19)),IF(AND(CF19="Hưu",AM19=2),24+AO19-(12*(CL19-AJ19)+(CK19-AH19)),IF(AND(CF19="Hưu",AM19=1),12+AO19-(12*(CL19-AJ19)+(CK19-AH19)),"- - -")))</f>
        <v>#REF!</v>
      </c>
      <c r="CN19" s="408" t="str">
        <f>IF(CO19&gt;0,"K.Dài",". .")</f>
        <v>. .</v>
      </c>
      <c r="CO19" s="405"/>
      <c r="CP19" s="409">
        <f>IF(E19="Nam",(60+CO19)*12,IF(E19="Nữ",(55+CO19)*12,))</f>
        <v>660</v>
      </c>
      <c r="CQ19" s="410" t="e">
        <f>12*(#REF!-J19)+(12-H19)</f>
        <v>#REF!</v>
      </c>
      <c r="CR19" s="411" t="e">
        <f>#REF!-J19</f>
        <v>#REF!</v>
      </c>
      <c r="CS19" s="412" t="e">
        <f>IF(AND(CR19&lt;35,E19="Nam"),"Nam dưới 35",IF(AND(CR19&lt;30,E19="Nữ"),"Nữ dưới 30",IF(AND(CR19&gt;34,CR19&lt;46,E19="Nam"),"Nam từ 35 - 45",IF(AND(CR19&gt;29,CR19&lt;41,E19="Nữ"),"Nữ từ 30 - 40",IF(AND(CR19&gt;45,CR19&lt;56,E19="Nam"),"Nam trên 45 - 55",IF(AND(CR19&gt;40,CR19&lt;51,E19="Nữ"),"Nữ trên 40 - 50",IF(AND(CR19&gt;55,E19="Nam"),"Nam trên 55","Nữ trên 50")))))))</f>
        <v>#REF!</v>
      </c>
      <c r="CT19" s="413"/>
      <c r="CU19" s="411"/>
      <c r="CV19" s="414" t="e">
        <f>IF(CR19&lt;31,"Đến 30",IF(AND(CR19&gt;30,CR19&lt;46),"31 - 45",IF(AND(CR19&gt;45,CR19&lt;70),"Trên 45")))</f>
        <v>#REF!</v>
      </c>
      <c r="CW19" s="398" t="str">
        <f>IF(CX19&gt;0,"TD","--")</f>
        <v>TD</v>
      </c>
      <c r="CX19" s="376">
        <v>2008</v>
      </c>
      <c r="CY19" s="375"/>
      <c r="CZ19" s="272"/>
      <c r="DA19" s="273"/>
      <c r="DB19" s="177"/>
      <c r="DC19" s="177"/>
      <c r="DG19" s="164" t="s">
        <v>48</v>
      </c>
      <c r="DH19" s="164" t="s">
        <v>14</v>
      </c>
      <c r="DI19" s="164" t="s">
        <v>15</v>
      </c>
      <c r="DJ19" s="164" t="s">
        <v>46</v>
      </c>
      <c r="DK19" s="164" t="s">
        <v>15</v>
      </c>
      <c r="DL19" s="164">
        <v>2012</v>
      </c>
      <c r="DM19" s="164">
        <f>(DH19+0)-(DO19+0)</f>
        <v>0</v>
      </c>
      <c r="DN19" s="164" t="str">
        <f>IF(DM19&gt;0,"Sửa","- - -")</f>
        <v>- - -</v>
      </c>
      <c r="DO19" s="164" t="s">
        <v>14</v>
      </c>
      <c r="DP19" s="164" t="s">
        <v>15</v>
      </c>
      <c r="DQ19" s="164" t="s">
        <v>46</v>
      </c>
      <c r="DR19" s="164" t="s">
        <v>15</v>
      </c>
      <c r="DS19" s="164">
        <v>2012</v>
      </c>
      <c r="DU19" s="164" t="str">
        <f>IF(AND(AR19&gt;0.34,AB19=1,OR(AQ19=6.2,AQ19=5.75)),((AQ19-DT19)-2*0.34),IF(AND(AR19&gt;0.33,AB19=1,OR(AQ19=4.4,AQ19=4)),((AQ19-DT19)-2*0.33),"- - -"))</f>
        <v>- - -</v>
      </c>
      <c r="DV19" s="164" t="e">
        <f>IF(CF19="Hưu",12*(CL19-AJ19)+(CK19-AH19),"---")</f>
        <v>#REF!</v>
      </c>
    </row>
    <row r="20" spans="1:126" s="233" customFormat="1" ht="15.75" customHeight="1" x14ac:dyDescent="0.25">
      <c r="A20" s="193">
        <v>64</v>
      </c>
      <c r="B20" s="436" t="s">
        <v>49</v>
      </c>
      <c r="C20" s="194"/>
      <c r="D20" s="195" t="s">
        <v>50</v>
      </c>
      <c r="E20" s="196"/>
      <c r="F20" s="197"/>
      <c r="G20" s="198"/>
      <c r="H20" s="198"/>
      <c r="I20" s="198"/>
      <c r="J20" s="198"/>
      <c r="K20" s="198"/>
      <c r="L20" s="198"/>
      <c r="M20" s="198"/>
      <c r="N20" s="274"/>
      <c r="O20" s="275"/>
      <c r="P20" s="201"/>
      <c r="Q20" s="201"/>
      <c r="R20" s="202"/>
      <c r="S20" s="276"/>
      <c r="T20" s="204"/>
      <c r="U20" s="205"/>
      <c r="V20" s="197"/>
      <c r="W20" s="206"/>
      <c r="X20" s="207"/>
      <c r="Y20" s="208"/>
      <c r="Z20" s="209"/>
      <c r="AA20" s="210"/>
      <c r="AB20" s="211"/>
      <c r="AC20" s="212"/>
      <c r="AD20" s="277"/>
      <c r="AE20" s="278"/>
      <c r="AF20" s="214"/>
      <c r="AG20" s="215"/>
      <c r="AH20" s="216"/>
      <c r="AI20" s="217"/>
      <c r="AJ20" s="218"/>
      <c r="AK20" s="219"/>
      <c r="AL20" s="220"/>
      <c r="AM20" s="221"/>
      <c r="AN20" s="222"/>
      <c r="AO20" s="223"/>
      <c r="AP20" s="224"/>
      <c r="AQ20" s="207"/>
      <c r="AR20" s="225"/>
      <c r="AS20" s="226"/>
      <c r="AT20" s="226"/>
      <c r="AU20" s="227" t="e">
        <v>#N/A</v>
      </c>
      <c r="AV20" s="228" t="e">
        <v>#N/A</v>
      </c>
      <c r="AW20" s="228"/>
      <c r="AX20" s="229"/>
      <c r="AY20" s="230"/>
      <c r="AZ20" s="228"/>
      <c r="BA20" s="231"/>
      <c r="BB20" s="231"/>
      <c r="BC20" s="231"/>
      <c r="BD20" s="231"/>
      <c r="BE20" s="231"/>
      <c r="BF20" s="231"/>
      <c r="BG20" s="232"/>
      <c r="BH20" s="437"/>
      <c r="BI20" s="417"/>
      <c r="BJ20" s="400"/>
      <c r="BK20" s="401"/>
      <c r="BL20" s="402"/>
      <c r="BM20" s="401"/>
      <c r="BN20" s="403"/>
      <c r="BO20" s="404"/>
      <c r="BP20" s="405"/>
      <c r="BQ20" s="406"/>
      <c r="BR20" s="406"/>
      <c r="BS20" s="406"/>
      <c r="BT20" s="405"/>
      <c r="BU20" s="404"/>
      <c r="BV20" s="401"/>
      <c r="BW20" s="401"/>
      <c r="BX20" s="407"/>
      <c r="BY20" s="407"/>
      <c r="BZ20" s="407"/>
      <c r="CA20" s="407"/>
      <c r="CB20" s="407"/>
      <c r="CC20" s="407"/>
      <c r="CD20" s="407"/>
      <c r="CE20" s="407"/>
      <c r="CF20" s="407"/>
      <c r="CG20" s="407"/>
      <c r="CH20" s="407"/>
      <c r="CI20" s="407"/>
      <c r="CJ20" s="407"/>
      <c r="CK20" s="407"/>
      <c r="CL20" s="407"/>
      <c r="CM20" s="407"/>
      <c r="CN20" s="408"/>
      <c r="CO20" s="405"/>
      <c r="CP20" s="409"/>
      <c r="CQ20" s="410"/>
      <c r="CR20" s="411"/>
      <c r="CS20" s="412"/>
      <c r="CT20" s="413"/>
      <c r="CU20" s="411"/>
      <c r="CV20" s="414"/>
      <c r="CW20" s="398"/>
      <c r="CX20" s="376"/>
      <c r="CY20" s="375"/>
      <c r="CZ20" s="234"/>
      <c r="DA20" s="235"/>
      <c r="DB20" s="236"/>
      <c r="DC20" s="236"/>
    </row>
    <row r="21" spans="1:126" s="164" customFormat="1" ht="18.75" customHeight="1" x14ac:dyDescent="0.25">
      <c r="A21" s="237">
        <v>35</v>
      </c>
      <c r="B21" s="438">
        <v>1</v>
      </c>
      <c r="C21" s="175" t="str">
        <f t="shared" ref="C21:C35" si="0">IF(E21="Nam","Ông","Bà")</f>
        <v>Ông</v>
      </c>
      <c r="D21" s="238" t="s">
        <v>51</v>
      </c>
      <c r="E21" s="175" t="s">
        <v>52</v>
      </c>
      <c r="F21" s="239" t="s">
        <v>53</v>
      </c>
      <c r="G21" s="240" t="s">
        <v>15</v>
      </c>
      <c r="H21" s="240">
        <v>8</v>
      </c>
      <c r="I21" s="240" t="s">
        <v>15</v>
      </c>
      <c r="J21" s="241">
        <v>1980</v>
      </c>
      <c r="K21" s="242"/>
      <c r="L21" s="242"/>
      <c r="M21" s="242" t="e">
        <f>VLOOKUP(L21,'[1]- DLiêu Gốc -'!$B$2:$G$121,2,0)</f>
        <v>#N/A</v>
      </c>
      <c r="N21" s="243"/>
      <c r="O21" s="244" t="s">
        <v>54</v>
      </c>
      <c r="P21" s="245" t="str">
        <f>VLOOKUP(U21,'[1]- DLiêu Gốc -'!$B$2:$G$56,5,0)</f>
        <v>A1</v>
      </c>
      <c r="Q21" s="245" t="str">
        <f>VLOOKUP(U21,'[1]- DLiêu Gốc -'!$B$2:$G$56,6,0)</f>
        <v>- - -</v>
      </c>
      <c r="R21" s="246" t="s">
        <v>55</v>
      </c>
      <c r="S21" s="247" t="str">
        <f t="shared" ref="S21:S35" si="1">IF(OR(U21="Kỹ thuật viên đánh máy",U21="Nhân viên đánh máy",U21="Nhân viên kỹ thuật",U21="Nhân viên văn thư",U21="Nhân viên phục vụ",U21="Lái xe cơ quan",U21="Nhân viên bảo vệ"),"Nhân viên",U21)</f>
        <v>Chuyên viên</v>
      </c>
      <c r="T21" s="248" t="str">
        <f t="shared" ref="T21:T35" si="2">IF(S21="Nhân viên","01.005",V21)</f>
        <v>01.003</v>
      </c>
      <c r="U21" s="249" t="s">
        <v>56</v>
      </c>
      <c r="V21" s="248" t="str">
        <f>VLOOKUP(U21,'[1]- DLiêu Gốc -'!$B$1:$G$121,2,0)</f>
        <v>01.003</v>
      </c>
      <c r="W21" s="250" t="e">
        <f t="shared" ref="W21:W35" si="3">IF(OR(AND(AN21=36,AM21=3),AND(AN21=24,AM21=2),AND(AN21=12,AM21=1)),"Đến $",IF(AND(AN21&lt;12*10,OR(AND(AN21&gt;36,AM21=3),AND(AN21&gt;24,AN21&lt;120,AM21=2),AND(AN21&gt;12,AM21=1))),"Dừng $","Lương"))</f>
        <v>#REF!</v>
      </c>
      <c r="X21" s="251">
        <v>4</v>
      </c>
      <c r="Y21" s="252" t="str">
        <f t="shared" ref="Y21:Y35" si="4">IF(Z21&gt;0,"/")</f>
        <v>/</v>
      </c>
      <c r="Z21" s="253">
        <f t="shared" ref="Z21:Z35" si="5">IF(OR(AR21=0.18,AR21=0.2),12,IF(AR21=0.31,10,IF(AR21=0.33,9,IF(AR21=0.34,8,IF(AR21=0.36,6)))))</f>
        <v>9</v>
      </c>
      <c r="AA21" s="254">
        <f t="shared" ref="AA21:AA35" si="6">AQ21+(X21-1)*AR21</f>
        <v>3.33</v>
      </c>
      <c r="AB21" s="255">
        <f t="shared" ref="AB21:AB35" si="7">X21+1</f>
        <v>5</v>
      </c>
      <c r="AC21" s="242" t="str">
        <f t="shared" ref="AC21:AC35" si="8">IF(Z21=X21,"%",IF(Z21&gt;X21,"/"))</f>
        <v>/</v>
      </c>
      <c r="AD21" s="253">
        <f t="shared" ref="AD21:AD35" si="9">IF(AND(Z21=X21,AB21=4),5,IF(AND(Z21=X21,AB21&gt;4),AB21+1,IF(Z21&gt;X21,Z21)))</f>
        <v>9</v>
      </c>
      <c r="AE21" s="256">
        <f t="shared" ref="AE21:AE35" si="10">IF(Z21=X21,"%",IF(Z21&gt;X21,AA21+AR21))</f>
        <v>3.66</v>
      </c>
      <c r="AF21" s="257" t="s">
        <v>14</v>
      </c>
      <c r="AG21" s="258" t="s">
        <v>15</v>
      </c>
      <c r="AH21" s="259" t="s">
        <v>46</v>
      </c>
      <c r="AI21" s="260" t="s">
        <v>15</v>
      </c>
      <c r="AJ21" s="261">
        <v>2015</v>
      </c>
      <c r="AK21" s="262" t="s">
        <v>57</v>
      </c>
      <c r="AL21" s="263"/>
      <c r="AM21" s="178">
        <f t="shared" ref="AM21:AM35" si="11">IF(AND(Z21&gt;X21,OR(AR21=0.18,AR21=0.2)),2,IF(AND(Z21&gt;X21,OR(AR21=0.31,AR21=0.33,AR21=0.34,AR21=0.36)),3,IF(Z21=X21,1)))</f>
        <v>3</v>
      </c>
      <c r="AN21" s="178" t="e">
        <f>12*(#REF!-AJ21)+(#REF!-AH21)-AO21</f>
        <v>#REF!</v>
      </c>
      <c r="AO21" s="171"/>
      <c r="AP21" s="264"/>
      <c r="AQ21" s="180">
        <f>VLOOKUP(U21,'[1]- DLiêu Gốc -'!$B$1:$E$56,3,0)</f>
        <v>2.34</v>
      </c>
      <c r="AR21" s="174">
        <f>VLOOKUP(U21,'[1]- DLiêu Gốc -'!$B$1:$E$56,4,0)</f>
        <v>0.33</v>
      </c>
      <c r="AS21" s="265"/>
      <c r="AT21" s="266" t="str">
        <f t="shared" ref="AT21:AT35" si="12">IF(AND(AU21&gt;3,BF21=12),"Đến %",IF(AND(AU21&gt;3,BF21&gt;12,BF21&lt;120),"Dừng %",IF(AND(AU21&gt;3,BF21&lt;12),"PCTN","o-o-o")))</f>
        <v>o-o-o</v>
      </c>
      <c r="AU21" s="267"/>
      <c r="AV21" s="267"/>
      <c r="AW21" s="174">
        <f t="shared" ref="AW21:AW35" si="13">IF(AU21&gt;3,AU21+1,0)</f>
        <v>0</v>
      </c>
      <c r="AX21" s="268"/>
      <c r="AY21" s="269"/>
      <c r="AZ21" s="177"/>
      <c r="BA21" s="177"/>
      <c r="BB21" s="177"/>
      <c r="BC21" s="177"/>
      <c r="BD21" s="177"/>
      <c r="BE21" s="177"/>
      <c r="BF21" s="179" t="str">
        <f>IF(AU21&gt;3,((#REF!-BA21)*12+(#REF!-AY21)-BC21),"- - -")</f>
        <v>- - -</v>
      </c>
      <c r="BG21" s="270" t="e">
        <f t="shared" ref="BG21:BG30" si="14">IF(AND(CF21="Hưu",AU21&gt;3),12-(12*(CL21-BA21)+(CK21-AY21))-BC21,"- - -")</f>
        <v>#REF!</v>
      </c>
      <c r="BH21" s="439" t="str">
        <f>IF(BK21="công chức, viên chức","CC,VC",IF(BK21="người lao động","NLĐ","- - -"))</f>
        <v>CC,VC</v>
      </c>
      <c r="BI21" s="399"/>
      <c r="BJ21" s="400"/>
      <c r="BK21" s="401" t="s">
        <v>13</v>
      </c>
      <c r="BL21" s="402" t="str">
        <f t="shared" ref="BL21:BL35" si="15">IF(O21="Cơ sở Học viện Hành chính khu vực miền Trung","B",IF(O21="Phân viện Khu vực Tây Nguyên","C",IF(O21="Cơ sở Học viện Hành chính tại thành phố Hồ Chí Minh","D","A")))</f>
        <v>A</v>
      </c>
      <c r="BM21" s="401" t="e">
        <f>IF(AND(AB21&gt;0,X21&lt;(Z21-1),BN21&gt;0,BN21&lt;13,OR(AND(BT21="Cùg Ng",(#REF!-BP21)&gt;AM21),BT21="- - -")),"Sớm TT","=&gt; s")</f>
        <v>#REF!</v>
      </c>
      <c r="BN21" s="403" t="e">
        <f>IF(AM21=3,36-(12*(#REF!-AJ21)+(12-AH21)-AO21),IF(AM21=2,24-(12*(#REF!-AJ21)+(12-AH21)-AO21),"---"))</f>
        <v>#REF!</v>
      </c>
      <c r="BO21" s="404" t="str">
        <f t="shared" ref="BO21:BO35" si="16">IF(BP21&gt;1,"S","---")</f>
        <v>---</v>
      </c>
      <c r="BP21" s="405"/>
      <c r="BQ21" s="406"/>
      <c r="BR21" s="406"/>
      <c r="BS21" s="406"/>
      <c r="BT21" s="405" t="str">
        <f t="shared" ref="BT21:BT35" si="17">IF(T21=BQ21,"Cùg Ng","- - -")</f>
        <v>- - -</v>
      </c>
      <c r="BU21" s="404" t="str">
        <f t="shared" ref="BU21:BU35" si="18">IF(BW21&gt;2000,"NN","- - -")</f>
        <v>- - -</v>
      </c>
      <c r="BV21" s="401"/>
      <c r="BW21" s="401"/>
      <c r="BX21" s="407"/>
      <c r="BY21" s="407"/>
      <c r="BZ21" s="407" t="str">
        <f t="shared" ref="BZ21:BZ35" si="19">IF(CB21&gt;2000,"CN","- - -")</f>
        <v>- - -</v>
      </c>
      <c r="CA21" s="407"/>
      <c r="CB21" s="407"/>
      <c r="CC21" s="407"/>
      <c r="CD21" s="407"/>
      <c r="CE21" s="407" t="e">
        <f t="shared" ref="CE21:CE35" si="20">IF(AND(CF21="Hưu",X21&lt;(Z21-1),CM21&gt;0,CM21&lt;18,OR(AU21&lt;4,AND(AU21&gt;3,OR(BG21&lt;3,BG21&gt;5)))),"Lg Sớm",IF(AND(CF21="Hưu",X21&gt;(Z21-2),OR(AR21=0.33,AR21=0.34),OR(AU21&lt;4,AND(AU21&gt;3,OR(BG21&lt;3,BG21&gt;5)))),"Nâng Ngạch",IF(AND(CF21="Hưu",AM21=1,CM21&gt;2,CM21&lt;6,OR(AU21&lt;4,AND(AU21&gt;3,OR(BG21&lt;3,BG21&gt;5)))),"Nâng PcVK cùng QĐ",IF(AND(CF21="Hưu",AU21&gt;3,BG21&gt;2,BG21&lt;6,X21&lt;(Z21-1),CM21&gt;17,OR(AM21&gt;1,AND(AM21=1,OR(CM21&lt;3,CM21&gt;5)))),"Nâng PcNG cùng QĐ",IF(AND(CF21="Hưu",X21&lt;(Z21-1),CM21&gt;0,CM21&lt;18,AU21&gt;3,BG21&gt;2,BG21&lt;6),"Nâng Lg Sớm +(PcNG cùng QĐ)",IF(AND(CF21="Hưu",X21&gt;(Z21-2),OR(AR21=0.33,AR21=0.34),AU21&gt;3,BG21&gt;2,BG21&lt;6),"Nâng Ngạch +(PcNG cùng QĐ)",IF(AND(CF21="Hưu",AM21=1,CM21&gt;2,CM21&lt;6,AU21&gt;3,BG21&gt;2,BG21&lt;6),"Nâng (PcVK +PcNG) cùng QĐ",("---"))))))))</f>
        <v>#REF!</v>
      </c>
      <c r="CF21" s="407" t="e">
        <f t="shared" ref="CF21:CF35" si="21">IF(AND(CQ21&gt;CP21,CQ21&lt;(CP21+13)),"Hưu",IF(AND(CQ21&gt;(CP21+12),CQ21&lt;1000),"Quá","/-/ /-/"))</f>
        <v>#REF!</v>
      </c>
      <c r="CG21" s="407">
        <f t="shared" ref="CG21:CG35" si="22">IF((H21+0)&lt;12,(H21+0)+1,IF((H21+0)=12,1,IF((H21+0)&gt;12,(H21+0)-12)))</f>
        <v>9</v>
      </c>
      <c r="CH21" s="407">
        <f t="shared" ref="CH21:CH35" si="23">IF(OR((H21+0)=12,(H21+0)&gt;12),J21+CP21/12+1,IF(AND((H21+0)&gt;0,(H21+0)&lt;12),J21+CP21/12,"---"))</f>
        <v>2040</v>
      </c>
      <c r="CI21" s="407">
        <f t="shared" ref="CI21:CI35" si="24">IF(AND(CG21&gt;3,CG21&lt;13),CG21-3,IF(CG21&lt;4,CG21-3+12))</f>
        <v>6</v>
      </c>
      <c r="CJ21" s="407">
        <f t="shared" ref="CJ21:CJ35" si="25">IF(CI21&lt;CG21,CH21,IF(CI21&gt;CG21,CH21-1))</f>
        <v>2040</v>
      </c>
      <c r="CK21" s="407">
        <f t="shared" ref="CK21:CK35" si="26">IF(CG21&gt;6,CG21-6,IF(CG21=6,12,IF(CG21&lt;6,CG21+6)))</f>
        <v>3</v>
      </c>
      <c r="CL21" s="407">
        <f t="shared" ref="CL21:CL35" si="27">IF(CG21&gt;6,CH21,IF(CG21&lt;7,CH21-1))</f>
        <v>2040</v>
      </c>
      <c r="CM21" s="407" t="e">
        <f t="shared" ref="CM21:CM35" si="28">IF(AND(CF21="Hưu",AM21=3),36+AO21-(12*(CL21-AJ21)+(CK21-AH21)),IF(AND(CF21="Hưu",AM21=2),24+AO21-(12*(CL21-AJ21)+(CK21-AH21)),IF(AND(CF21="Hưu",AM21=1),12+AO21-(12*(CL21-AJ21)+(CK21-AH21)),"- - -")))</f>
        <v>#REF!</v>
      </c>
      <c r="CN21" s="408" t="str">
        <f t="shared" ref="CN21:CN35" si="29">IF(CO21&gt;0,"K.Dài",". .")</f>
        <v>. .</v>
      </c>
      <c r="CO21" s="405"/>
      <c r="CP21" s="409">
        <f t="shared" ref="CP21:CP35" si="30">IF(E21="Nam",(60+CO21)*12,IF(E21="Nữ",(55+CO21)*12,))</f>
        <v>720</v>
      </c>
      <c r="CQ21" s="410" t="e">
        <f>12*(#REF!-J21)+(12-H21)</f>
        <v>#REF!</v>
      </c>
      <c r="CR21" s="411" t="e">
        <f>#REF!-J21</f>
        <v>#REF!</v>
      </c>
      <c r="CS21" s="412" t="e">
        <f t="shared" ref="CS21:CS35" si="31">IF(AND(CR21&lt;35,E21="Nam"),"Nam dưới 35",IF(AND(CR21&lt;30,E21="Nữ"),"Nữ dưới 30",IF(AND(CR21&gt;34,CR21&lt;46,E21="Nam"),"Nam từ 35 - 45",IF(AND(CR21&gt;29,CR21&lt;41,E21="Nữ"),"Nữ từ 30 - 40",IF(AND(CR21&gt;45,CR21&lt;56,E21="Nam"),"Nam trên 45 - 55",IF(AND(CR21&gt;40,CR21&lt;51,E21="Nữ"),"Nữ trên 40 - 50",IF(AND(CR21&gt;55,E21="Nam"),"Nam trên 55","Nữ trên 50")))))))</f>
        <v>#REF!</v>
      </c>
      <c r="CT21" s="413"/>
      <c r="CU21" s="411"/>
      <c r="CV21" s="414" t="e">
        <f t="shared" ref="CV21:CV35" si="32">IF(CR21&lt;31,"Đến 30",IF(AND(CR21&gt;30,CR21&lt;46),"31 - 45",IF(AND(CR21&gt;45,CR21&lt;70),"Trên 45")))</f>
        <v>#REF!</v>
      </c>
      <c r="CW21" s="398" t="str">
        <f t="shared" ref="CW21:CW35" si="33">IF(CX21&gt;0,"TD","--")</f>
        <v>TD</v>
      </c>
      <c r="CX21" s="376">
        <v>2009</v>
      </c>
      <c r="CY21" s="375"/>
      <c r="CZ21" s="272"/>
      <c r="DA21" s="273"/>
      <c r="DB21" s="177"/>
      <c r="DC21" s="177"/>
      <c r="DG21" s="164" t="s">
        <v>58</v>
      </c>
      <c r="DH21" s="164" t="s">
        <v>14</v>
      </c>
      <c r="DI21" s="164" t="s">
        <v>15</v>
      </c>
      <c r="DJ21" s="164" t="s">
        <v>46</v>
      </c>
      <c r="DK21" s="164" t="s">
        <v>15</v>
      </c>
      <c r="DL21" s="164" t="s">
        <v>59</v>
      </c>
      <c r="DM21" s="164">
        <f t="shared" ref="DM21:DM35" si="34">(DH21+0)-(DO21+0)</f>
        <v>0</v>
      </c>
      <c r="DN21" s="164" t="str">
        <f t="shared" ref="DN21:DN35" si="35">IF(DM21&gt;0,"Sửa","- - -")</f>
        <v>- - -</v>
      </c>
      <c r="DO21" s="164" t="s">
        <v>14</v>
      </c>
      <c r="DP21" s="164" t="s">
        <v>15</v>
      </c>
      <c r="DQ21" s="164" t="s">
        <v>46</v>
      </c>
      <c r="DR21" s="164" t="s">
        <v>15</v>
      </c>
      <c r="DS21" s="164" t="s">
        <v>59</v>
      </c>
      <c r="DU21" s="164" t="str">
        <f t="shared" ref="DU21:DU35" si="36">IF(AND(AR21&gt;0.34,AB21=1,OR(AQ21=6.2,AQ21=5.75)),((AQ21-DT21)-2*0.34),IF(AND(AR21&gt;0.33,AB21=1,OR(AQ21=4.4,AQ21=4)),((AQ21-DT21)-2*0.33),"- - -"))</f>
        <v>- - -</v>
      </c>
      <c r="DV21" s="164" t="e">
        <f t="shared" ref="DV21:DV35" si="37">IF(CF21="Hưu",12*(CL21-AJ21)+(CK21-AH21),"---")</f>
        <v>#REF!</v>
      </c>
    </row>
    <row r="22" spans="1:126" s="164" customFormat="1" ht="29.25" customHeight="1" x14ac:dyDescent="0.25">
      <c r="A22" s="237">
        <v>92</v>
      </c>
      <c r="B22" s="440">
        <v>2</v>
      </c>
      <c r="C22" s="162" t="str">
        <f t="shared" si="0"/>
        <v>Bà</v>
      </c>
      <c r="D22" s="279" t="s">
        <v>60</v>
      </c>
      <c r="E22" s="162" t="s">
        <v>40</v>
      </c>
      <c r="F22" s="280" t="s">
        <v>61</v>
      </c>
      <c r="G22" s="281" t="s">
        <v>15</v>
      </c>
      <c r="H22" s="281" t="s">
        <v>35</v>
      </c>
      <c r="I22" s="281" t="s">
        <v>15</v>
      </c>
      <c r="J22" s="282" t="s">
        <v>62</v>
      </c>
      <c r="K22" s="283"/>
      <c r="L22" s="283"/>
      <c r="M22" s="283" t="e">
        <f>VLOOKUP(L22,'[1]- DLiêu Gốc -'!$B$2:$G$121,2,0)</f>
        <v>#N/A</v>
      </c>
      <c r="N22" s="284"/>
      <c r="O22" s="285" t="s">
        <v>63</v>
      </c>
      <c r="P22" s="286" t="str">
        <f>VLOOKUP(U22,'[1]- DLiêu Gốc -'!$B$2:$G$56,5,0)</f>
        <v>A1</v>
      </c>
      <c r="Q22" s="286" t="str">
        <f>VLOOKUP(U22,'[1]- DLiêu Gốc -'!$B$2:$G$56,6,0)</f>
        <v>- - -</v>
      </c>
      <c r="R22" s="287" t="s">
        <v>43</v>
      </c>
      <c r="S22" s="288" t="str">
        <f t="shared" si="1"/>
        <v>Giảng viên (hạng III)</v>
      </c>
      <c r="T22" s="289" t="str">
        <f t="shared" si="2"/>
        <v>V.07.01.03</v>
      </c>
      <c r="U22" s="290" t="s">
        <v>44</v>
      </c>
      <c r="V22" s="289" t="str">
        <f>VLOOKUP(U22,'[1]- DLiêu Gốc -'!$B$1:$G$121,2,0)</f>
        <v>V.07.01.03</v>
      </c>
      <c r="W22" s="291" t="e">
        <f t="shared" si="3"/>
        <v>#REF!</v>
      </c>
      <c r="X22" s="292">
        <v>4</v>
      </c>
      <c r="Y22" s="293" t="str">
        <f t="shared" si="4"/>
        <v>/</v>
      </c>
      <c r="Z22" s="294">
        <f t="shared" si="5"/>
        <v>9</v>
      </c>
      <c r="AA22" s="295">
        <f t="shared" si="6"/>
        <v>3.33</v>
      </c>
      <c r="AB22" s="296">
        <f t="shared" si="7"/>
        <v>5</v>
      </c>
      <c r="AC22" s="283" t="str">
        <f t="shared" si="8"/>
        <v>/</v>
      </c>
      <c r="AD22" s="294">
        <f t="shared" si="9"/>
        <v>9</v>
      </c>
      <c r="AE22" s="297">
        <f t="shared" si="10"/>
        <v>3.66</v>
      </c>
      <c r="AF22" s="298" t="s">
        <v>14</v>
      </c>
      <c r="AG22" s="299" t="s">
        <v>15</v>
      </c>
      <c r="AH22" s="300" t="s">
        <v>46</v>
      </c>
      <c r="AI22" s="301" t="s">
        <v>15</v>
      </c>
      <c r="AJ22" s="302">
        <v>2015</v>
      </c>
      <c r="AK22" s="303" t="s">
        <v>64</v>
      </c>
      <c r="AL22" s="304"/>
      <c r="AM22" s="165">
        <f t="shared" si="11"/>
        <v>3</v>
      </c>
      <c r="AN22" s="165" t="e">
        <f>12*(#REF!-AJ22)+(#REF!-AH22)-AO22</f>
        <v>#REF!</v>
      </c>
      <c r="AO22" s="163"/>
      <c r="AP22" s="166"/>
      <c r="AQ22" s="167">
        <f>VLOOKUP(U22,'[1]- DLiêu Gốc -'!$B$1:$E$56,3,0)</f>
        <v>2.34</v>
      </c>
      <c r="AR22" s="161">
        <f>VLOOKUP(U22,'[1]- DLiêu Gốc -'!$B$1:$E$56,4,0)</f>
        <v>0.33</v>
      </c>
      <c r="AS22" s="305"/>
      <c r="AT22" s="306" t="e">
        <f t="shared" si="12"/>
        <v>#REF!</v>
      </c>
      <c r="AU22" s="307">
        <v>10</v>
      </c>
      <c r="AV22" s="307" t="s">
        <v>47</v>
      </c>
      <c r="AW22" s="161">
        <f t="shared" si="13"/>
        <v>11</v>
      </c>
      <c r="AX22" s="308" t="s">
        <v>47</v>
      </c>
      <c r="AY22" s="309" t="s">
        <v>14</v>
      </c>
      <c r="AZ22" s="310" t="s">
        <v>15</v>
      </c>
      <c r="BA22" s="310">
        <v>2014</v>
      </c>
      <c r="BB22" s="310"/>
      <c r="BC22" s="310">
        <v>1</v>
      </c>
      <c r="BD22" s="310"/>
      <c r="BE22" s="310">
        <v>1</v>
      </c>
      <c r="BF22" s="311" t="e">
        <f>IF(AU22&gt;3,((#REF!-BA22)*12+(#REF!-AY22)-BC22),"- - -")</f>
        <v>#REF!</v>
      </c>
      <c r="BG22" s="441" t="e">
        <f t="shared" si="14"/>
        <v>#REF!</v>
      </c>
      <c r="BH22" s="442" t="str">
        <f t="shared" ref="BH22:BH35" si="38">IF(BK22="công chức, viên chức","CC,VC",IF(BK22="người lao động","NLĐ","- - -"))</f>
        <v>CC,VC</v>
      </c>
      <c r="BI22" s="399"/>
      <c r="BJ22" s="400"/>
      <c r="BK22" s="401" t="s">
        <v>13</v>
      </c>
      <c r="BL22" s="402" t="str">
        <f t="shared" si="15"/>
        <v>A</v>
      </c>
      <c r="BM22" s="401" t="e">
        <f>IF(AND(AB22&gt;0,X22&lt;(Z22-1),BN22&gt;0,BN22&lt;13,OR(AND(BT22="Cùg Ng",(#REF!-BP22)&gt;AM22),BT22="- - -")),"Sớm TT","=&gt; s")</f>
        <v>#REF!</v>
      </c>
      <c r="BN22" s="403" t="e">
        <f>IF(AM22=3,36-(12*(#REF!-AJ22)+(12-AH22)-AO22),IF(AM22=2,24-(12*(#REF!-AJ22)+(12-AH22)-AO22),"---"))</f>
        <v>#REF!</v>
      </c>
      <c r="BO22" s="404" t="str">
        <f t="shared" si="16"/>
        <v>---</v>
      </c>
      <c r="BP22" s="405"/>
      <c r="BQ22" s="406"/>
      <c r="BR22" s="406"/>
      <c r="BS22" s="406"/>
      <c r="BT22" s="405" t="str">
        <f t="shared" si="17"/>
        <v>- - -</v>
      </c>
      <c r="BU22" s="404" t="str">
        <f t="shared" si="18"/>
        <v>- - -</v>
      </c>
      <c r="BV22" s="401"/>
      <c r="BW22" s="401"/>
      <c r="BX22" s="407"/>
      <c r="BY22" s="407"/>
      <c r="BZ22" s="407" t="str">
        <f t="shared" si="19"/>
        <v>- - -</v>
      </c>
      <c r="CA22" s="407"/>
      <c r="CB22" s="407"/>
      <c r="CC22" s="407"/>
      <c r="CD22" s="407"/>
      <c r="CE22" s="407" t="e">
        <f t="shared" si="20"/>
        <v>#REF!</v>
      </c>
      <c r="CF22" s="407" t="e">
        <f t="shared" si="21"/>
        <v>#REF!</v>
      </c>
      <c r="CG22" s="407">
        <f t="shared" si="22"/>
        <v>9</v>
      </c>
      <c r="CH22" s="407">
        <f t="shared" si="23"/>
        <v>2032</v>
      </c>
      <c r="CI22" s="407">
        <f t="shared" si="24"/>
        <v>6</v>
      </c>
      <c r="CJ22" s="407">
        <f t="shared" si="25"/>
        <v>2032</v>
      </c>
      <c r="CK22" s="407">
        <f t="shared" si="26"/>
        <v>3</v>
      </c>
      <c r="CL22" s="407">
        <f t="shared" si="27"/>
        <v>2032</v>
      </c>
      <c r="CM22" s="407" t="e">
        <f t="shared" si="28"/>
        <v>#REF!</v>
      </c>
      <c r="CN22" s="408" t="str">
        <f t="shared" si="29"/>
        <v>. .</v>
      </c>
      <c r="CO22" s="405"/>
      <c r="CP22" s="409">
        <f t="shared" si="30"/>
        <v>660</v>
      </c>
      <c r="CQ22" s="410" t="e">
        <f>12*(#REF!-J22)+(12-H22)</f>
        <v>#REF!</v>
      </c>
      <c r="CR22" s="411" t="e">
        <f>#REF!-J22</f>
        <v>#REF!</v>
      </c>
      <c r="CS22" s="412" t="e">
        <f t="shared" si="31"/>
        <v>#REF!</v>
      </c>
      <c r="CT22" s="413"/>
      <c r="CU22" s="411"/>
      <c r="CV22" s="414" t="e">
        <f t="shared" si="32"/>
        <v>#REF!</v>
      </c>
      <c r="CW22" s="398" t="str">
        <f t="shared" si="33"/>
        <v>--</v>
      </c>
      <c r="CX22" s="376"/>
      <c r="CY22" s="375"/>
      <c r="CZ22" s="272"/>
      <c r="DA22" s="273"/>
      <c r="DB22" s="177"/>
      <c r="DC22" s="177"/>
      <c r="DH22" s="164" t="s">
        <v>14</v>
      </c>
      <c r="DI22" s="164" t="s">
        <v>15</v>
      </c>
      <c r="DJ22" s="164" t="s">
        <v>14</v>
      </c>
      <c r="DK22" s="164" t="s">
        <v>15</v>
      </c>
      <c r="DL22" s="164" t="s">
        <v>65</v>
      </c>
      <c r="DM22" s="164">
        <f t="shared" si="34"/>
        <v>0</v>
      </c>
      <c r="DN22" s="164" t="str">
        <f t="shared" si="35"/>
        <v>- - -</v>
      </c>
      <c r="DO22" s="164" t="s">
        <v>14</v>
      </c>
      <c r="DP22" s="164" t="s">
        <v>15</v>
      </c>
      <c r="DQ22" s="164" t="s">
        <v>14</v>
      </c>
      <c r="DR22" s="164" t="s">
        <v>15</v>
      </c>
      <c r="DS22" s="164" t="s">
        <v>65</v>
      </c>
      <c r="DU22" s="164" t="str">
        <f t="shared" si="36"/>
        <v>- - -</v>
      </c>
      <c r="DV22" s="164" t="e">
        <f t="shared" si="37"/>
        <v>#REF!</v>
      </c>
    </row>
    <row r="23" spans="1:126" s="164" customFormat="1" ht="45.75" customHeight="1" x14ac:dyDescent="0.2">
      <c r="A23" s="237"/>
      <c r="B23" s="443"/>
      <c r="C23" s="312"/>
      <c r="D23" s="313" t="s">
        <v>66</v>
      </c>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444"/>
      <c r="AL23" s="444"/>
      <c r="AM23" s="444"/>
      <c r="AN23" s="444"/>
      <c r="AO23" s="315"/>
      <c r="AP23" s="444"/>
      <c r="AQ23" s="316"/>
      <c r="AR23" s="317"/>
      <c r="AS23" s="444"/>
      <c r="AT23" s="444"/>
      <c r="AU23" s="444"/>
      <c r="AV23" s="444"/>
      <c r="AW23" s="317"/>
      <c r="AX23" s="444"/>
      <c r="AY23" s="444"/>
      <c r="AZ23" s="318"/>
      <c r="BA23" s="318"/>
      <c r="BB23" s="318"/>
      <c r="BC23" s="318"/>
      <c r="BD23" s="318"/>
      <c r="BE23" s="318"/>
      <c r="BF23" s="444"/>
      <c r="BG23" s="444"/>
      <c r="BH23" s="445"/>
      <c r="BI23" s="399"/>
      <c r="BJ23" s="400"/>
      <c r="BK23" s="401"/>
      <c r="BL23" s="402"/>
      <c r="BM23" s="401"/>
      <c r="BN23" s="403"/>
      <c r="BO23" s="404"/>
      <c r="BP23" s="405"/>
      <c r="BQ23" s="406"/>
      <c r="BR23" s="406"/>
      <c r="BS23" s="406"/>
      <c r="BT23" s="405"/>
      <c r="BU23" s="404"/>
      <c r="BV23" s="401"/>
      <c r="BW23" s="401"/>
      <c r="BX23" s="407"/>
      <c r="BY23" s="407"/>
      <c r="BZ23" s="407"/>
      <c r="CA23" s="407"/>
      <c r="CB23" s="407"/>
      <c r="CC23" s="407"/>
      <c r="CD23" s="407"/>
      <c r="CE23" s="407"/>
      <c r="CF23" s="407"/>
      <c r="CG23" s="407"/>
      <c r="CH23" s="407"/>
      <c r="CI23" s="407"/>
      <c r="CJ23" s="407"/>
      <c r="CK23" s="407"/>
      <c r="CL23" s="407"/>
      <c r="CM23" s="407"/>
      <c r="CN23" s="408"/>
      <c r="CO23" s="405"/>
      <c r="CP23" s="409"/>
      <c r="CQ23" s="410"/>
      <c r="CR23" s="411"/>
      <c r="CS23" s="412"/>
      <c r="CT23" s="413"/>
      <c r="CU23" s="411"/>
      <c r="CV23" s="414"/>
      <c r="CW23" s="398"/>
      <c r="CX23" s="376"/>
      <c r="CY23" s="375"/>
      <c r="CZ23" s="272"/>
      <c r="DA23" s="273"/>
      <c r="DB23" s="177"/>
      <c r="DC23" s="177"/>
    </row>
    <row r="24" spans="1:126" s="164" customFormat="1" ht="29.25" customHeight="1" x14ac:dyDescent="0.25">
      <c r="A24" s="237">
        <v>136</v>
      </c>
      <c r="B24" s="438">
        <v>3</v>
      </c>
      <c r="C24" s="175" t="str">
        <f t="shared" si="0"/>
        <v>Bà</v>
      </c>
      <c r="D24" s="238" t="s">
        <v>67</v>
      </c>
      <c r="E24" s="175" t="s">
        <v>40</v>
      </c>
      <c r="F24" s="239" t="s">
        <v>68</v>
      </c>
      <c r="G24" s="240" t="s">
        <v>15</v>
      </c>
      <c r="H24" s="240" t="s">
        <v>69</v>
      </c>
      <c r="I24" s="240" t="s">
        <v>15</v>
      </c>
      <c r="J24" s="241">
        <v>1975</v>
      </c>
      <c r="K24" s="242"/>
      <c r="L24" s="242"/>
      <c r="M24" s="242" t="e">
        <f>VLOOKUP(L24,'[1]- DLiêu Gốc -'!$B$2:$G$121,2,0)</f>
        <v>#N/A</v>
      </c>
      <c r="N24" s="243"/>
      <c r="O24" s="244" t="s">
        <v>70</v>
      </c>
      <c r="P24" s="245" t="str">
        <f>VLOOKUP(U24,'[1]- DLiêu Gốc -'!$B$2:$G$56,5,0)</f>
        <v>A1</v>
      </c>
      <c r="Q24" s="245" t="str">
        <f>VLOOKUP(U24,'[1]- DLiêu Gốc -'!$B$2:$G$56,6,0)</f>
        <v>- - -</v>
      </c>
      <c r="R24" s="246" t="s">
        <v>55</v>
      </c>
      <c r="S24" s="247" t="str">
        <f t="shared" si="1"/>
        <v>Chuyên viên</v>
      </c>
      <c r="T24" s="248" t="str">
        <f t="shared" si="2"/>
        <v>01.003</v>
      </c>
      <c r="U24" s="249" t="s">
        <v>56</v>
      </c>
      <c r="V24" s="248" t="str">
        <f>VLOOKUP(U24,'[1]- DLiêu Gốc -'!$B$1:$G$121,2,0)</f>
        <v>01.003</v>
      </c>
      <c r="W24" s="250" t="e">
        <f t="shared" si="3"/>
        <v>#REF!</v>
      </c>
      <c r="X24" s="251">
        <v>3</v>
      </c>
      <c r="Y24" s="252" t="str">
        <f t="shared" si="4"/>
        <v>/</v>
      </c>
      <c r="Z24" s="253">
        <f t="shared" si="5"/>
        <v>9</v>
      </c>
      <c r="AA24" s="254">
        <f t="shared" si="6"/>
        <v>3</v>
      </c>
      <c r="AB24" s="255">
        <f t="shared" si="7"/>
        <v>4</v>
      </c>
      <c r="AC24" s="242" t="str">
        <f t="shared" si="8"/>
        <v>/</v>
      </c>
      <c r="AD24" s="253">
        <f t="shared" si="9"/>
        <v>9</v>
      </c>
      <c r="AE24" s="256">
        <f t="shared" si="10"/>
        <v>3.33</v>
      </c>
      <c r="AF24" s="257" t="s">
        <v>14</v>
      </c>
      <c r="AG24" s="258" t="s">
        <v>15</v>
      </c>
      <c r="AH24" s="259" t="s">
        <v>46</v>
      </c>
      <c r="AI24" s="260" t="s">
        <v>15</v>
      </c>
      <c r="AJ24" s="261">
        <v>2015</v>
      </c>
      <c r="AK24" s="262"/>
      <c r="AL24" s="263"/>
      <c r="AM24" s="178">
        <f t="shared" si="11"/>
        <v>3</v>
      </c>
      <c r="AN24" s="178" t="e">
        <f>12*(#REF!-AJ24)+(#REF!-AH24)-AO24</f>
        <v>#REF!</v>
      </c>
      <c r="AO24" s="171"/>
      <c r="AP24" s="264"/>
      <c r="AQ24" s="180">
        <f>VLOOKUP(U24,'[1]- DLiêu Gốc -'!$B$1:$E$56,3,0)</f>
        <v>2.34</v>
      </c>
      <c r="AR24" s="174">
        <f>VLOOKUP(U24,'[1]- DLiêu Gốc -'!$B$1:$E$56,4,0)</f>
        <v>0.33</v>
      </c>
      <c r="AS24" s="265"/>
      <c r="AT24" s="266" t="str">
        <f t="shared" si="12"/>
        <v>o-o-o</v>
      </c>
      <c r="AU24" s="267"/>
      <c r="AV24" s="267"/>
      <c r="AW24" s="174">
        <f t="shared" si="13"/>
        <v>0</v>
      </c>
      <c r="AX24" s="268"/>
      <c r="AY24" s="269"/>
      <c r="AZ24" s="177"/>
      <c r="BA24" s="177"/>
      <c r="BB24" s="177"/>
      <c r="BC24" s="177"/>
      <c r="BD24" s="177"/>
      <c r="BE24" s="177"/>
      <c r="BF24" s="179" t="str">
        <f>IF(AU24&gt;3,((#REF!-BA24)*12+(#REF!-AY24)-BC24),"- - -")</f>
        <v>- - -</v>
      </c>
      <c r="BG24" s="270" t="e">
        <f t="shared" si="14"/>
        <v>#REF!</v>
      </c>
      <c r="BH24" s="439" t="str">
        <f t="shared" si="38"/>
        <v>NLĐ</v>
      </c>
      <c r="BI24" s="399"/>
      <c r="BJ24" s="400"/>
      <c r="BK24" s="401" t="s">
        <v>71</v>
      </c>
      <c r="BL24" s="402" t="str">
        <f t="shared" si="15"/>
        <v>A</v>
      </c>
      <c r="BM24" s="401" t="e">
        <f>IF(AND(AB24&gt;0,X24&lt;(Z24-1),BN24&gt;0,BN24&lt;13,OR(AND(BT24="Cùg Ng",(#REF!-BP24)&gt;AM24),BT24="- - -")),"Sớm TT","=&gt; s")</f>
        <v>#REF!</v>
      </c>
      <c r="BN24" s="403" t="e">
        <f>IF(AM24=3,36-(12*(#REF!-AJ24)+(12-AH24)-AO24),IF(AM24=2,24-(12*(#REF!-AJ24)+(12-AH24)-AO24),"---"))</f>
        <v>#REF!</v>
      </c>
      <c r="BO24" s="404" t="str">
        <f t="shared" si="16"/>
        <v>---</v>
      </c>
      <c r="BP24" s="405"/>
      <c r="BQ24" s="406"/>
      <c r="BR24" s="406"/>
      <c r="BS24" s="406"/>
      <c r="BT24" s="405" t="str">
        <f t="shared" si="17"/>
        <v>- - -</v>
      </c>
      <c r="BU24" s="404" t="str">
        <f t="shared" si="18"/>
        <v>- - -</v>
      </c>
      <c r="BV24" s="401"/>
      <c r="BW24" s="401"/>
      <c r="BX24" s="407"/>
      <c r="BY24" s="407"/>
      <c r="BZ24" s="407" t="str">
        <f t="shared" si="19"/>
        <v>- - -</v>
      </c>
      <c r="CA24" s="407"/>
      <c r="CB24" s="407"/>
      <c r="CC24" s="407"/>
      <c r="CD24" s="407"/>
      <c r="CE24" s="407" t="e">
        <f t="shared" si="20"/>
        <v>#REF!</v>
      </c>
      <c r="CF24" s="407" t="e">
        <f t="shared" si="21"/>
        <v>#REF!</v>
      </c>
      <c r="CG24" s="407">
        <f t="shared" si="22"/>
        <v>1</v>
      </c>
      <c r="CH24" s="407">
        <f t="shared" si="23"/>
        <v>2031</v>
      </c>
      <c r="CI24" s="407">
        <f t="shared" si="24"/>
        <v>10</v>
      </c>
      <c r="CJ24" s="407">
        <f t="shared" si="25"/>
        <v>2030</v>
      </c>
      <c r="CK24" s="407">
        <f t="shared" si="26"/>
        <v>7</v>
      </c>
      <c r="CL24" s="407">
        <f t="shared" si="27"/>
        <v>2030</v>
      </c>
      <c r="CM24" s="407" t="e">
        <f t="shared" si="28"/>
        <v>#REF!</v>
      </c>
      <c r="CN24" s="408" t="str">
        <f t="shared" si="29"/>
        <v>. .</v>
      </c>
      <c r="CO24" s="405"/>
      <c r="CP24" s="409">
        <f t="shared" si="30"/>
        <v>660</v>
      </c>
      <c r="CQ24" s="410" t="e">
        <f>12*(#REF!-J24)+(12-H24)</f>
        <v>#REF!</v>
      </c>
      <c r="CR24" s="411" t="e">
        <f>#REF!-J24</f>
        <v>#REF!</v>
      </c>
      <c r="CS24" s="412" t="e">
        <f t="shared" si="31"/>
        <v>#REF!</v>
      </c>
      <c r="CT24" s="413"/>
      <c r="CU24" s="411"/>
      <c r="CV24" s="414" t="e">
        <f t="shared" si="32"/>
        <v>#REF!</v>
      </c>
      <c r="CW24" s="398" t="str">
        <f t="shared" si="33"/>
        <v>--</v>
      </c>
      <c r="CX24" s="376"/>
      <c r="CY24" s="375"/>
      <c r="CZ24" s="272"/>
      <c r="DA24" s="273"/>
      <c r="DB24" s="177"/>
      <c r="DC24" s="177"/>
      <c r="DG24" s="164" t="s">
        <v>72</v>
      </c>
      <c r="DH24" s="164" t="s">
        <v>14</v>
      </c>
      <c r="DI24" s="164" t="s">
        <v>15</v>
      </c>
      <c r="DJ24" s="164" t="s">
        <v>46</v>
      </c>
      <c r="DK24" s="164" t="s">
        <v>15</v>
      </c>
      <c r="DL24" s="164" t="s">
        <v>65</v>
      </c>
      <c r="DM24" s="164">
        <f t="shared" si="34"/>
        <v>0</v>
      </c>
      <c r="DN24" s="164" t="str">
        <f t="shared" si="35"/>
        <v>- - -</v>
      </c>
      <c r="DO24" s="164" t="s">
        <v>14</v>
      </c>
      <c r="DP24" s="164" t="s">
        <v>15</v>
      </c>
      <c r="DQ24" s="164" t="s">
        <v>46</v>
      </c>
      <c r="DR24" s="164" t="s">
        <v>15</v>
      </c>
      <c r="DS24" s="164" t="s">
        <v>65</v>
      </c>
      <c r="DU24" s="164" t="str">
        <f t="shared" si="36"/>
        <v>- - -</v>
      </c>
      <c r="DV24" s="164" t="e">
        <f t="shared" si="37"/>
        <v>#REF!</v>
      </c>
    </row>
    <row r="25" spans="1:126" s="164" customFormat="1" ht="29.25" customHeight="1" x14ac:dyDescent="0.25">
      <c r="A25" s="237">
        <v>168</v>
      </c>
      <c r="B25" s="438">
        <v>4</v>
      </c>
      <c r="C25" s="175" t="str">
        <f t="shared" si="0"/>
        <v>Ông</v>
      </c>
      <c r="D25" s="238" t="s">
        <v>73</v>
      </c>
      <c r="E25" s="175" t="s">
        <v>52</v>
      </c>
      <c r="F25" s="239" t="s">
        <v>74</v>
      </c>
      <c r="G25" s="240" t="s">
        <v>15</v>
      </c>
      <c r="H25" s="240">
        <v>7</v>
      </c>
      <c r="I25" s="240" t="s">
        <v>15</v>
      </c>
      <c r="J25" s="241">
        <v>1977</v>
      </c>
      <c r="K25" s="242"/>
      <c r="L25" s="242"/>
      <c r="M25" s="242" t="e">
        <f>VLOOKUP(L25,'[1]- DLiêu Gốc -'!$B$2:$G$121,2,0)</f>
        <v>#N/A</v>
      </c>
      <c r="N25" s="243"/>
      <c r="O25" s="244" t="s">
        <v>75</v>
      </c>
      <c r="P25" s="245" t="str">
        <f>VLOOKUP(U25,'[1]- DLiêu Gốc -'!$B$2:$G$56,5,0)</f>
        <v>A1</v>
      </c>
      <c r="Q25" s="245" t="str">
        <f>VLOOKUP(U25,'[1]- DLiêu Gốc -'!$B$2:$G$56,6,0)</f>
        <v>- - -</v>
      </c>
      <c r="R25" s="246" t="s">
        <v>43</v>
      </c>
      <c r="S25" s="247" t="str">
        <f t="shared" si="1"/>
        <v>Giảng viên (hạng III)</v>
      </c>
      <c r="T25" s="248" t="str">
        <f t="shared" si="2"/>
        <v>V.07.01.03</v>
      </c>
      <c r="U25" s="249" t="s">
        <v>44</v>
      </c>
      <c r="V25" s="248" t="str">
        <f>VLOOKUP(U25,'[1]- DLiêu Gốc -'!$B$1:$G$121,2,0)</f>
        <v>V.07.01.03</v>
      </c>
      <c r="W25" s="250" t="e">
        <f t="shared" si="3"/>
        <v>#REF!</v>
      </c>
      <c r="X25" s="251">
        <v>4</v>
      </c>
      <c r="Y25" s="252" t="str">
        <f t="shared" si="4"/>
        <v>/</v>
      </c>
      <c r="Z25" s="253">
        <f t="shared" si="5"/>
        <v>9</v>
      </c>
      <c r="AA25" s="254">
        <f t="shared" si="6"/>
        <v>3.33</v>
      </c>
      <c r="AB25" s="255">
        <f t="shared" si="7"/>
        <v>5</v>
      </c>
      <c r="AC25" s="242" t="str">
        <f t="shared" si="8"/>
        <v>/</v>
      </c>
      <c r="AD25" s="253">
        <f t="shared" si="9"/>
        <v>9</v>
      </c>
      <c r="AE25" s="256">
        <f t="shared" si="10"/>
        <v>3.66</v>
      </c>
      <c r="AF25" s="257" t="s">
        <v>14</v>
      </c>
      <c r="AG25" s="258" t="s">
        <v>15</v>
      </c>
      <c r="AH25" s="259" t="s">
        <v>46</v>
      </c>
      <c r="AI25" s="260" t="s">
        <v>15</v>
      </c>
      <c r="AJ25" s="261">
        <v>2015</v>
      </c>
      <c r="AK25" s="262"/>
      <c r="AL25" s="263"/>
      <c r="AM25" s="178">
        <f t="shared" si="11"/>
        <v>3</v>
      </c>
      <c r="AN25" s="178" t="e">
        <f>12*(#REF!-AJ25)+(#REF!-AH25)-AO25</f>
        <v>#REF!</v>
      </c>
      <c r="AO25" s="171"/>
      <c r="AP25" s="264"/>
      <c r="AQ25" s="180">
        <f>VLOOKUP(U25,'[1]- DLiêu Gốc -'!$B$1:$E$56,3,0)</f>
        <v>2.34</v>
      </c>
      <c r="AR25" s="174">
        <f>VLOOKUP(U25,'[1]- DLiêu Gốc -'!$B$1:$E$56,4,0)</f>
        <v>0.33</v>
      </c>
      <c r="AS25" s="265"/>
      <c r="AT25" s="266" t="str">
        <f t="shared" si="12"/>
        <v>o-o-o</v>
      </c>
      <c r="AU25" s="267"/>
      <c r="AV25" s="267"/>
      <c r="AW25" s="174">
        <f t="shared" si="13"/>
        <v>0</v>
      </c>
      <c r="AX25" s="268"/>
      <c r="AY25" s="269"/>
      <c r="AZ25" s="177"/>
      <c r="BA25" s="177"/>
      <c r="BB25" s="177"/>
      <c r="BC25" s="177"/>
      <c r="BD25" s="177"/>
      <c r="BE25" s="177"/>
      <c r="BF25" s="179" t="str">
        <f>IF(AU25&gt;3,((#REF!-BA25)*12+(#REF!-AY25)-BC25),"- - -")</f>
        <v>- - -</v>
      </c>
      <c r="BG25" s="270" t="e">
        <f t="shared" si="14"/>
        <v>#REF!</v>
      </c>
      <c r="BH25" s="439" t="str">
        <f t="shared" si="38"/>
        <v>CC,VC</v>
      </c>
      <c r="BI25" s="399"/>
      <c r="BJ25" s="400"/>
      <c r="BK25" s="401" t="s">
        <v>13</v>
      </c>
      <c r="BL25" s="402" t="str">
        <f t="shared" si="15"/>
        <v>A</v>
      </c>
      <c r="BM25" s="401" t="e">
        <f>IF(AND(AB25&gt;0,X25&lt;(Z25-1),BN25&gt;0,BN25&lt;13,OR(AND(BT25="Cùg Ng",(#REF!-BP25)&gt;AM25),BT25="- - -")),"Sớm TT","=&gt; s")</f>
        <v>#REF!</v>
      </c>
      <c r="BN25" s="403" t="e">
        <f>IF(AM25=3,36-(12*(#REF!-AJ25)+(12-AH25)-AO25),IF(AM25=2,24-(12*(#REF!-AJ25)+(12-AH25)-AO25),"---"))</f>
        <v>#REF!</v>
      </c>
      <c r="BO25" s="404" t="str">
        <f t="shared" si="16"/>
        <v>---</v>
      </c>
      <c r="BP25" s="405"/>
      <c r="BQ25" s="406"/>
      <c r="BR25" s="406"/>
      <c r="BS25" s="406"/>
      <c r="BT25" s="405" t="str">
        <f t="shared" si="17"/>
        <v>- - -</v>
      </c>
      <c r="BU25" s="404" t="str">
        <f t="shared" si="18"/>
        <v>- - -</v>
      </c>
      <c r="BV25" s="401"/>
      <c r="BW25" s="401"/>
      <c r="BX25" s="407"/>
      <c r="BY25" s="407"/>
      <c r="BZ25" s="407" t="str">
        <f t="shared" si="19"/>
        <v>CN</v>
      </c>
      <c r="CA25" s="407">
        <v>6</v>
      </c>
      <c r="CB25" s="407">
        <v>2013</v>
      </c>
      <c r="CC25" s="407"/>
      <c r="CD25" s="407"/>
      <c r="CE25" s="407" t="e">
        <f t="shared" si="20"/>
        <v>#REF!</v>
      </c>
      <c r="CF25" s="407" t="e">
        <f t="shared" si="21"/>
        <v>#REF!</v>
      </c>
      <c r="CG25" s="407">
        <f t="shared" si="22"/>
        <v>8</v>
      </c>
      <c r="CH25" s="407">
        <f t="shared" si="23"/>
        <v>2037</v>
      </c>
      <c r="CI25" s="407">
        <f t="shared" si="24"/>
        <v>5</v>
      </c>
      <c r="CJ25" s="407">
        <f t="shared" si="25"/>
        <v>2037</v>
      </c>
      <c r="CK25" s="407">
        <f t="shared" si="26"/>
        <v>2</v>
      </c>
      <c r="CL25" s="407">
        <f t="shared" si="27"/>
        <v>2037</v>
      </c>
      <c r="CM25" s="407" t="e">
        <f t="shared" si="28"/>
        <v>#REF!</v>
      </c>
      <c r="CN25" s="408" t="str">
        <f t="shared" si="29"/>
        <v>. .</v>
      </c>
      <c r="CO25" s="405"/>
      <c r="CP25" s="409">
        <f t="shared" si="30"/>
        <v>720</v>
      </c>
      <c r="CQ25" s="410" t="e">
        <f>12*(#REF!-J25)+(12-H25)</f>
        <v>#REF!</v>
      </c>
      <c r="CR25" s="411" t="e">
        <f>#REF!-J25</f>
        <v>#REF!</v>
      </c>
      <c r="CS25" s="412" t="e">
        <f t="shared" si="31"/>
        <v>#REF!</v>
      </c>
      <c r="CT25" s="413"/>
      <c r="CU25" s="411"/>
      <c r="CV25" s="414" t="e">
        <f t="shared" si="32"/>
        <v>#REF!</v>
      </c>
      <c r="CW25" s="398" t="str">
        <f t="shared" si="33"/>
        <v>TD</v>
      </c>
      <c r="CX25" s="376">
        <v>2008</v>
      </c>
      <c r="CY25" s="375" t="s">
        <v>76</v>
      </c>
      <c r="CZ25" s="272">
        <v>6</v>
      </c>
      <c r="DA25" s="273">
        <v>2013</v>
      </c>
      <c r="DB25" s="177"/>
      <c r="DC25" s="177"/>
      <c r="DG25" s="164" t="s">
        <v>77</v>
      </c>
      <c r="DH25" s="164" t="s">
        <v>14</v>
      </c>
      <c r="DI25" s="164" t="s">
        <v>15</v>
      </c>
      <c r="DJ25" s="164" t="s">
        <v>46</v>
      </c>
      <c r="DK25" s="164" t="s">
        <v>15</v>
      </c>
      <c r="DL25" s="164" t="s">
        <v>65</v>
      </c>
      <c r="DM25" s="164">
        <f t="shared" si="34"/>
        <v>0</v>
      </c>
      <c r="DN25" s="164" t="str">
        <f t="shared" si="35"/>
        <v>- - -</v>
      </c>
      <c r="DO25" s="164" t="s">
        <v>14</v>
      </c>
      <c r="DP25" s="164" t="s">
        <v>15</v>
      </c>
      <c r="DQ25" s="164" t="s">
        <v>46</v>
      </c>
      <c r="DR25" s="164" t="s">
        <v>15</v>
      </c>
      <c r="DS25" s="164" t="s">
        <v>65</v>
      </c>
      <c r="DU25" s="164" t="str">
        <f t="shared" si="36"/>
        <v>- - -</v>
      </c>
      <c r="DV25" s="164" t="e">
        <f t="shared" si="37"/>
        <v>#REF!</v>
      </c>
    </row>
    <row r="26" spans="1:126" s="164" customFormat="1" ht="29.25" customHeight="1" x14ac:dyDescent="0.25">
      <c r="A26" s="237">
        <v>220</v>
      </c>
      <c r="B26" s="438">
        <v>5</v>
      </c>
      <c r="C26" s="175" t="str">
        <f t="shared" si="0"/>
        <v>Bà</v>
      </c>
      <c r="D26" s="238" t="s">
        <v>78</v>
      </c>
      <c r="E26" s="175" t="s">
        <v>40</v>
      </c>
      <c r="F26" s="239" t="s">
        <v>79</v>
      </c>
      <c r="G26" s="240" t="s">
        <v>15</v>
      </c>
      <c r="H26" s="240" t="s">
        <v>46</v>
      </c>
      <c r="I26" s="240" t="s">
        <v>15</v>
      </c>
      <c r="J26" s="241">
        <v>1987</v>
      </c>
      <c r="K26" s="242"/>
      <c r="L26" s="242"/>
      <c r="M26" s="242" t="e">
        <f>VLOOKUP(L26,'[1]- DLiêu Gốc -'!$B$2:$G$121,2,0)</f>
        <v>#N/A</v>
      </c>
      <c r="N26" s="243"/>
      <c r="O26" s="244" t="s">
        <v>80</v>
      </c>
      <c r="P26" s="245" t="str">
        <f>VLOOKUP(U26,'[1]- DLiêu Gốc -'!$B$2:$G$56,5,0)</f>
        <v>A1</v>
      </c>
      <c r="Q26" s="245" t="str">
        <f>VLOOKUP(U26,'[1]- DLiêu Gốc -'!$B$2:$G$56,6,0)</f>
        <v>- - -</v>
      </c>
      <c r="R26" s="246" t="s">
        <v>43</v>
      </c>
      <c r="S26" s="247" t="str">
        <f t="shared" si="1"/>
        <v>Giảng viên (hạng III)</v>
      </c>
      <c r="T26" s="248" t="str">
        <f t="shared" si="2"/>
        <v>V.07.01.03</v>
      </c>
      <c r="U26" s="249" t="s">
        <v>44</v>
      </c>
      <c r="V26" s="248" t="str">
        <f>VLOOKUP(U26,'[1]- DLiêu Gốc -'!$B$1:$G$121,2,0)</f>
        <v>V.07.01.03</v>
      </c>
      <c r="W26" s="250" t="e">
        <f t="shared" si="3"/>
        <v>#REF!</v>
      </c>
      <c r="X26" s="251">
        <v>1</v>
      </c>
      <c r="Y26" s="252" t="str">
        <f t="shared" si="4"/>
        <v>/</v>
      </c>
      <c r="Z26" s="253">
        <f t="shared" si="5"/>
        <v>9</v>
      </c>
      <c r="AA26" s="254">
        <f t="shared" si="6"/>
        <v>2.34</v>
      </c>
      <c r="AB26" s="255">
        <f t="shared" si="7"/>
        <v>2</v>
      </c>
      <c r="AC26" s="242" t="str">
        <f t="shared" si="8"/>
        <v>/</v>
      </c>
      <c r="AD26" s="253">
        <f t="shared" si="9"/>
        <v>9</v>
      </c>
      <c r="AE26" s="256">
        <f t="shared" si="10"/>
        <v>2.67</v>
      </c>
      <c r="AF26" s="257" t="s">
        <v>14</v>
      </c>
      <c r="AG26" s="258" t="s">
        <v>15</v>
      </c>
      <c r="AH26" s="259" t="s">
        <v>46</v>
      </c>
      <c r="AI26" s="260" t="s">
        <v>15</v>
      </c>
      <c r="AJ26" s="261">
        <v>2015</v>
      </c>
      <c r="AK26" s="262"/>
      <c r="AL26" s="263"/>
      <c r="AM26" s="178">
        <f t="shared" si="11"/>
        <v>3</v>
      </c>
      <c r="AN26" s="178" t="e">
        <f>12*(#REF!-AJ26)+(#REF!-AH26)-AO26</f>
        <v>#REF!</v>
      </c>
      <c r="AO26" s="171"/>
      <c r="AP26" s="264"/>
      <c r="AQ26" s="180">
        <f>VLOOKUP(U26,'[1]- DLiêu Gốc -'!$B$1:$E$56,3,0)</f>
        <v>2.34</v>
      </c>
      <c r="AR26" s="174">
        <f>VLOOKUP(U26,'[1]- DLiêu Gốc -'!$B$1:$E$56,4,0)</f>
        <v>0.33</v>
      </c>
      <c r="AS26" s="265"/>
      <c r="AT26" s="266" t="str">
        <f t="shared" si="12"/>
        <v>o-o-o</v>
      </c>
      <c r="AU26" s="267"/>
      <c r="AV26" s="267"/>
      <c r="AW26" s="174">
        <f t="shared" si="13"/>
        <v>0</v>
      </c>
      <c r="AX26" s="268"/>
      <c r="AY26" s="269"/>
      <c r="AZ26" s="177"/>
      <c r="BA26" s="177"/>
      <c r="BB26" s="177"/>
      <c r="BC26" s="177"/>
      <c r="BD26" s="177"/>
      <c r="BE26" s="177"/>
      <c r="BF26" s="179" t="str">
        <f>IF(AU26&gt;3,((#REF!-BA26)*12+(#REF!-AY26)-BC26),"- - -")</f>
        <v>- - -</v>
      </c>
      <c r="BG26" s="270" t="e">
        <f t="shared" si="14"/>
        <v>#REF!</v>
      </c>
      <c r="BH26" s="439" t="str">
        <f t="shared" si="38"/>
        <v>NLĐ</v>
      </c>
      <c r="BI26" s="399"/>
      <c r="BJ26" s="400"/>
      <c r="BK26" s="401" t="s">
        <v>71</v>
      </c>
      <c r="BL26" s="402" t="str">
        <f t="shared" si="15"/>
        <v>A</v>
      </c>
      <c r="BM26" s="401" t="e">
        <f>IF(AND(AB26&gt;0,X26&lt;(Z26-1),BN26&gt;0,BN26&lt;13,OR(AND(BT26="Cùg Ng",(#REF!-BP26)&gt;AM26),BT26="- - -")),"Sớm TT","=&gt; s")</f>
        <v>#REF!</v>
      </c>
      <c r="BN26" s="403" t="e">
        <f>IF(AM26=3,36-(12*(#REF!-AJ26)+(12-AH26)-AO26),IF(AM26=2,24-(12*(#REF!-AJ26)+(12-AH26)-AO26),"---"))</f>
        <v>#REF!</v>
      </c>
      <c r="BO26" s="404" t="str">
        <f t="shared" si="16"/>
        <v>---</v>
      </c>
      <c r="BP26" s="405"/>
      <c r="BQ26" s="406"/>
      <c r="BR26" s="406"/>
      <c r="BS26" s="406"/>
      <c r="BT26" s="405" t="str">
        <f t="shared" si="17"/>
        <v>- - -</v>
      </c>
      <c r="BU26" s="404" t="str">
        <f t="shared" si="18"/>
        <v>- - -</v>
      </c>
      <c r="BV26" s="401"/>
      <c r="BW26" s="401"/>
      <c r="BX26" s="407"/>
      <c r="BY26" s="407"/>
      <c r="BZ26" s="407" t="str">
        <f t="shared" si="19"/>
        <v>- - -</v>
      </c>
      <c r="CA26" s="407"/>
      <c r="CB26" s="407"/>
      <c r="CC26" s="407"/>
      <c r="CD26" s="407"/>
      <c r="CE26" s="407" t="e">
        <f t="shared" si="20"/>
        <v>#REF!</v>
      </c>
      <c r="CF26" s="407" t="e">
        <f t="shared" si="21"/>
        <v>#REF!</v>
      </c>
      <c r="CG26" s="407">
        <f t="shared" si="22"/>
        <v>3</v>
      </c>
      <c r="CH26" s="407">
        <f t="shared" si="23"/>
        <v>2042</v>
      </c>
      <c r="CI26" s="407">
        <f t="shared" si="24"/>
        <v>12</v>
      </c>
      <c r="CJ26" s="407">
        <f t="shared" si="25"/>
        <v>2041</v>
      </c>
      <c r="CK26" s="407">
        <f t="shared" si="26"/>
        <v>9</v>
      </c>
      <c r="CL26" s="407">
        <f t="shared" si="27"/>
        <v>2041</v>
      </c>
      <c r="CM26" s="407" t="e">
        <f t="shared" si="28"/>
        <v>#REF!</v>
      </c>
      <c r="CN26" s="408" t="str">
        <f t="shared" si="29"/>
        <v>. .</v>
      </c>
      <c r="CO26" s="405"/>
      <c r="CP26" s="409">
        <f t="shared" si="30"/>
        <v>660</v>
      </c>
      <c r="CQ26" s="410" t="e">
        <f>12*(#REF!-J26)+(12-H26)</f>
        <v>#REF!</v>
      </c>
      <c r="CR26" s="411" t="e">
        <f>#REF!-J26</f>
        <v>#REF!</v>
      </c>
      <c r="CS26" s="412" t="e">
        <f t="shared" si="31"/>
        <v>#REF!</v>
      </c>
      <c r="CT26" s="413"/>
      <c r="CU26" s="411"/>
      <c r="CV26" s="414" t="e">
        <f t="shared" si="32"/>
        <v>#REF!</v>
      </c>
      <c r="CW26" s="398" t="str">
        <f t="shared" si="33"/>
        <v>--</v>
      </c>
      <c r="CX26" s="376"/>
      <c r="CY26" s="375"/>
      <c r="CZ26" s="272"/>
      <c r="DA26" s="273"/>
      <c r="DB26" s="177"/>
      <c r="DC26" s="177"/>
      <c r="DG26" s="164" t="s">
        <v>81</v>
      </c>
      <c r="DH26" s="164" t="s">
        <v>82</v>
      </c>
      <c r="DI26" s="164" t="s">
        <v>15</v>
      </c>
      <c r="DJ26" s="164" t="s">
        <v>46</v>
      </c>
      <c r="DK26" s="164" t="s">
        <v>15</v>
      </c>
      <c r="DL26" s="164">
        <v>2012</v>
      </c>
      <c r="DM26" s="164">
        <f t="shared" si="34"/>
        <v>14</v>
      </c>
      <c r="DN26" s="164" t="str">
        <f t="shared" si="35"/>
        <v>Sửa</v>
      </c>
      <c r="DO26" s="164" t="s">
        <v>14</v>
      </c>
      <c r="DP26" s="164" t="s">
        <v>15</v>
      </c>
      <c r="DQ26" s="164" t="s">
        <v>46</v>
      </c>
      <c r="DR26" s="164" t="s">
        <v>15</v>
      </c>
      <c r="DS26" s="164">
        <v>2012</v>
      </c>
      <c r="DU26" s="164" t="str">
        <f t="shared" si="36"/>
        <v>- - -</v>
      </c>
      <c r="DV26" s="164" t="e">
        <f t="shared" si="37"/>
        <v>#REF!</v>
      </c>
    </row>
    <row r="27" spans="1:126" s="164" customFormat="1" ht="29.25" customHeight="1" x14ac:dyDescent="0.25">
      <c r="A27" s="237">
        <v>374</v>
      </c>
      <c r="B27" s="438">
        <v>6</v>
      </c>
      <c r="C27" s="175" t="str">
        <f t="shared" si="0"/>
        <v>Bà</v>
      </c>
      <c r="D27" s="238" t="s">
        <v>83</v>
      </c>
      <c r="E27" s="175" t="s">
        <v>40</v>
      </c>
      <c r="F27" s="239" t="s">
        <v>84</v>
      </c>
      <c r="G27" s="240" t="s">
        <v>15</v>
      </c>
      <c r="H27" s="240" t="s">
        <v>69</v>
      </c>
      <c r="I27" s="240" t="s">
        <v>15</v>
      </c>
      <c r="J27" s="241">
        <v>1964</v>
      </c>
      <c r="K27" s="242" t="str">
        <f>IF(AND((M27+0)&gt;0.3,(M27+0)&lt;1.5),"CVụ","- -")</f>
        <v>CVụ</v>
      </c>
      <c r="L27" s="242" t="s">
        <v>85</v>
      </c>
      <c r="M27" s="242" t="str">
        <f>VLOOKUP(L27,'[1]- DLiêu Gốc -'!$B$2:$G$121,2,0)</f>
        <v>0,6</v>
      </c>
      <c r="N27" s="243"/>
      <c r="O27" s="244" t="s">
        <v>42</v>
      </c>
      <c r="P27" s="245" t="str">
        <f>VLOOKUP(U27,'[1]- DLiêu Gốc -'!$B$2:$G$56,5,0)</f>
        <v>A2</v>
      </c>
      <c r="Q27" s="245" t="str">
        <f>VLOOKUP(U27,'[1]- DLiêu Gốc -'!$B$2:$G$56,6,0)</f>
        <v>A2.1</v>
      </c>
      <c r="R27" s="246" t="s">
        <v>43</v>
      </c>
      <c r="S27" s="247" t="str">
        <f t="shared" si="1"/>
        <v>Giảng viên chính (hạng II)</v>
      </c>
      <c r="T27" s="248" t="str">
        <f t="shared" si="2"/>
        <v>V.07.01.02</v>
      </c>
      <c r="U27" s="249" t="s">
        <v>86</v>
      </c>
      <c r="V27" s="248" t="str">
        <f>VLOOKUP(U27,'[1]- DLiêu Gốc -'!$B$1:$G$121,2,0)</f>
        <v>V.07.01.02</v>
      </c>
      <c r="W27" s="250" t="e">
        <f t="shared" si="3"/>
        <v>#REF!</v>
      </c>
      <c r="X27" s="251">
        <v>5</v>
      </c>
      <c r="Y27" s="252" t="str">
        <f t="shared" si="4"/>
        <v>/</v>
      </c>
      <c r="Z27" s="253">
        <f t="shared" si="5"/>
        <v>8</v>
      </c>
      <c r="AA27" s="254">
        <f t="shared" si="6"/>
        <v>5.7600000000000007</v>
      </c>
      <c r="AB27" s="255">
        <f t="shared" si="7"/>
        <v>6</v>
      </c>
      <c r="AC27" s="242" t="str">
        <f t="shared" si="8"/>
        <v>/</v>
      </c>
      <c r="AD27" s="253">
        <f t="shared" si="9"/>
        <v>8</v>
      </c>
      <c r="AE27" s="256">
        <f t="shared" si="10"/>
        <v>6.1000000000000005</v>
      </c>
      <c r="AF27" s="257" t="s">
        <v>14</v>
      </c>
      <c r="AG27" s="258" t="s">
        <v>15</v>
      </c>
      <c r="AH27" s="259" t="s">
        <v>46</v>
      </c>
      <c r="AI27" s="260" t="s">
        <v>15</v>
      </c>
      <c r="AJ27" s="261">
        <v>2015</v>
      </c>
      <c r="AK27" s="262"/>
      <c r="AL27" s="263"/>
      <c r="AM27" s="178">
        <f t="shared" si="11"/>
        <v>3</v>
      </c>
      <c r="AN27" s="178" t="e">
        <f>12*(#REF!-AJ27)+(#REF!-AH27)-AO27</f>
        <v>#REF!</v>
      </c>
      <c r="AO27" s="171"/>
      <c r="AP27" s="264"/>
      <c r="AQ27" s="180">
        <f>VLOOKUP(U27,'[1]- DLiêu Gốc -'!$B$1:$E$56,3,0)</f>
        <v>4.4000000000000004</v>
      </c>
      <c r="AR27" s="174">
        <f>VLOOKUP(U27,'[1]- DLiêu Gốc -'!$B$1:$E$56,4,0)</f>
        <v>0.34</v>
      </c>
      <c r="AS27" s="265"/>
      <c r="AT27" s="266" t="e">
        <f t="shared" si="12"/>
        <v>#REF!</v>
      </c>
      <c r="AU27" s="267">
        <v>18</v>
      </c>
      <c r="AV27" s="267" t="s">
        <v>47</v>
      </c>
      <c r="AW27" s="174">
        <f t="shared" si="13"/>
        <v>19</v>
      </c>
      <c r="AX27" s="268" t="s">
        <v>47</v>
      </c>
      <c r="AY27" s="269">
        <v>9</v>
      </c>
      <c r="AZ27" s="177" t="s">
        <v>15</v>
      </c>
      <c r="BA27" s="177">
        <v>2014</v>
      </c>
      <c r="BB27" s="177"/>
      <c r="BC27" s="177"/>
      <c r="BD27" s="177"/>
      <c r="BE27" s="177">
        <v>9</v>
      </c>
      <c r="BF27" s="179" t="e">
        <f>IF(AU27&gt;3,((#REF!-BA27)*12+(#REF!-AY27)-BC27),"- - -")</f>
        <v>#REF!</v>
      </c>
      <c r="BG27" s="270" t="e">
        <f t="shared" si="14"/>
        <v>#REF!</v>
      </c>
      <c r="BH27" s="439" t="str">
        <f t="shared" si="38"/>
        <v>CC,VC</v>
      </c>
      <c r="BI27" s="399"/>
      <c r="BJ27" s="400"/>
      <c r="BK27" s="401" t="s">
        <v>13</v>
      </c>
      <c r="BL27" s="402" t="str">
        <f t="shared" si="15"/>
        <v>A</v>
      </c>
      <c r="BM27" s="401" t="e">
        <f>IF(AND(AB27&gt;0,X27&lt;(Z27-1),BN27&gt;0,BN27&lt;13,OR(AND(BT27="Cùg Ng",(#REF!-BP27)&gt;AM27),BT27="- - -")),"Sớm TT","=&gt; s")</f>
        <v>#REF!</v>
      </c>
      <c r="BN27" s="403" t="e">
        <f>IF(AM27=3,36-(12*(#REF!-AJ27)+(12-AH27)-AO27),IF(AM27=2,24-(12*(#REF!-AJ27)+(12-AH27)-AO27),"---"))</f>
        <v>#REF!</v>
      </c>
      <c r="BO27" s="404" t="str">
        <f t="shared" si="16"/>
        <v>S</v>
      </c>
      <c r="BP27" s="405">
        <v>2009</v>
      </c>
      <c r="BQ27" s="406" t="s">
        <v>87</v>
      </c>
      <c r="BR27" s="406"/>
      <c r="BS27" s="406"/>
      <c r="BT27" s="405" t="str">
        <f t="shared" si="17"/>
        <v>Cùg Ng</v>
      </c>
      <c r="BU27" s="404" t="str">
        <f t="shared" si="18"/>
        <v>- - -</v>
      </c>
      <c r="BV27" s="401"/>
      <c r="BW27" s="401"/>
      <c r="BX27" s="407"/>
      <c r="BY27" s="407"/>
      <c r="BZ27" s="407" t="str">
        <f t="shared" si="19"/>
        <v>- - -</v>
      </c>
      <c r="CA27" s="407"/>
      <c r="CB27" s="407"/>
      <c r="CC27" s="407"/>
      <c r="CD27" s="407"/>
      <c r="CE27" s="407" t="e">
        <f t="shared" si="20"/>
        <v>#REF!</v>
      </c>
      <c r="CF27" s="407" t="e">
        <f t="shared" si="21"/>
        <v>#REF!</v>
      </c>
      <c r="CG27" s="407">
        <f t="shared" si="22"/>
        <v>1</v>
      </c>
      <c r="CH27" s="407">
        <f t="shared" si="23"/>
        <v>2020</v>
      </c>
      <c r="CI27" s="407">
        <f t="shared" si="24"/>
        <v>10</v>
      </c>
      <c r="CJ27" s="407">
        <f t="shared" si="25"/>
        <v>2019</v>
      </c>
      <c r="CK27" s="407">
        <f t="shared" si="26"/>
        <v>7</v>
      </c>
      <c r="CL27" s="407">
        <f t="shared" si="27"/>
        <v>2019</v>
      </c>
      <c r="CM27" s="407" t="e">
        <f t="shared" si="28"/>
        <v>#REF!</v>
      </c>
      <c r="CN27" s="408" t="str">
        <f t="shared" si="29"/>
        <v>. .</v>
      </c>
      <c r="CO27" s="405"/>
      <c r="CP27" s="409">
        <f t="shared" si="30"/>
        <v>660</v>
      </c>
      <c r="CQ27" s="410" t="e">
        <f>12*(#REF!-J27)+(12-H27)</f>
        <v>#REF!</v>
      </c>
      <c r="CR27" s="411" t="e">
        <f>#REF!-J27</f>
        <v>#REF!</v>
      </c>
      <c r="CS27" s="412" t="e">
        <f t="shared" si="31"/>
        <v>#REF!</v>
      </c>
      <c r="CT27" s="413"/>
      <c r="CU27" s="411"/>
      <c r="CV27" s="414" t="e">
        <f t="shared" si="32"/>
        <v>#REF!</v>
      </c>
      <c r="CW27" s="398" t="str">
        <f t="shared" si="33"/>
        <v>--</v>
      </c>
      <c r="CX27" s="376"/>
      <c r="CY27" s="375"/>
      <c r="CZ27" s="272"/>
      <c r="DA27" s="273"/>
      <c r="DB27" s="177"/>
      <c r="DC27" s="177"/>
      <c r="DG27" s="164" t="s">
        <v>88</v>
      </c>
      <c r="DH27" s="164" t="s">
        <v>14</v>
      </c>
      <c r="DI27" s="164" t="s">
        <v>15</v>
      </c>
      <c r="DJ27" s="164" t="s">
        <v>46</v>
      </c>
      <c r="DK27" s="164" t="s">
        <v>15</v>
      </c>
      <c r="DL27" s="164" t="s">
        <v>65</v>
      </c>
      <c r="DM27" s="164">
        <f t="shared" si="34"/>
        <v>0</v>
      </c>
      <c r="DN27" s="164" t="str">
        <f t="shared" si="35"/>
        <v>- - -</v>
      </c>
      <c r="DO27" s="164" t="s">
        <v>14</v>
      </c>
      <c r="DP27" s="164" t="s">
        <v>15</v>
      </c>
      <c r="DQ27" s="164" t="s">
        <v>46</v>
      </c>
      <c r="DR27" s="164" t="s">
        <v>15</v>
      </c>
      <c r="DS27" s="164" t="s">
        <v>65</v>
      </c>
      <c r="DU27" s="164" t="str">
        <f t="shared" si="36"/>
        <v>- - -</v>
      </c>
      <c r="DV27" s="164" t="e">
        <f t="shared" si="37"/>
        <v>#REF!</v>
      </c>
    </row>
    <row r="28" spans="1:126" s="164" customFormat="1" ht="29.25" customHeight="1" x14ac:dyDescent="0.25">
      <c r="A28" s="237">
        <v>382</v>
      </c>
      <c r="B28" s="438">
        <v>7</v>
      </c>
      <c r="C28" s="175" t="str">
        <f t="shared" si="0"/>
        <v>Ông</v>
      </c>
      <c r="D28" s="238" t="s">
        <v>89</v>
      </c>
      <c r="E28" s="175" t="s">
        <v>52</v>
      </c>
      <c r="F28" s="239" t="s">
        <v>53</v>
      </c>
      <c r="G28" s="240" t="s">
        <v>15</v>
      </c>
      <c r="H28" s="240" t="s">
        <v>14</v>
      </c>
      <c r="I28" s="240" t="s">
        <v>15</v>
      </c>
      <c r="J28" s="241" t="s">
        <v>90</v>
      </c>
      <c r="K28" s="242"/>
      <c r="L28" s="242"/>
      <c r="M28" s="242" t="e">
        <f>VLOOKUP(L28,'[1]- DLiêu Gốc -'!$B$2:$G$121,2,0)</f>
        <v>#N/A</v>
      </c>
      <c r="N28" s="243"/>
      <c r="O28" s="244" t="s">
        <v>42</v>
      </c>
      <c r="P28" s="245" t="str">
        <f>VLOOKUP(U28,'[1]- DLiêu Gốc -'!$B$2:$G$56,5,0)</f>
        <v>A2</v>
      </c>
      <c r="Q28" s="245" t="str">
        <f>VLOOKUP(U28,'[1]- DLiêu Gốc -'!$B$2:$G$56,6,0)</f>
        <v>A2.1</v>
      </c>
      <c r="R28" s="246" t="s">
        <v>43</v>
      </c>
      <c r="S28" s="247" t="str">
        <f t="shared" si="1"/>
        <v>Giảng viên chính (hạng II)</v>
      </c>
      <c r="T28" s="248" t="str">
        <f t="shared" si="2"/>
        <v>V.07.01.02</v>
      </c>
      <c r="U28" s="249" t="s">
        <v>86</v>
      </c>
      <c r="V28" s="248" t="str">
        <f>VLOOKUP(U28,'[1]- DLiêu Gốc -'!$B$1:$G$121,2,0)</f>
        <v>V.07.01.02</v>
      </c>
      <c r="W28" s="250" t="e">
        <f t="shared" si="3"/>
        <v>#REF!</v>
      </c>
      <c r="X28" s="251">
        <v>5</v>
      </c>
      <c r="Y28" s="252" t="str">
        <f t="shared" si="4"/>
        <v>/</v>
      </c>
      <c r="Z28" s="253">
        <f t="shared" si="5"/>
        <v>8</v>
      </c>
      <c r="AA28" s="254">
        <f t="shared" si="6"/>
        <v>5.7600000000000007</v>
      </c>
      <c r="AB28" s="255">
        <f t="shared" si="7"/>
        <v>6</v>
      </c>
      <c r="AC28" s="242" t="str">
        <f t="shared" si="8"/>
        <v>/</v>
      </c>
      <c r="AD28" s="253">
        <f t="shared" si="9"/>
        <v>8</v>
      </c>
      <c r="AE28" s="256">
        <f t="shared" si="10"/>
        <v>6.1000000000000005</v>
      </c>
      <c r="AF28" s="257" t="s">
        <v>14</v>
      </c>
      <c r="AG28" s="258" t="s">
        <v>15</v>
      </c>
      <c r="AH28" s="259" t="s">
        <v>46</v>
      </c>
      <c r="AI28" s="260" t="s">
        <v>15</v>
      </c>
      <c r="AJ28" s="261">
        <v>2015</v>
      </c>
      <c r="AK28" s="262"/>
      <c r="AL28" s="263"/>
      <c r="AM28" s="178">
        <f t="shared" si="11"/>
        <v>3</v>
      </c>
      <c r="AN28" s="178" t="e">
        <f>12*(#REF!-AJ28)+(#REF!-AH28)-AO28</f>
        <v>#REF!</v>
      </c>
      <c r="AO28" s="171"/>
      <c r="AP28" s="264"/>
      <c r="AQ28" s="180">
        <f>VLOOKUP(U28,'[1]- DLiêu Gốc -'!$B$1:$E$56,3,0)</f>
        <v>4.4000000000000004</v>
      </c>
      <c r="AR28" s="174">
        <f>VLOOKUP(U28,'[1]- DLiêu Gốc -'!$B$1:$E$56,4,0)</f>
        <v>0.34</v>
      </c>
      <c r="AS28" s="265"/>
      <c r="AT28" s="266" t="e">
        <f t="shared" si="12"/>
        <v>#REF!</v>
      </c>
      <c r="AU28" s="267">
        <v>9</v>
      </c>
      <c r="AV28" s="267" t="s">
        <v>47</v>
      </c>
      <c r="AW28" s="174">
        <f t="shared" si="13"/>
        <v>10</v>
      </c>
      <c r="AX28" s="268" t="s">
        <v>47</v>
      </c>
      <c r="AY28" s="269" t="s">
        <v>91</v>
      </c>
      <c r="AZ28" s="177" t="s">
        <v>15</v>
      </c>
      <c r="BA28" s="177">
        <v>2014</v>
      </c>
      <c r="BB28" s="177"/>
      <c r="BC28" s="177"/>
      <c r="BD28" s="177"/>
      <c r="BE28" s="177">
        <v>10</v>
      </c>
      <c r="BF28" s="179" t="e">
        <f>IF(AU28&gt;3,((#REF!-BA28)*12+(#REF!-AY28)-BC28),"- - -")</f>
        <v>#REF!</v>
      </c>
      <c r="BG28" s="270" t="e">
        <f t="shared" si="14"/>
        <v>#REF!</v>
      </c>
      <c r="BH28" s="439" t="str">
        <f t="shared" si="38"/>
        <v>CC,VC</v>
      </c>
      <c r="BI28" s="399"/>
      <c r="BJ28" s="400"/>
      <c r="BK28" s="401" t="s">
        <v>13</v>
      </c>
      <c r="BL28" s="402" t="str">
        <f t="shared" si="15"/>
        <v>A</v>
      </c>
      <c r="BM28" s="401" t="e">
        <f>IF(AND(AB28&gt;0,X28&lt;(Z28-1),BN28&gt;0,BN28&lt;13,OR(AND(BT28="Cùg Ng",(#REF!-BP28)&gt;AM28),BT28="- - -")),"Sớm TT","=&gt; s")</f>
        <v>#REF!</v>
      </c>
      <c r="BN28" s="403" t="e">
        <f>IF(AM28=3,36-(12*(#REF!-AJ28)+(12-AH28)-AO28),IF(AM28=2,24-(12*(#REF!-AJ28)+(12-AH28)-AO28),"---"))</f>
        <v>#REF!</v>
      </c>
      <c r="BO28" s="404" t="str">
        <f t="shared" si="16"/>
        <v>---</v>
      </c>
      <c r="BP28" s="405"/>
      <c r="BQ28" s="406"/>
      <c r="BR28" s="406"/>
      <c r="BS28" s="406"/>
      <c r="BT28" s="405" t="str">
        <f t="shared" si="17"/>
        <v>- - -</v>
      </c>
      <c r="BU28" s="404" t="str">
        <f t="shared" si="18"/>
        <v>- - -</v>
      </c>
      <c r="BV28" s="401"/>
      <c r="BW28" s="401"/>
      <c r="BX28" s="407"/>
      <c r="BY28" s="407"/>
      <c r="BZ28" s="407" t="str">
        <f t="shared" si="19"/>
        <v>- - -</v>
      </c>
      <c r="CA28" s="407"/>
      <c r="CB28" s="407"/>
      <c r="CC28" s="407"/>
      <c r="CD28" s="407"/>
      <c r="CE28" s="407" t="e">
        <f t="shared" si="20"/>
        <v>#REF!</v>
      </c>
      <c r="CF28" s="407" t="e">
        <f t="shared" si="21"/>
        <v>#REF!</v>
      </c>
      <c r="CG28" s="407">
        <f t="shared" si="22"/>
        <v>2</v>
      </c>
      <c r="CH28" s="407">
        <f t="shared" si="23"/>
        <v>2017</v>
      </c>
      <c r="CI28" s="407">
        <f t="shared" si="24"/>
        <v>11</v>
      </c>
      <c r="CJ28" s="407">
        <f t="shared" si="25"/>
        <v>2016</v>
      </c>
      <c r="CK28" s="407">
        <f t="shared" si="26"/>
        <v>8</v>
      </c>
      <c r="CL28" s="407">
        <f t="shared" si="27"/>
        <v>2016</v>
      </c>
      <c r="CM28" s="407" t="e">
        <f t="shared" si="28"/>
        <v>#REF!</v>
      </c>
      <c r="CN28" s="408" t="str">
        <f t="shared" si="29"/>
        <v>. .</v>
      </c>
      <c r="CO28" s="405"/>
      <c r="CP28" s="409">
        <f t="shared" si="30"/>
        <v>720</v>
      </c>
      <c r="CQ28" s="410" t="e">
        <f>12*(#REF!-J28)+(12-H28)</f>
        <v>#REF!</v>
      </c>
      <c r="CR28" s="411" t="e">
        <f>#REF!-J28</f>
        <v>#REF!</v>
      </c>
      <c r="CS28" s="412" t="e">
        <f t="shared" si="31"/>
        <v>#REF!</v>
      </c>
      <c r="CT28" s="413"/>
      <c r="CU28" s="411"/>
      <c r="CV28" s="414" t="e">
        <f t="shared" si="32"/>
        <v>#REF!</v>
      </c>
      <c r="CW28" s="398" t="str">
        <f t="shared" si="33"/>
        <v>--</v>
      </c>
      <c r="CX28" s="376"/>
      <c r="CY28" s="375"/>
      <c r="CZ28" s="272"/>
      <c r="DA28" s="273"/>
      <c r="DB28" s="177"/>
      <c r="DC28" s="177"/>
      <c r="DG28" s="164" t="s">
        <v>92</v>
      </c>
      <c r="DH28" s="164" t="s">
        <v>14</v>
      </c>
      <c r="DI28" s="164" t="s">
        <v>15</v>
      </c>
      <c r="DJ28" s="164" t="s">
        <v>46</v>
      </c>
      <c r="DK28" s="164" t="s">
        <v>15</v>
      </c>
      <c r="DL28" s="164" t="s">
        <v>65</v>
      </c>
      <c r="DM28" s="164">
        <f t="shared" si="34"/>
        <v>0</v>
      </c>
      <c r="DN28" s="164" t="str">
        <f t="shared" si="35"/>
        <v>- - -</v>
      </c>
      <c r="DO28" s="164" t="s">
        <v>14</v>
      </c>
      <c r="DP28" s="164" t="s">
        <v>15</v>
      </c>
      <c r="DQ28" s="164" t="s">
        <v>46</v>
      </c>
      <c r="DR28" s="164" t="s">
        <v>15</v>
      </c>
      <c r="DS28" s="164" t="s">
        <v>65</v>
      </c>
      <c r="DU28" s="164" t="str">
        <f t="shared" si="36"/>
        <v>- - -</v>
      </c>
      <c r="DV28" s="164" t="e">
        <f t="shared" si="37"/>
        <v>#REF!</v>
      </c>
    </row>
    <row r="29" spans="1:126" s="164" customFormat="1" ht="29.25" customHeight="1" x14ac:dyDescent="0.25">
      <c r="A29" s="237">
        <v>394</v>
      </c>
      <c r="B29" s="438">
        <v>8</v>
      </c>
      <c r="C29" s="175" t="str">
        <f t="shared" si="0"/>
        <v>Ông</v>
      </c>
      <c r="D29" s="238" t="s">
        <v>93</v>
      </c>
      <c r="E29" s="175" t="s">
        <v>52</v>
      </c>
      <c r="F29" s="239" t="s">
        <v>74</v>
      </c>
      <c r="G29" s="240" t="s">
        <v>15</v>
      </c>
      <c r="H29" s="240" t="s">
        <v>94</v>
      </c>
      <c r="I29" s="240" t="s">
        <v>15</v>
      </c>
      <c r="J29" s="241">
        <v>1979</v>
      </c>
      <c r="K29" s="242"/>
      <c r="L29" s="242"/>
      <c r="M29" s="242" t="e">
        <f>VLOOKUP(L29,'[1]- DLiêu Gốc -'!$B$2:$G$121,2,0)</f>
        <v>#N/A</v>
      </c>
      <c r="N29" s="243"/>
      <c r="O29" s="244" t="s">
        <v>95</v>
      </c>
      <c r="P29" s="245" t="str">
        <f>VLOOKUP(U29,'[1]- DLiêu Gốc -'!$B$2:$G$56,5,0)</f>
        <v>A1</v>
      </c>
      <c r="Q29" s="245" t="str">
        <f>VLOOKUP(U29,'[1]- DLiêu Gốc -'!$B$2:$G$56,6,0)</f>
        <v>- - -</v>
      </c>
      <c r="R29" s="246" t="s">
        <v>55</v>
      </c>
      <c r="S29" s="247" t="str">
        <f t="shared" si="1"/>
        <v>Chuyên viên</v>
      </c>
      <c r="T29" s="248" t="str">
        <f t="shared" si="2"/>
        <v>01.003</v>
      </c>
      <c r="U29" s="249" t="s">
        <v>56</v>
      </c>
      <c r="V29" s="248" t="str">
        <f>VLOOKUP(U29,'[1]- DLiêu Gốc -'!$B$1:$G$121,2,0)</f>
        <v>01.003</v>
      </c>
      <c r="W29" s="250" t="e">
        <f t="shared" si="3"/>
        <v>#REF!</v>
      </c>
      <c r="X29" s="251">
        <v>1</v>
      </c>
      <c r="Y29" s="252" t="str">
        <f t="shared" si="4"/>
        <v>/</v>
      </c>
      <c r="Z29" s="253">
        <f t="shared" si="5"/>
        <v>9</v>
      </c>
      <c r="AA29" s="254">
        <f t="shared" si="6"/>
        <v>2.34</v>
      </c>
      <c r="AB29" s="255">
        <f t="shared" si="7"/>
        <v>2</v>
      </c>
      <c r="AC29" s="242" t="str">
        <f t="shared" si="8"/>
        <v>/</v>
      </c>
      <c r="AD29" s="253">
        <f t="shared" si="9"/>
        <v>9</v>
      </c>
      <c r="AE29" s="256">
        <f t="shared" si="10"/>
        <v>2.67</v>
      </c>
      <c r="AF29" s="257" t="s">
        <v>14</v>
      </c>
      <c r="AG29" s="258" t="s">
        <v>15</v>
      </c>
      <c r="AH29" s="259" t="s">
        <v>46</v>
      </c>
      <c r="AI29" s="260" t="s">
        <v>15</v>
      </c>
      <c r="AJ29" s="261">
        <v>2015</v>
      </c>
      <c r="AK29" s="262"/>
      <c r="AL29" s="263"/>
      <c r="AM29" s="178">
        <f t="shared" si="11"/>
        <v>3</v>
      </c>
      <c r="AN29" s="178" t="e">
        <f>12*(#REF!-AJ29)+(#REF!-AH29)-AO29</f>
        <v>#REF!</v>
      </c>
      <c r="AO29" s="171"/>
      <c r="AP29" s="264"/>
      <c r="AQ29" s="180">
        <f>VLOOKUP(U29,'[1]- DLiêu Gốc -'!$B$1:$E$56,3,0)</f>
        <v>2.34</v>
      </c>
      <c r="AR29" s="174">
        <f>VLOOKUP(U29,'[1]- DLiêu Gốc -'!$B$1:$E$56,4,0)</f>
        <v>0.33</v>
      </c>
      <c r="AS29" s="265"/>
      <c r="AT29" s="266" t="str">
        <f t="shared" si="12"/>
        <v>o-o-o</v>
      </c>
      <c r="AU29" s="267"/>
      <c r="AV29" s="267"/>
      <c r="AW29" s="174">
        <f t="shared" si="13"/>
        <v>0</v>
      </c>
      <c r="AX29" s="268"/>
      <c r="AY29" s="269"/>
      <c r="AZ29" s="177"/>
      <c r="BA29" s="177"/>
      <c r="BB29" s="177"/>
      <c r="BC29" s="177"/>
      <c r="BD29" s="177"/>
      <c r="BE29" s="177"/>
      <c r="BF29" s="179" t="str">
        <f>IF(AU29&gt;3,((#REF!-BA29)*12+(#REF!-AY29)-BC29),"- - -")</f>
        <v>- - -</v>
      </c>
      <c r="BG29" s="270" t="e">
        <f t="shared" si="14"/>
        <v>#REF!</v>
      </c>
      <c r="BH29" s="439" t="str">
        <f t="shared" si="38"/>
        <v>NLĐ</v>
      </c>
      <c r="BI29" s="399"/>
      <c r="BJ29" s="400"/>
      <c r="BK29" s="401" t="s">
        <v>71</v>
      </c>
      <c r="BL29" s="402" t="str">
        <f t="shared" si="15"/>
        <v>A</v>
      </c>
      <c r="BM29" s="401" t="e">
        <f>IF(AND(AB29&gt;0,X29&lt;(Z29-1),BN29&gt;0,BN29&lt;13,OR(AND(BT29="Cùg Ng",(#REF!-BP29)&gt;AM29),BT29="- - -")),"Sớm TT","=&gt; s")</f>
        <v>#REF!</v>
      </c>
      <c r="BN29" s="403" t="e">
        <f>IF(AM29=3,36-(12*(#REF!-AJ29)+(12-AH29)-AO29),IF(AM29=2,24-(12*(#REF!-AJ29)+(12-AH29)-AO29),"---"))</f>
        <v>#REF!</v>
      </c>
      <c r="BO29" s="404" t="str">
        <f t="shared" si="16"/>
        <v>---</v>
      </c>
      <c r="BP29" s="405"/>
      <c r="BQ29" s="406"/>
      <c r="BR29" s="406"/>
      <c r="BS29" s="406"/>
      <c r="BT29" s="405" t="str">
        <f t="shared" si="17"/>
        <v>- - -</v>
      </c>
      <c r="BU29" s="404" t="str">
        <f t="shared" si="18"/>
        <v>- - -</v>
      </c>
      <c r="BV29" s="401"/>
      <c r="BW29" s="401"/>
      <c r="BX29" s="407"/>
      <c r="BY29" s="407"/>
      <c r="BZ29" s="407" t="str">
        <f t="shared" si="19"/>
        <v>- - -</v>
      </c>
      <c r="CA29" s="407"/>
      <c r="CB29" s="407"/>
      <c r="CC29" s="407"/>
      <c r="CD29" s="407"/>
      <c r="CE29" s="407" t="e">
        <f t="shared" si="20"/>
        <v>#REF!</v>
      </c>
      <c r="CF29" s="407" t="e">
        <f t="shared" si="21"/>
        <v>#REF!</v>
      </c>
      <c r="CG29" s="407">
        <f t="shared" si="22"/>
        <v>7</v>
      </c>
      <c r="CH29" s="407">
        <f t="shared" si="23"/>
        <v>2039</v>
      </c>
      <c r="CI29" s="407">
        <f t="shared" si="24"/>
        <v>4</v>
      </c>
      <c r="CJ29" s="407">
        <f t="shared" si="25"/>
        <v>2039</v>
      </c>
      <c r="CK29" s="407">
        <f t="shared" si="26"/>
        <v>1</v>
      </c>
      <c r="CL29" s="407">
        <f t="shared" si="27"/>
        <v>2039</v>
      </c>
      <c r="CM29" s="407" t="e">
        <f t="shared" si="28"/>
        <v>#REF!</v>
      </c>
      <c r="CN29" s="408" t="str">
        <f t="shared" si="29"/>
        <v>. .</v>
      </c>
      <c r="CO29" s="405"/>
      <c r="CP29" s="409">
        <f t="shared" si="30"/>
        <v>720</v>
      </c>
      <c r="CQ29" s="410" t="e">
        <f>12*(#REF!-J29)+(12-H29)</f>
        <v>#REF!</v>
      </c>
      <c r="CR29" s="411" t="e">
        <f>#REF!-J29</f>
        <v>#REF!</v>
      </c>
      <c r="CS29" s="412" t="e">
        <f t="shared" si="31"/>
        <v>#REF!</v>
      </c>
      <c r="CT29" s="413"/>
      <c r="CU29" s="411"/>
      <c r="CV29" s="414" t="e">
        <f t="shared" si="32"/>
        <v>#REF!</v>
      </c>
      <c r="CW29" s="398" t="str">
        <f t="shared" si="33"/>
        <v>--</v>
      </c>
      <c r="CX29" s="376"/>
      <c r="CY29" s="375"/>
      <c r="CZ29" s="272"/>
      <c r="DA29" s="273"/>
      <c r="DB29" s="177"/>
      <c r="DC29" s="177"/>
      <c r="DH29" s="164" t="s">
        <v>14</v>
      </c>
      <c r="DI29" s="164" t="s">
        <v>15</v>
      </c>
      <c r="DJ29" s="164" t="s">
        <v>96</v>
      </c>
      <c r="DK29" s="164" t="s">
        <v>15</v>
      </c>
      <c r="DL29" s="164">
        <v>2012</v>
      </c>
      <c r="DM29" s="164">
        <f t="shared" si="34"/>
        <v>0</v>
      </c>
      <c r="DN29" s="164" t="str">
        <f t="shared" si="35"/>
        <v>- - -</v>
      </c>
      <c r="DO29" s="164" t="s">
        <v>14</v>
      </c>
      <c r="DP29" s="164" t="s">
        <v>15</v>
      </c>
      <c r="DQ29" s="164" t="s">
        <v>96</v>
      </c>
      <c r="DR29" s="164" t="s">
        <v>15</v>
      </c>
      <c r="DS29" s="164">
        <v>2012</v>
      </c>
      <c r="DU29" s="164" t="str">
        <f t="shared" si="36"/>
        <v>- - -</v>
      </c>
      <c r="DV29" s="164" t="e">
        <f t="shared" si="37"/>
        <v>#REF!</v>
      </c>
    </row>
    <row r="30" spans="1:126" s="164" customFormat="1" ht="21" customHeight="1" x14ac:dyDescent="0.25">
      <c r="A30" s="237">
        <v>535</v>
      </c>
      <c r="B30" s="438">
        <v>9</v>
      </c>
      <c r="C30" s="175" t="str">
        <f t="shared" si="0"/>
        <v>Bà</v>
      </c>
      <c r="D30" s="238" t="s">
        <v>97</v>
      </c>
      <c r="E30" s="175" t="s">
        <v>40</v>
      </c>
      <c r="F30" s="239" t="s">
        <v>46</v>
      </c>
      <c r="G30" s="240" t="s">
        <v>15</v>
      </c>
      <c r="H30" s="240" t="s">
        <v>69</v>
      </c>
      <c r="I30" s="240" t="s">
        <v>15</v>
      </c>
      <c r="J30" s="241">
        <v>1974</v>
      </c>
      <c r="K30" s="242"/>
      <c r="L30" s="242"/>
      <c r="M30" s="242" t="e">
        <f>VLOOKUP(L30,'[1]- DLiêu Gốc -'!$B$2:$G$121,2,0)</f>
        <v>#N/A</v>
      </c>
      <c r="N30" s="243"/>
      <c r="O30" s="244" t="s">
        <v>98</v>
      </c>
      <c r="P30" s="245" t="str">
        <f>VLOOKUP(U30,'[1]- DLiêu Gốc -'!$B$2:$G$56,5,0)</f>
        <v>A1</v>
      </c>
      <c r="Q30" s="245" t="str">
        <f>VLOOKUP(U30,'[1]- DLiêu Gốc -'!$B$2:$G$56,6,0)</f>
        <v>- - -</v>
      </c>
      <c r="R30" s="246" t="s">
        <v>55</v>
      </c>
      <c r="S30" s="247" t="str">
        <f t="shared" si="1"/>
        <v>Kế toán viên</v>
      </c>
      <c r="T30" s="248" t="str">
        <f t="shared" si="2"/>
        <v>06.031</v>
      </c>
      <c r="U30" s="249" t="s">
        <v>99</v>
      </c>
      <c r="V30" s="248" t="str">
        <f>VLOOKUP(U30,'[1]- DLiêu Gốc -'!$B$1:$G$121,2,0)</f>
        <v>06.031</v>
      </c>
      <c r="W30" s="250" t="e">
        <f t="shared" si="3"/>
        <v>#REF!</v>
      </c>
      <c r="X30" s="251">
        <v>5</v>
      </c>
      <c r="Y30" s="252" t="str">
        <f t="shared" si="4"/>
        <v>/</v>
      </c>
      <c r="Z30" s="253">
        <f t="shared" si="5"/>
        <v>9</v>
      </c>
      <c r="AA30" s="254">
        <f t="shared" si="6"/>
        <v>3.66</v>
      </c>
      <c r="AB30" s="255">
        <f t="shared" si="7"/>
        <v>6</v>
      </c>
      <c r="AC30" s="242" t="str">
        <f t="shared" si="8"/>
        <v>/</v>
      </c>
      <c r="AD30" s="253">
        <f t="shared" si="9"/>
        <v>9</v>
      </c>
      <c r="AE30" s="256">
        <f t="shared" si="10"/>
        <v>3.99</v>
      </c>
      <c r="AF30" s="257" t="s">
        <v>14</v>
      </c>
      <c r="AG30" s="258" t="s">
        <v>15</v>
      </c>
      <c r="AH30" s="259" t="s">
        <v>46</v>
      </c>
      <c r="AI30" s="260" t="s">
        <v>15</v>
      </c>
      <c r="AJ30" s="261">
        <v>2015</v>
      </c>
      <c r="AK30" s="262"/>
      <c r="AL30" s="263"/>
      <c r="AM30" s="178">
        <f t="shared" si="11"/>
        <v>3</v>
      </c>
      <c r="AN30" s="178" t="e">
        <f>12*(#REF!-AJ30)+(#REF!-AH30)-AO30</f>
        <v>#REF!</v>
      </c>
      <c r="AO30" s="171"/>
      <c r="AP30" s="264"/>
      <c r="AQ30" s="180">
        <f>VLOOKUP(U30,'[1]- DLiêu Gốc -'!$B$1:$E$56,3,0)</f>
        <v>2.34</v>
      </c>
      <c r="AR30" s="174">
        <f>VLOOKUP(U30,'[1]- DLiêu Gốc -'!$B$1:$E$56,4,0)</f>
        <v>0.33</v>
      </c>
      <c r="AS30" s="265"/>
      <c r="AT30" s="266" t="str">
        <f t="shared" si="12"/>
        <v>o-o-o</v>
      </c>
      <c r="AU30" s="267"/>
      <c r="AV30" s="267"/>
      <c r="AW30" s="174">
        <f t="shared" si="13"/>
        <v>0</v>
      </c>
      <c r="AX30" s="268"/>
      <c r="AY30" s="269"/>
      <c r="AZ30" s="177"/>
      <c r="BA30" s="177"/>
      <c r="BB30" s="177"/>
      <c r="BC30" s="177"/>
      <c r="BD30" s="177"/>
      <c r="BE30" s="177"/>
      <c r="BF30" s="179" t="str">
        <f>IF(AU30&gt;3,((#REF!-BA30)*12+(#REF!-AY30)-BC30),"- - -")</f>
        <v>- - -</v>
      </c>
      <c r="BG30" s="270" t="e">
        <f t="shared" si="14"/>
        <v>#REF!</v>
      </c>
      <c r="BH30" s="439" t="str">
        <f t="shared" si="38"/>
        <v>CC,VC</v>
      </c>
      <c r="BI30" s="399"/>
      <c r="BJ30" s="400"/>
      <c r="BK30" s="401" t="s">
        <v>13</v>
      </c>
      <c r="BL30" s="402" t="str">
        <f t="shared" si="15"/>
        <v>A</v>
      </c>
      <c r="BM30" s="401" t="e">
        <f>IF(AND(AB30&gt;0,X30&lt;(Z30-1),BN30&gt;0,BN30&lt;13,OR(AND(BT30="Cùg Ng",(#REF!-BP30)&gt;AM30),BT30="- - -")),"Sớm TT","=&gt; s")</f>
        <v>#REF!</v>
      </c>
      <c r="BN30" s="403" t="e">
        <f>IF(AM30=3,36-(12*(#REF!-AJ30)+(12-AH30)-AO30),IF(AM30=2,24-(12*(#REF!-AJ30)+(12-AH30)-AO30),"---"))</f>
        <v>#REF!</v>
      </c>
      <c r="BO30" s="404" t="str">
        <f t="shared" si="16"/>
        <v>---</v>
      </c>
      <c r="BP30" s="405"/>
      <c r="BQ30" s="406"/>
      <c r="BR30" s="406"/>
      <c r="BS30" s="406"/>
      <c r="BT30" s="405" t="str">
        <f t="shared" si="17"/>
        <v>- - -</v>
      </c>
      <c r="BU30" s="404" t="str">
        <f t="shared" si="18"/>
        <v>- - -</v>
      </c>
      <c r="BV30" s="401"/>
      <c r="BW30" s="401"/>
      <c r="BX30" s="407"/>
      <c r="BY30" s="407"/>
      <c r="BZ30" s="407" t="str">
        <f t="shared" si="19"/>
        <v>- - -</v>
      </c>
      <c r="CA30" s="407"/>
      <c r="CB30" s="407"/>
      <c r="CC30" s="407"/>
      <c r="CD30" s="407"/>
      <c r="CE30" s="407" t="e">
        <f t="shared" si="20"/>
        <v>#REF!</v>
      </c>
      <c r="CF30" s="407" t="e">
        <f t="shared" si="21"/>
        <v>#REF!</v>
      </c>
      <c r="CG30" s="407">
        <f t="shared" si="22"/>
        <v>1</v>
      </c>
      <c r="CH30" s="407">
        <f t="shared" si="23"/>
        <v>2030</v>
      </c>
      <c r="CI30" s="407">
        <f t="shared" si="24"/>
        <v>10</v>
      </c>
      <c r="CJ30" s="407">
        <f t="shared" si="25"/>
        <v>2029</v>
      </c>
      <c r="CK30" s="407">
        <f t="shared" si="26"/>
        <v>7</v>
      </c>
      <c r="CL30" s="407">
        <f t="shared" si="27"/>
        <v>2029</v>
      </c>
      <c r="CM30" s="407" t="e">
        <f t="shared" si="28"/>
        <v>#REF!</v>
      </c>
      <c r="CN30" s="408" t="str">
        <f t="shared" si="29"/>
        <v>. .</v>
      </c>
      <c r="CO30" s="405"/>
      <c r="CP30" s="409">
        <f t="shared" si="30"/>
        <v>660</v>
      </c>
      <c r="CQ30" s="410" t="e">
        <f>12*(#REF!-J30)+(12-H30)</f>
        <v>#REF!</v>
      </c>
      <c r="CR30" s="411" t="e">
        <f>#REF!-J30</f>
        <v>#REF!</v>
      </c>
      <c r="CS30" s="412" t="e">
        <f t="shared" si="31"/>
        <v>#REF!</v>
      </c>
      <c r="CT30" s="413"/>
      <c r="CU30" s="411"/>
      <c r="CV30" s="414" t="e">
        <f t="shared" si="32"/>
        <v>#REF!</v>
      </c>
      <c r="CW30" s="398" t="str">
        <f t="shared" si="33"/>
        <v>--</v>
      </c>
      <c r="CX30" s="376"/>
      <c r="CY30" s="375"/>
      <c r="CZ30" s="272"/>
      <c r="DA30" s="273"/>
      <c r="DB30" s="177"/>
      <c r="DC30" s="177"/>
      <c r="DG30" s="164" t="s">
        <v>100</v>
      </c>
      <c r="DH30" s="164" t="s">
        <v>14</v>
      </c>
      <c r="DI30" s="164" t="s">
        <v>15</v>
      </c>
      <c r="DJ30" s="164" t="s">
        <v>46</v>
      </c>
      <c r="DK30" s="164" t="s">
        <v>15</v>
      </c>
      <c r="DL30" s="164" t="s">
        <v>65</v>
      </c>
      <c r="DM30" s="164">
        <f t="shared" si="34"/>
        <v>0</v>
      </c>
      <c r="DN30" s="164" t="str">
        <f t="shared" si="35"/>
        <v>- - -</v>
      </c>
      <c r="DO30" s="164" t="s">
        <v>14</v>
      </c>
      <c r="DP30" s="164" t="s">
        <v>15</v>
      </c>
      <c r="DQ30" s="164" t="s">
        <v>46</v>
      </c>
      <c r="DR30" s="164" t="s">
        <v>15</v>
      </c>
      <c r="DS30" s="164" t="s">
        <v>65</v>
      </c>
      <c r="DU30" s="164" t="str">
        <f t="shared" si="36"/>
        <v>- - -</v>
      </c>
      <c r="DV30" s="164" t="e">
        <f t="shared" si="37"/>
        <v>#REF!</v>
      </c>
    </row>
    <row r="31" spans="1:126" s="164" customFormat="1" ht="29.25" customHeight="1" x14ac:dyDescent="0.25">
      <c r="A31" s="237">
        <v>553</v>
      </c>
      <c r="B31" s="438">
        <v>10</v>
      </c>
      <c r="C31" s="175" t="str">
        <f>IF(E31="Nam","Ông","Bà")</f>
        <v>Bà</v>
      </c>
      <c r="D31" s="238" t="s">
        <v>101</v>
      </c>
      <c r="E31" s="175" t="s">
        <v>40</v>
      </c>
      <c r="F31" s="239" t="s">
        <v>102</v>
      </c>
      <c r="G31" s="240" t="s">
        <v>15</v>
      </c>
      <c r="H31" s="240" t="s">
        <v>91</v>
      </c>
      <c r="I31" s="240" t="s">
        <v>15</v>
      </c>
      <c r="J31" s="241" t="s">
        <v>103</v>
      </c>
      <c r="K31" s="242"/>
      <c r="L31" s="242"/>
      <c r="M31" s="242" t="e">
        <f>VLOOKUP(L31,'[1]- DLiêu Gốc -'!$B$2:$G$121,2,0)</f>
        <v>#N/A</v>
      </c>
      <c r="N31" s="243"/>
      <c r="O31" s="244" t="s">
        <v>104</v>
      </c>
      <c r="P31" s="245" t="str">
        <f>VLOOKUP(U31,'[1]- DLiêu Gốc -'!$B$2:$G$56,5,0)</f>
        <v>A1</v>
      </c>
      <c r="Q31" s="245" t="str">
        <f>VLOOKUP(U31,'[1]- DLiêu Gốc -'!$B$2:$G$56,6,0)</f>
        <v>- - -</v>
      </c>
      <c r="R31" s="246" t="s">
        <v>55</v>
      </c>
      <c r="S31" s="247" t="str">
        <f>IF(OR(U31="Kỹ thuật viên đánh máy",U31="Nhân viên đánh máy",U31="Nhân viên kỹ thuật",U31="Nhân viên văn thư",U31="Nhân viên phục vụ",U31="Lái xe cơ quan",U31="Nhân viên bảo vệ"),"Nhân viên",U31)</f>
        <v>Chuyên viên</v>
      </c>
      <c r="T31" s="248" t="str">
        <f>IF(S31="Nhân viên","01.005",V31)</f>
        <v>01.003</v>
      </c>
      <c r="U31" s="249" t="s">
        <v>56</v>
      </c>
      <c r="V31" s="248" t="str">
        <f>VLOOKUP(U31,'[1]- DLiêu Gốc -'!$B$1:$G$121,2,0)</f>
        <v>01.003</v>
      </c>
      <c r="W31" s="250" t="e">
        <f t="shared" si="3"/>
        <v>#REF!</v>
      </c>
      <c r="X31" s="251">
        <v>3</v>
      </c>
      <c r="Y31" s="252" t="str">
        <f>IF(Z31&gt;0,"/")</f>
        <v>/</v>
      </c>
      <c r="Z31" s="253">
        <f>IF(OR(AR31=0.18,AR31=0.2),12,IF(AR31=0.31,10,IF(AR31=0.33,9,IF(AR31=0.34,8,IF(AR31=0.36,6)))))</f>
        <v>9</v>
      </c>
      <c r="AA31" s="254">
        <f>AQ31+(X31-1)*AR31</f>
        <v>3</v>
      </c>
      <c r="AB31" s="255">
        <f>X31+1</f>
        <v>4</v>
      </c>
      <c r="AC31" s="242" t="str">
        <f>IF(Z31=X31,"%",IF(Z31&gt;X31,"/"))</f>
        <v>/</v>
      </c>
      <c r="AD31" s="253">
        <f>IF(AND(Z31=X31,AB31=4),5,IF(AND(Z31=X31,AB31&gt;4),AB31+1,IF(Z31&gt;X31,Z31)))</f>
        <v>9</v>
      </c>
      <c r="AE31" s="256">
        <f>IF(Z31=X31,"%",IF(Z31&gt;X31,AA31+AR31))</f>
        <v>3.33</v>
      </c>
      <c r="AF31" s="257" t="s">
        <v>14</v>
      </c>
      <c r="AG31" s="258" t="s">
        <v>15</v>
      </c>
      <c r="AH31" s="259" t="s">
        <v>46</v>
      </c>
      <c r="AI31" s="260" t="s">
        <v>15</v>
      </c>
      <c r="AJ31" s="261">
        <v>2015</v>
      </c>
      <c r="AK31" s="262"/>
      <c r="AL31" s="263"/>
      <c r="AM31" s="178">
        <f>IF(AND(Z31&gt;X31,OR(AR31=0.18,AR31=0.2)),2,IF(AND(Z31&gt;X31,OR(AR31=0.31,AR31=0.33,AR31=0.34,AR31=0.36)),3,IF(Z31=X31,1)))</f>
        <v>3</v>
      </c>
      <c r="AN31" s="178" t="e">
        <f>12*(#REF!-AJ31)+(#REF!-AH31)-AO31</f>
        <v>#REF!</v>
      </c>
      <c r="AO31" s="171">
        <v>2</v>
      </c>
      <c r="AP31" s="264" t="s">
        <v>105</v>
      </c>
      <c r="AQ31" s="180">
        <f>VLOOKUP(U31,'[1]- DLiêu Gốc -'!$B$1:$E$56,3,0)</f>
        <v>2.34</v>
      </c>
      <c r="AR31" s="174">
        <f>VLOOKUP(U31,'[1]- DLiêu Gốc -'!$B$1:$E$56,4,0)</f>
        <v>0.33</v>
      </c>
      <c r="AS31" s="265"/>
      <c r="AT31" s="266" t="str">
        <f>IF(AND(AU31&gt;3,BF31=12),"Đến %",IF(AND(AU31&gt;3,BF31&gt;12,BF31&lt;120),"Dừng %",IF(AND(AU31&gt;3,BF31&lt;12),"PCTN","o-o-o")))</f>
        <v>o-o-o</v>
      </c>
      <c r="AU31" s="267"/>
      <c r="AV31" s="267"/>
      <c r="AW31" s="174">
        <f>IF(AU31&gt;3,AU31+1,0)</f>
        <v>0</v>
      </c>
      <c r="AX31" s="268"/>
      <c r="AY31" s="269"/>
      <c r="AZ31" s="177"/>
      <c r="BA31" s="177"/>
      <c r="BB31" s="177"/>
      <c r="BC31" s="177"/>
      <c r="BD31" s="177"/>
      <c r="BE31" s="177"/>
      <c r="BF31" s="179" t="str">
        <f>IF(AU31&gt;3,((#REF!-BA31)*12+(#REF!-AY31)-BC31),"- - -")</f>
        <v>- - -</v>
      </c>
      <c r="BG31" s="270" t="e">
        <f>IF(AND(CF31="Hưu",AU31&gt;3),12-(12*(CL31-BA31)+(CK31-AY31))-BC31,"- - -")</f>
        <v>#REF!</v>
      </c>
      <c r="BH31" s="439" t="str">
        <f t="shared" si="38"/>
        <v>CC,VC</v>
      </c>
      <c r="BI31" s="399"/>
      <c r="BJ31" s="400"/>
      <c r="BK31" s="401" t="s">
        <v>13</v>
      </c>
      <c r="BL31" s="402" t="str">
        <f>IF(O31="Cơ sở Học viện Hành chính khu vực miền Trung","B",IF(O31="Phân viện Khu vực Tây Nguyên","C",IF(O31="Cơ sở Học viện Hành chính tại thành phố Hồ Chí Minh","D","A")))</f>
        <v>A</v>
      </c>
      <c r="BM31" s="401" t="e">
        <f>IF(AND(AB31&gt;0,X31&lt;(Z31-1),BN31&gt;0,BN31&lt;13,OR(AND(BT31="Cùg Ng",(#REF!-BP31)&gt;AM31),BT31="- - -")),"Sớm TT","=&gt; s")</f>
        <v>#REF!</v>
      </c>
      <c r="BN31" s="403" t="e">
        <f>IF(AM31=3,36-(12*(#REF!-AJ31)+(12-AH31)-AO31),IF(AM31=2,24-(12*(#REF!-AJ31)+(12-AH31)-AO31),"---"))</f>
        <v>#REF!</v>
      </c>
      <c r="BO31" s="404" t="str">
        <f>IF(BP31&gt;1,"S","---")</f>
        <v>---</v>
      </c>
      <c r="BP31" s="405"/>
      <c r="BQ31" s="406"/>
      <c r="BR31" s="406"/>
      <c r="BS31" s="406"/>
      <c r="BT31" s="405" t="str">
        <f>IF(T31=BQ31,"Cùg Ng","- - -")</f>
        <v>- - -</v>
      </c>
      <c r="BU31" s="404" t="str">
        <f>IF(BW31&gt;2000,"NN","- - -")</f>
        <v>- - -</v>
      </c>
      <c r="BV31" s="401"/>
      <c r="BW31" s="401"/>
      <c r="BX31" s="407"/>
      <c r="BY31" s="407"/>
      <c r="BZ31" s="407" t="str">
        <f>IF(CB31&gt;2000,"CN","- - -")</f>
        <v>- - -</v>
      </c>
      <c r="CA31" s="407"/>
      <c r="CB31" s="407"/>
      <c r="CC31" s="407"/>
      <c r="CD31" s="407"/>
      <c r="CE31" s="407" t="e">
        <f>IF(AND(CF31="Hưu",X31&lt;(Z31-1),CM31&gt;0,CM31&lt;18,OR(AU31&lt;4,AND(AU31&gt;3,OR(BG31&lt;3,BG31&gt;5)))),"Lg Sớm",IF(AND(CF31="Hưu",X31&gt;(Z31-2),OR(AR31=0.33,AR31=0.34),OR(AU31&lt;4,AND(AU31&gt;3,OR(BG31&lt;3,BG31&gt;5)))),"Nâng Ngạch",IF(AND(CF31="Hưu",AM31=1,CM31&gt;2,CM31&lt;6,OR(AU31&lt;4,AND(AU31&gt;3,OR(BG31&lt;3,BG31&gt;5)))),"Nâng PcVK cùng QĐ",IF(AND(CF31="Hưu",AU31&gt;3,BG31&gt;2,BG31&lt;6,X31&lt;(Z31-1),CM31&gt;17,OR(AM31&gt;1,AND(AM31=1,OR(CM31&lt;3,CM31&gt;5)))),"Nâng PcNG cùng QĐ",IF(AND(CF31="Hưu",X31&lt;(Z31-1),CM31&gt;0,CM31&lt;18,AU31&gt;3,BG31&gt;2,BG31&lt;6),"Nâng Lg Sớm +(PcNG cùng QĐ)",IF(AND(CF31="Hưu",X31&gt;(Z31-2),OR(AR31=0.33,AR31=0.34),AU31&gt;3,BG31&gt;2,BG31&lt;6),"Nâng Ngạch +(PcNG cùng QĐ)",IF(AND(CF31="Hưu",AM31=1,CM31&gt;2,CM31&lt;6,AU31&gt;3,BG31&gt;2,BG31&lt;6),"Nâng (PcVK +PcNG) cùng QĐ",("---"))))))))</f>
        <v>#REF!</v>
      </c>
      <c r="CF31" s="407" t="e">
        <f>IF(AND(CQ31&gt;CP31,CQ31&lt;(CP31+13)),"Hưu",IF(AND(CQ31&gt;(CP31+12),CQ31&lt;1000),"Quá","/-/ /-/"))</f>
        <v>#REF!</v>
      </c>
      <c r="CG31" s="407">
        <f>IF((H31+0)&lt;12,(H31+0)+1,IF((H31+0)=12,1,IF((H31+0)&gt;12,(H31+0)-12)))</f>
        <v>11</v>
      </c>
      <c r="CH31" s="407">
        <f>IF(OR((H31+0)=12,(H31+0)&gt;12),J31+CP31/12+1,IF(AND((H31+0)&gt;0,(H31+0)&lt;12),J31+CP31/12,"---"))</f>
        <v>2037</v>
      </c>
      <c r="CI31" s="407">
        <f>IF(AND(CG31&gt;3,CG31&lt;13),CG31-3,IF(CG31&lt;4,CG31-3+12))</f>
        <v>8</v>
      </c>
      <c r="CJ31" s="407">
        <f>IF(CI31&lt;CG31,CH31,IF(CI31&gt;CG31,CH31-1))</f>
        <v>2037</v>
      </c>
      <c r="CK31" s="407">
        <f>IF(CG31&gt;6,CG31-6,IF(CG31=6,12,IF(CG31&lt;6,CG31+6)))</f>
        <v>5</v>
      </c>
      <c r="CL31" s="407">
        <f>IF(CG31&gt;6,CH31,IF(CG31&lt;7,CH31-1))</f>
        <v>2037</v>
      </c>
      <c r="CM31" s="407" t="e">
        <f>IF(AND(CF31="Hưu",AM31=3),36+AO31-(12*(CL31-AJ31)+(CK31-AH31)),IF(AND(CF31="Hưu",AM31=2),24+AO31-(12*(CL31-AJ31)+(CK31-AH31)),IF(AND(CF31="Hưu",AM31=1),12+AO31-(12*(CL31-AJ31)+(CK31-AH31)),"- - -")))</f>
        <v>#REF!</v>
      </c>
      <c r="CN31" s="408" t="str">
        <f>IF(CO31&gt;0,"K.Dài",". .")</f>
        <v>. .</v>
      </c>
      <c r="CO31" s="405"/>
      <c r="CP31" s="409">
        <f>IF(E31="Nam",(60+CO31)*12,IF(E31="Nữ",(55+CO31)*12,))</f>
        <v>660</v>
      </c>
      <c r="CQ31" s="410" t="e">
        <f>12*(#REF!-J31)+(12-H31)</f>
        <v>#REF!</v>
      </c>
      <c r="CR31" s="411" t="e">
        <f>#REF!-J31</f>
        <v>#REF!</v>
      </c>
      <c r="CS31" s="412" t="e">
        <f>IF(AND(CR31&lt;35,E31="Nam"),"Nam dưới 35",IF(AND(CR31&lt;30,E31="Nữ"),"Nữ dưới 30",IF(AND(CR31&gt;34,CR31&lt;46,E31="Nam"),"Nam từ 35 - 45",IF(AND(CR31&gt;29,CR31&lt;41,E31="Nữ"),"Nữ từ 30 - 40",IF(AND(CR31&gt;45,CR31&lt;56,E31="Nam"),"Nam trên 45 - 55",IF(AND(CR31&gt;40,CR31&lt;51,E31="Nữ"),"Nữ trên 40 - 50",IF(AND(CR31&gt;55,E31="Nam"),"Nam trên 55","Nữ trên 50")))))))</f>
        <v>#REF!</v>
      </c>
      <c r="CT31" s="413"/>
      <c r="CU31" s="411"/>
      <c r="CV31" s="414" t="e">
        <f>IF(CR31&lt;31,"Đến 30",IF(AND(CR31&gt;30,CR31&lt;46),"31 - 45",IF(AND(CR31&gt;45,CR31&lt;70),"Trên 45")))</f>
        <v>#REF!</v>
      </c>
      <c r="CW31" s="398" t="str">
        <f>IF(CX31&gt;0,"TD","--")</f>
        <v>--</v>
      </c>
      <c r="CX31" s="376"/>
      <c r="CY31" s="375"/>
      <c r="CZ31" s="272"/>
      <c r="DA31" s="273"/>
      <c r="DB31" s="177"/>
      <c r="DC31" s="177"/>
      <c r="DG31" s="164" t="s">
        <v>106</v>
      </c>
      <c r="DH31" s="164" t="s">
        <v>14</v>
      </c>
      <c r="DI31" s="164" t="s">
        <v>15</v>
      </c>
      <c r="DJ31" s="164" t="s">
        <v>69</v>
      </c>
      <c r="DK31" s="164" t="s">
        <v>15</v>
      </c>
      <c r="DL31" s="164" t="s">
        <v>36</v>
      </c>
      <c r="DM31" s="164">
        <f>(DH31+0)-(DO31+0)</f>
        <v>0</v>
      </c>
      <c r="DN31" s="164" t="str">
        <f>IF(DM31&gt;0,"Sửa","- - -")</f>
        <v>- - -</v>
      </c>
      <c r="DO31" s="164" t="s">
        <v>14</v>
      </c>
      <c r="DP31" s="164" t="s">
        <v>15</v>
      </c>
      <c r="DQ31" s="164" t="s">
        <v>69</v>
      </c>
      <c r="DR31" s="164" t="s">
        <v>15</v>
      </c>
      <c r="DS31" s="164" t="s">
        <v>36</v>
      </c>
      <c r="DU31" s="164" t="str">
        <f>IF(AND(AR31&gt;0.34,AB31=1,OR(AQ31=6.2,AQ31=5.75)),((AQ31-DT31)-2*0.34),IF(AND(AR31&gt;0.33,AB31=1,OR(AQ31=4.4,AQ31=4)),((AQ31-DT31)-2*0.33),"- - -"))</f>
        <v>- - -</v>
      </c>
      <c r="DV31" s="164" t="e">
        <f>IF(CF31="Hưu",12*(CL31-AJ31)+(CK31-AH31),"---")</f>
        <v>#REF!</v>
      </c>
    </row>
    <row r="32" spans="1:126" s="164" customFormat="1" ht="45.75" customHeight="1" x14ac:dyDescent="0.25">
      <c r="A32" s="237">
        <v>647</v>
      </c>
      <c r="B32" s="438">
        <v>11</v>
      </c>
      <c r="C32" s="175" t="str">
        <f t="shared" si="0"/>
        <v>Ông</v>
      </c>
      <c r="D32" s="238" t="s">
        <v>107</v>
      </c>
      <c r="E32" s="175" t="s">
        <v>52</v>
      </c>
      <c r="F32" s="239" t="s">
        <v>14</v>
      </c>
      <c r="G32" s="240" t="s">
        <v>15</v>
      </c>
      <c r="H32" s="240" t="s">
        <v>53</v>
      </c>
      <c r="I32" s="240" t="s">
        <v>15</v>
      </c>
      <c r="J32" s="241" t="s">
        <v>62</v>
      </c>
      <c r="K32" s="242"/>
      <c r="L32" s="242"/>
      <c r="M32" s="242" t="e">
        <f>VLOOKUP(L32,'[1]- DLiêu Gốc -'!$B$2:$G$121,2,0)</f>
        <v>#N/A</v>
      </c>
      <c r="N32" s="243" t="s">
        <v>108</v>
      </c>
      <c r="O32" s="244" t="s">
        <v>109</v>
      </c>
      <c r="P32" s="245" t="str">
        <f>VLOOKUP(U32,'[1]- DLiêu Gốc -'!$B$2:$G$56,5,0)</f>
        <v>A1</v>
      </c>
      <c r="Q32" s="245" t="str">
        <f>VLOOKUP(U32,'[1]- DLiêu Gốc -'!$B$2:$G$56,6,0)</f>
        <v>- - -</v>
      </c>
      <c r="R32" s="246" t="s">
        <v>43</v>
      </c>
      <c r="S32" s="247" t="str">
        <f t="shared" si="1"/>
        <v>Giảng viên (hạng III)</v>
      </c>
      <c r="T32" s="248" t="str">
        <f t="shared" si="2"/>
        <v>V.07.01.03</v>
      </c>
      <c r="U32" s="249" t="s">
        <v>44</v>
      </c>
      <c r="V32" s="248" t="str">
        <f>VLOOKUP(U32,'[1]- DLiêu Gốc -'!$B$1:$G$121,2,0)</f>
        <v>V.07.01.03</v>
      </c>
      <c r="W32" s="250" t="e">
        <f t="shared" si="3"/>
        <v>#REF!</v>
      </c>
      <c r="X32" s="251">
        <v>4</v>
      </c>
      <c r="Y32" s="252" t="str">
        <f t="shared" si="4"/>
        <v>/</v>
      </c>
      <c r="Z32" s="253">
        <f t="shared" si="5"/>
        <v>9</v>
      </c>
      <c r="AA32" s="254">
        <f t="shared" si="6"/>
        <v>3.33</v>
      </c>
      <c r="AB32" s="255">
        <f t="shared" si="7"/>
        <v>5</v>
      </c>
      <c r="AC32" s="242" t="str">
        <f t="shared" si="8"/>
        <v>/</v>
      </c>
      <c r="AD32" s="253">
        <f t="shared" si="9"/>
        <v>9</v>
      </c>
      <c r="AE32" s="256">
        <f t="shared" si="10"/>
        <v>3.66</v>
      </c>
      <c r="AF32" s="257" t="s">
        <v>14</v>
      </c>
      <c r="AG32" s="258" t="s">
        <v>15</v>
      </c>
      <c r="AH32" s="259" t="s">
        <v>46</v>
      </c>
      <c r="AI32" s="260" t="s">
        <v>15</v>
      </c>
      <c r="AJ32" s="261">
        <v>2015</v>
      </c>
      <c r="AK32" s="262"/>
      <c r="AL32" s="263"/>
      <c r="AM32" s="178">
        <f t="shared" si="11"/>
        <v>3</v>
      </c>
      <c r="AN32" s="178" t="e">
        <f>12*(#REF!-AJ32)+(#REF!-AH32)-AO32</f>
        <v>#REF!</v>
      </c>
      <c r="AO32" s="171"/>
      <c r="AP32" s="264"/>
      <c r="AQ32" s="180">
        <f>VLOOKUP(U32,'[1]- DLiêu Gốc -'!$B$1:$E$56,3,0)</f>
        <v>2.34</v>
      </c>
      <c r="AR32" s="174">
        <f>VLOOKUP(U32,'[1]- DLiêu Gốc -'!$B$1:$E$56,4,0)</f>
        <v>0.33</v>
      </c>
      <c r="AS32" s="265"/>
      <c r="AT32" s="266" t="e">
        <f t="shared" si="12"/>
        <v>#REF!</v>
      </c>
      <c r="AU32" s="267">
        <v>10</v>
      </c>
      <c r="AV32" s="267" t="s">
        <v>47</v>
      </c>
      <c r="AW32" s="174">
        <f t="shared" si="13"/>
        <v>11</v>
      </c>
      <c r="AX32" s="268" t="s">
        <v>47</v>
      </c>
      <c r="AY32" s="269">
        <v>5</v>
      </c>
      <c r="AZ32" s="177" t="s">
        <v>15</v>
      </c>
      <c r="BA32" s="177">
        <v>2014</v>
      </c>
      <c r="BB32" s="177"/>
      <c r="BC32" s="177"/>
      <c r="BD32" s="177"/>
      <c r="BE32" s="177">
        <v>5</v>
      </c>
      <c r="BF32" s="179" t="e">
        <f>IF(AU32&gt;3,((#REF!-BA32)*12+(#REF!-AY32)-BC32),"- - -")</f>
        <v>#REF!</v>
      </c>
      <c r="BG32" s="270" t="e">
        <f>IF(AV32&gt;3,((#REF!-BB32)*12+(#REF!-AZ32)-BD32),"- - -")</f>
        <v>#REF!</v>
      </c>
      <c r="BH32" s="439" t="str">
        <f t="shared" si="38"/>
        <v>CC,VC</v>
      </c>
      <c r="BI32" s="399"/>
      <c r="BJ32" s="400"/>
      <c r="BK32" s="401" t="s">
        <v>13</v>
      </c>
      <c r="BL32" s="402" t="str">
        <f t="shared" si="15"/>
        <v>A</v>
      </c>
      <c r="BM32" s="401" t="e">
        <f>IF(AND(AB32&gt;0,X32&lt;(Z32-1),BN32&gt;0,BN32&lt;13,OR(AND(BT32="Cùg Ng",(#REF!-BP32)&gt;AM32),BT32="- - -")),"Sớm TT","=&gt; s")</f>
        <v>#REF!</v>
      </c>
      <c r="BN32" s="403" t="e">
        <f>IF(AM32=3,36-(12*(#REF!-AJ32)+(12-AH32)-AO32),IF(AM32=2,24-(12*(#REF!-AJ32)+(12-AH32)-AO32),"---"))</f>
        <v>#REF!</v>
      </c>
      <c r="BO32" s="404" t="str">
        <f t="shared" si="16"/>
        <v>---</v>
      </c>
      <c r="BP32" s="405"/>
      <c r="BQ32" s="406"/>
      <c r="BR32" s="406"/>
      <c r="BS32" s="406"/>
      <c r="BT32" s="405" t="str">
        <f t="shared" si="17"/>
        <v>- - -</v>
      </c>
      <c r="BU32" s="404" t="str">
        <f t="shared" si="18"/>
        <v>- - -</v>
      </c>
      <c r="BV32" s="401"/>
      <c r="BW32" s="401"/>
      <c r="BX32" s="407"/>
      <c r="BY32" s="407"/>
      <c r="BZ32" s="407" t="str">
        <f t="shared" si="19"/>
        <v>- - -</v>
      </c>
      <c r="CA32" s="407"/>
      <c r="CB32" s="407"/>
      <c r="CC32" s="407"/>
      <c r="CD32" s="407"/>
      <c r="CE32" s="407" t="e">
        <f t="shared" si="20"/>
        <v>#REF!</v>
      </c>
      <c r="CF32" s="407" t="e">
        <f t="shared" si="21"/>
        <v>#REF!</v>
      </c>
      <c r="CG32" s="407">
        <f t="shared" si="22"/>
        <v>12</v>
      </c>
      <c r="CH32" s="407">
        <f t="shared" si="23"/>
        <v>2037</v>
      </c>
      <c r="CI32" s="407">
        <f t="shared" si="24"/>
        <v>9</v>
      </c>
      <c r="CJ32" s="407">
        <f t="shared" si="25"/>
        <v>2037</v>
      </c>
      <c r="CK32" s="407">
        <f t="shared" si="26"/>
        <v>6</v>
      </c>
      <c r="CL32" s="407">
        <f t="shared" si="27"/>
        <v>2037</v>
      </c>
      <c r="CM32" s="407" t="e">
        <f t="shared" si="28"/>
        <v>#REF!</v>
      </c>
      <c r="CN32" s="408" t="str">
        <f t="shared" si="29"/>
        <v>. .</v>
      </c>
      <c r="CO32" s="405"/>
      <c r="CP32" s="409">
        <f t="shared" si="30"/>
        <v>720</v>
      </c>
      <c r="CQ32" s="410" t="e">
        <f>12*(#REF!-J32)+(12-H32)</f>
        <v>#REF!</v>
      </c>
      <c r="CR32" s="411" t="e">
        <f>#REF!-J32</f>
        <v>#REF!</v>
      </c>
      <c r="CS32" s="412" t="e">
        <f t="shared" si="31"/>
        <v>#REF!</v>
      </c>
      <c r="CT32" s="413"/>
      <c r="CU32" s="411"/>
      <c r="CV32" s="414" t="e">
        <f t="shared" si="32"/>
        <v>#REF!</v>
      </c>
      <c r="CW32" s="398" t="str">
        <f t="shared" si="33"/>
        <v>TD</v>
      </c>
      <c r="CX32" s="376">
        <v>2009</v>
      </c>
      <c r="CY32" s="375"/>
      <c r="CZ32" s="272"/>
      <c r="DA32" s="273"/>
      <c r="DB32" s="177"/>
      <c r="DC32" s="177"/>
      <c r="DG32" s="164" t="s">
        <v>108</v>
      </c>
      <c r="DH32" s="164" t="s">
        <v>14</v>
      </c>
      <c r="DI32" s="164" t="s">
        <v>15</v>
      </c>
      <c r="DJ32" s="164" t="s">
        <v>46</v>
      </c>
      <c r="DK32" s="164" t="s">
        <v>15</v>
      </c>
      <c r="DL32" s="164" t="s">
        <v>65</v>
      </c>
      <c r="DM32" s="164">
        <f t="shared" si="34"/>
        <v>0</v>
      </c>
      <c r="DN32" s="164" t="str">
        <f t="shared" si="35"/>
        <v>- - -</v>
      </c>
      <c r="DO32" s="164" t="s">
        <v>14</v>
      </c>
      <c r="DP32" s="164" t="s">
        <v>15</v>
      </c>
      <c r="DQ32" s="164" t="s">
        <v>46</v>
      </c>
      <c r="DR32" s="164" t="s">
        <v>15</v>
      </c>
      <c r="DS32" s="164" t="s">
        <v>65</v>
      </c>
      <c r="DU32" s="164" t="str">
        <f t="shared" si="36"/>
        <v>- - -</v>
      </c>
      <c r="DV32" s="164" t="e">
        <f t="shared" si="37"/>
        <v>#REF!</v>
      </c>
    </row>
    <row r="33" spans="1:126" s="164" customFormat="1" ht="44.25" customHeight="1" x14ac:dyDescent="0.25">
      <c r="A33" s="237">
        <v>656</v>
      </c>
      <c r="B33" s="438">
        <v>12</v>
      </c>
      <c r="C33" s="175" t="str">
        <f t="shared" si="0"/>
        <v>Ông</v>
      </c>
      <c r="D33" s="238" t="s">
        <v>110</v>
      </c>
      <c r="E33" s="175" t="s">
        <v>52</v>
      </c>
      <c r="F33" s="239" t="s">
        <v>111</v>
      </c>
      <c r="G33" s="240" t="s">
        <v>15</v>
      </c>
      <c r="H33" s="240" t="s">
        <v>112</v>
      </c>
      <c r="I33" s="240" t="s">
        <v>15</v>
      </c>
      <c r="J33" s="241" t="s">
        <v>103</v>
      </c>
      <c r="K33" s="242"/>
      <c r="L33" s="242"/>
      <c r="M33" s="242" t="e">
        <f>VLOOKUP(L33,'[1]- DLiêu Gốc -'!$B$2:$G$121,2,0)</f>
        <v>#N/A</v>
      </c>
      <c r="N33" s="243" t="s">
        <v>113</v>
      </c>
      <c r="O33" s="244" t="s">
        <v>109</v>
      </c>
      <c r="P33" s="245" t="str">
        <f>VLOOKUP(U33,'[1]- DLiêu Gốc -'!$B$2:$G$56,5,0)</f>
        <v>A1</v>
      </c>
      <c r="Q33" s="245" t="str">
        <f>VLOOKUP(U33,'[1]- DLiêu Gốc -'!$B$2:$G$56,6,0)</f>
        <v>- - -</v>
      </c>
      <c r="R33" s="246" t="s">
        <v>43</v>
      </c>
      <c r="S33" s="247" t="str">
        <f t="shared" si="1"/>
        <v>Giảng viên (hạng III)</v>
      </c>
      <c r="T33" s="248" t="str">
        <f t="shared" si="2"/>
        <v>V.07.01.03</v>
      </c>
      <c r="U33" s="249" t="s">
        <v>44</v>
      </c>
      <c r="V33" s="248" t="str">
        <f>VLOOKUP(U33,'[1]- DLiêu Gốc -'!$B$1:$G$121,2,0)</f>
        <v>V.07.01.03</v>
      </c>
      <c r="W33" s="250" t="e">
        <f t="shared" si="3"/>
        <v>#REF!</v>
      </c>
      <c r="X33" s="251">
        <v>3</v>
      </c>
      <c r="Y33" s="252" t="str">
        <f t="shared" si="4"/>
        <v>/</v>
      </c>
      <c r="Z33" s="253">
        <f t="shared" si="5"/>
        <v>9</v>
      </c>
      <c r="AA33" s="254">
        <f t="shared" si="6"/>
        <v>3</v>
      </c>
      <c r="AB33" s="255">
        <f t="shared" si="7"/>
        <v>4</v>
      </c>
      <c r="AC33" s="242" t="str">
        <f t="shared" si="8"/>
        <v>/</v>
      </c>
      <c r="AD33" s="253">
        <f t="shared" si="9"/>
        <v>9</v>
      </c>
      <c r="AE33" s="256">
        <f t="shared" si="10"/>
        <v>3.33</v>
      </c>
      <c r="AF33" s="257" t="s">
        <v>14</v>
      </c>
      <c r="AG33" s="258" t="s">
        <v>15</v>
      </c>
      <c r="AH33" s="259" t="s">
        <v>46</v>
      </c>
      <c r="AI33" s="260" t="s">
        <v>15</v>
      </c>
      <c r="AJ33" s="261">
        <v>2015</v>
      </c>
      <c r="AK33" s="262"/>
      <c r="AL33" s="263"/>
      <c r="AM33" s="178">
        <f t="shared" si="11"/>
        <v>3</v>
      </c>
      <c r="AN33" s="178" t="e">
        <f>12*(#REF!-AJ33)+(#REF!-AH33)-AO33</f>
        <v>#REF!</v>
      </c>
      <c r="AO33" s="171"/>
      <c r="AP33" s="264"/>
      <c r="AQ33" s="180">
        <f>VLOOKUP(U33,'[1]- DLiêu Gốc -'!$B$1:$E$56,3,0)</f>
        <v>2.34</v>
      </c>
      <c r="AR33" s="174">
        <f>VLOOKUP(U33,'[1]- DLiêu Gốc -'!$B$1:$E$56,4,0)</f>
        <v>0.33</v>
      </c>
      <c r="AS33" s="265"/>
      <c r="AT33" s="266" t="str">
        <f t="shared" si="12"/>
        <v>o-o-o</v>
      </c>
      <c r="AU33" s="267"/>
      <c r="AV33" s="267"/>
      <c r="AW33" s="174">
        <f t="shared" si="13"/>
        <v>0</v>
      </c>
      <c r="AX33" s="268"/>
      <c r="AY33" s="269"/>
      <c r="AZ33" s="177"/>
      <c r="BA33" s="177"/>
      <c r="BB33" s="177"/>
      <c r="BC33" s="177"/>
      <c r="BD33" s="177"/>
      <c r="BE33" s="177"/>
      <c r="BF33" s="179" t="str">
        <f>IF(AU33&gt;3,((#REF!-BA33)*12+(#REF!-AY33)-BC33),"- - -")</f>
        <v>- - -</v>
      </c>
      <c r="BG33" s="270" t="str">
        <f>IF(AV33&gt;3,((#REF!-BB33)*12+(#REF!-AZ33)-BD33),"- - -")</f>
        <v>- - -</v>
      </c>
      <c r="BH33" s="439" t="str">
        <f t="shared" si="38"/>
        <v>NLĐ</v>
      </c>
      <c r="BI33" s="399"/>
      <c r="BJ33" s="400"/>
      <c r="BK33" s="401" t="s">
        <v>71</v>
      </c>
      <c r="BL33" s="402" t="str">
        <f t="shared" si="15"/>
        <v>A</v>
      </c>
      <c r="BM33" s="401" t="e">
        <f>IF(AND(AB33&gt;0,X33&lt;(Z33-1),BN33&gt;0,BN33&lt;13,OR(AND(BT33="Cùg Ng",(#REF!-BP33)&gt;AM33),BT33="- - -")),"Sớm TT","=&gt; s")</f>
        <v>#REF!</v>
      </c>
      <c r="BN33" s="403" t="e">
        <f>IF(AM33=3,36-(12*(#REF!-AJ33)+(12-AH33)-AO33),IF(AM33=2,24-(12*(#REF!-AJ33)+(12-AH33)-AO33),"---"))</f>
        <v>#REF!</v>
      </c>
      <c r="BO33" s="404" t="str">
        <f t="shared" si="16"/>
        <v>---</v>
      </c>
      <c r="BP33" s="405"/>
      <c r="BQ33" s="406"/>
      <c r="BR33" s="406"/>
      <c r="BS33" s="406"/>
      <c r="BT33" s="405" t="str">
        <f t="shared" si="17"/>
        <v>- - -</v>
      </c>
      <c r="BU33" s="404" t="str">
        <f t="shared" si="18"/>
        <v>- - -</v>
      </c>
      <c r="BV33" s="401"/>
      <c r="BW33" s="401"/>
      <c r="BX33" s="407"/>
      <c r="BY33" s="407"/>
      <c r="BZ33" s="407" t="str">
        <f t="shared" si="19"/>
        <v>- - -</v>
      </c>
      <c r="CA33" s="407"/>
      <c r="CB33" s="407"/>
      <c r="CC33" s="407"/>
      <c r="CD33" s="407"/>
      <c r="CE33" s="407" t="e">
        <f t="shared" si="20"/>
        <v>#REF!</v>
      </c>
      <c r="CF33" s="407" t="e">
        <f t="shared" si="21"/>
        <v>#REF!</v>
      </c>
      <c r="CG33" s="407">
        <f t="shared" si="22"/>
        <v>5</v>
      </c>
      <c r="CH33" s="407">
        <f t="shared" si="23"/>
        <v>2042</v>
      </c>
      <c r="CI33" s="407">
        <f t="shared" si="24"/>
        <v>2</v>
      </c>
      <c r="CJ33" s="407">
        <f t="shared" si="25"/>
        <v>2042</v>
      </c>
      <c r="CK33" s="407">
        <f t="shared" si="26"/>
        <v>11</v>
      </c>
      <c r="CL33" s="407">
        <f t="shared" si="27"/>
        <v>2041</v>
      </c>
      <c r="CM33" s="407" t="e">
        <f t="shared" si="28"/>
        <v>#REF!</v>
      </c>
      <c r="CN33" s="408" t="str">
        <f t="shared" si="29"/>
        <v>. .</v>
      </c>
      <c r="CO33" s="405"/>
      <c r="CP33" s="409">
        <f t="shared" si="30"/>
        <v>720</v>
      </c>
      <c r="CQ33" s="410" t="e">
        <f>12*(#REF!-J33)+(12-H33)</f>
        <v>#REF!</v>
      </c>
      <c r="CR33" s="411" t="e">
        <f>#REF!-J33</f>
        <v>#REF!</v>
      </c>
      <c r="CS33" s="412" t="e">
        <f t="shared" si="31"/>
        <v>#REF!</v>
      </c>
      <c r="CT33" s="413"/>
      <c r="CU33" s="411"/>
      <c r="CV33" s="414" t="e">
        <f t="shared" si="32"/>
        <v>#REF!</v>
      </c>
      <c r="CW33" s="398" t="str">
        <f t="shared" si="33"/>
        <v>--</v>
      </c>
      <c r="CX33" s="376"/>
      <c r="CY33" s="375"/>
      <c r="CZ33" s="272"/>
      <c r="DA33" s="273"/>
      <c r="DB33" s="177"/>
      <c r="DC33" s="177"/>
      <c r="DG33" s="164" t="s">
        <v>113</v>
      </c>
      <c r="DH33" s="164" t="s">
        <v>14</v>
      </c>
      <c r="DI33" s="164" t="s">
        <v>15</v>
      </c>
      <c r="DJ33" s="164" t="s">
        <v>46</v>
      </c>
      <c r="DK33" s="164" t="s">
        <v>15</v>
      </c>
      <c r="DL33" s="164" t="s">
        <v>65</v>
      </c>
      <c r="DM33" s="164">
        <f t="shared" si="34"/>
        <v>0</v>
      </c>
      <c r="DN33" s="164" t="str">
        <f t="shared" si="35"/>
        <v>- - -</v>
      </c>
      <c r="DO33" s="164" t="s">
        <v>14</v>
      </c>
      <c r="DP33" s="164" t="s">
        <v>15</v>
      </c>
      <c r="DQ33" s="164" t="s">
        <v>46</v>
      </c>
      <c r="DR33" s="164" t="s">
        <v>15</v>
      </c>
      <c r="DS33" s="164" t="s">
        <v>65</v>
      </c>
      <c r="DU33" s="164" t="str">
        <f t="shared" si="36"/>
        <v>- - -</v>
      </c>
      <c r="DV33" s="164" t="e">
        <f t="shared" si="37"/>
        <v>#REF!</v>
      </c>
    </row>
    <row r="34" spans="1:126" s="164" customFormat="1" ht="46.5" customHeight="1" x14ac:dyDescent="0.25">
      <c r="A34" s="237">
        <v>665</v>
      </c>
      <c r="B34" s="438">
        <v>13</v>
      </c>
      <c r="C34" s="175" t="str">
        <f t="shared" si="0"/>
        <v>Ông</v>
      </c>
      <c r="D34" s="238" t="s">
        <v>114</v>
      </c>
      <c r="E34" s="175" t="s">
        <v>52</v>
      </c>
      <c r="F34" s="239" t="s">
        <v>69</v>
      </c>
      <c r="G34" s="240" t="s">
        <v>15</v>
      </c>
      <c r="H34" s="240" t="s">
        <v>91</v>
      </c>
      <c r="I34" s="240" t="s">
        <v>15</v>
      </c>
      <c r="J34" s="241">
        <v>1965</v>
      </c>
      <c r="K34" s="242" t="str">
        <f>IF(AND((M34+0)&gt;0.3,(M34+0)&lt;1.5),"CVụ","- -")</f>
        <v>CVụ</v>
      </c>
      <c r="L34" s="242" t="s">
        <v>115</v>
      </c>
      <c r="M34" s="242" t="str">
        <f>VLOOKUP(L34,'[1]- DLiêu Gốc -'!$B$2:$G$121,2,0)</f>
        <v>0,4</v>
      </c>
      <c r="N34" s="243" t="s">
        <v>116</v>
      </c>
      <c r="O34" s="244" t="s">
        <v>109</v>
      </c>
      <c r="P34" s="245" t="str">
        <f>VLOOKUP(U34,'[1]- DLiêu Gốc -'!$B$2:$G$56,5,0)</f>
        <v>A2</v>
      </c>
      <c r="Q34" s="245" t="str">
        <f>VLOOKUP(U34,'[1]- DLiêu Gốc -'!$B$2:$G$56,6,0)</f>
        <v>A2.1</v>
      </c>
      <c r="R34" s="246" t="s">
        <v>43</v>
      </c>
      <c r="S34" s="247" t="str">
        <f t="shared" si="1"/>
        <v>Giảng viên chính (hạng II)</v>
      </c>
      <c r="T34" s="248" t="str">
        <f t="shared" si="2"/>
        <v>V.07.01.02</v>
      </c>
      <c r="U34" s="249" t="s">
        <v>86</v>
      </c>
      <c r="V34" s="248" t="str">
        <f>VLOOKUP(U34,'[1]- DLiêu Gốc -'!$B$1:$G$121,2,0)</f>
        <v>V.07.01.02</v>
      </c>
      <c r="W34" s="250" t="e">
        <f t="shared" si="3"/>
        <v>#REF!</v>
      </c>
      <c r="X34" s="251">
        <v>5</v>
      </c>
      <c r="Y34" s="252" t="str">
        <f t="shared" si="4"/>
        <v>/</v>
      </c>
      <c r="Z34" s="253">
        <f t="shared" si="5"/>
        <v>8</v>
      </c>
      <c r="AA34" s="254">
        <f t="shared" si="6"/>
        <v>5.7600000000000007</v>
      </c>
      <c r="AB34" s="255">
        <f t="shared" si="7"/>
        <v>6</v>
      </c>
      <c r="AC34" s="242" t="str">
        <f t="shared" si="8"/>
        <v>/</v>
      </c>
      <c r="AD34" s="253">
        <f t="shared" si="9"/>
        <v>8</v>
      </c>
      <c r="AE34" s="256">
        <f t="shared" si="10"/>
        <v>6.1000000000000005</v>
      </c>
      <c r="AF34" s="257" t="s">
        <v>14</v>
      </c>
      <c r="AG34" s="258" t="s">
        <v>15</v>
      </c>
      <c r="AH34" s="259" t="s">
        <v>46</v>
      </c>
      <c r="AI34" s="260" t="s">
        <v>15</v>
      </c>
      <c r="AJ34" s="261">
        <v>2015</v>
      </c>
      <c r="AK34" s="262"/>
      <c r="AL34" s="263"/>
      <c r="AM34" s="178">
        <f t="shared" si="11"/>
        <v>3</v>
      </c>
      <c r="AN34" s="178" t="e">
        <f>12*(#REF!-AJ34)+(#REF!-AH34)-AO34</f>
        <v>#REF!</v>
      </c>
      <c r="AO34" s="171"/>
      <c r="AP34" s="264"/>
      <c r="AQ34" s="180">
        <f>VLOOKUP(U34,'[1]- DLiêu Gốc -'!$B$1:$E$56,3,0)</f>
        <v>4.4000000000000004</v>
      </c>
      <c r="AR34" s="174">
        <f>VLOOKUP(U34,'[1]- DLiêu Gốc -'!$B$1:$E$56,4,0)</f>
        <v>0.34</v>
      </c>
      <c r="AS34" s="265"/>
      <c r="AT34" s="266" t="e">
        <f t="shared" si="12"/>
        <v>#REF!</v>
      </c>
      <c r="AU34" s="267">
        <v>10</v>
      </c>
      <c r="AV34" s="267" t="s">
        <v>47</v>
      </c>
      <c r="AW34" s="174">
        <f t="shared" si="13"/>
        <v>11</v>
      </c>
      <c r="AX34" s="268" t="s">
        <v>47</v>
      </c>
      <c r="AY34" s="269">
        <v>9</v>
      </c>
      <c r="AZ34" s="177" t="s">
        <v>15</v>
      </c>
      <c r="BA34" s="177">
        <v>2014</v>
      </c>
      <c r="BB34" s="177"/>
      <c r="BC34" s="177"/>
      <c r="BD34" s="177"/>
      <c r="BE34" s="177">
        <v>9</v>
      </c>
      <c r="BF34" s="179" t="e">
        <f>IF(AU34&gt;3,((#REF!-BA34)*12+(#REF!-AY34)-BC34),"- - -")</f>
        <v>#REF!</v>
      </c>
      <c r="BG34" s="270" t="e">
        <f>IF(AV34&gt;3,((#REF!-BB34)*12+(#REF!-AZ34)-BD34),"- - -")</f>
        <v>#REF!</v>
      </c>
      <c r="BH34" s="439" t="str">
        <f t="shared" si="38"/>
        <v>CC,VC</v>
      </c>
      <c r="BI34" s="399"/>
      <c r="BJ34" s="400"/>
      <c r="BK34" s="401" t="s">
        <v>13</v>
      </c>
      <c r="BL34" s="402" t="str">
        <f t="shared" si="15"/>
        <v>A</v>
      </c>
      <c r="BM34" s="401" t="e">
        <f>IF(AND(AB34&gt;0,X34&lt;(Z34-1),BN34&gt;0,BN34&lt;13,OR(AND(BT34="Cùg Ng",(#REF!-BP34)&gt;AM34),BT34="- - -")),"Sớm TT","=&gt; s")</f>
        <v>#REF!</v>
      </c>
      <c r="BN34" s="403" t="e">
        <f>IF(AM34=3,36-(12*(#REF!-AJ34)+(12-AH34)-AO34),IF(AM34=2,24-(12*(#REF!-AJ34)+(12-AH34)-AO34),"---"))</f>
        <v>#REF!</v>
      </c>
      <c r="BO34" s="404" t="str">
        <f t="shared" si="16"/>
        <v>---</v>
      </c>
      <c r="BP34" s="405"/>
      <c r="BQ34" s="406"/>
      <c r="BR34" s="406"/>
      <c r="BS34" s="406"/>
      <c r="BT34" s="405" t="str">
        <f t="shared" si="17"/>
        <v>- - -</v>
      </c>
      <c r="BU34" s="404" t="str">
        <f t="shared" si="18"/>
        <v>- - -</v>
      </c>
      <c r="BV34" s="401"/>
      <c r="BW34" s="401"/>
      <c r="BX34" s="407"/>
      <c r="BY34" s="407"/>
      <c r="BZ34" s="407" t="str">
        <f t="shared" si="19"/>
        <v>- - -</v>
      </c>
      <c r="CA34" s="407"/>
      <c r="CB34" s="407"/>
      <c r="CC34" s="407"/>
      <c r="CD34" s="407"/>
      <c r="CE34" s="407" t="e">
        <f t="shared" si="20"/>
        <v>#REF!</v>
      </c>
      <c r="CF34" s="407" t="e">
        <f t="shared" si="21"/>
        <v>#REF!</v>
      </c>
      <c r="CG34" s="407">
        <f t="shared" si="22"/>
        <v>11</v>
      </c>
      <c r="CH34" s="407">
        <f t="shared" si="23"/>
        <v>2025</v>
      </c>
      <c r="CI34" s="407">
        <f t="shared" si="24"/>
        <v>8</v>
      </c>
      <c r="CJ34" s="407">
        <f t="shared" si="25"/>
        <v>2025</v>
      </c>
      <c r="CK34" s="407">
        <f t="shared" si="26"/>
        <v>5</v>
      </c>
      <c r="CL34" s="407">
        <f t="shared" si="27"/>
        <v>2025</v>
      </c>
      <c r="CM34" s="407" t="e">
        <f t="shared" si="28"/>
        <v>#REF!</v>
      </c>
      <c r="CN34" s="408" t="str">
        <f t="shared" si="29"/>
        <v>. .</v>
      </c>
      <c r="CO34" s="405"/>
      <c r="CP34" s="409">
        <f t="shared" si="30"/>
        <v>720</v>
      </c>
      <c r="CQ34" s="410" t="e">
        <f>12*(#REF!-J34)+(12-H34)</f>
        <v>#REF!</v>
      </c>
      <c r="CR34" s="411" t="e">
        <f>#REF!-J34</f>
        <v>#REF!</v>
      </c>
      <c r="CS34" s="412" t="e">
        <f t="shared" si="31"/>
        <v>#REF!</v>
      </c>
      <c r="CT34" s="413"/>
      <c r="CU34" s="411"/>
      <c r="CV34" s="414" t="e">
        <f t="shared" si="32"/>
        <v>#REF!</v>
      </c>
      <c r="CW34" s="398" t="str">
        <f t="shared" si="33"/>
        <v>--</v>
      </c>
      <c r="CX34" s="376"/>
      <c r="CY34" s="375"/>
      <c r="CZ34" s="272"/>
      <c r="DA34" s="273"/>
      <c r="DB34" s="177"/>
      <c r="DC34" s="177"/>
      <c r="DG34" s="164" t="s">
        <v>116</v>
      </c>
      <c r="DH34" s="164" t="s">
        <v>14</v>
      </c>
      <c r="DI34" s="164" t="s">
        <v>15</v>
      </c>
      <c r="DJ34" s="164" t="s">
        <v>46</v>
      </c>
      <c r="DK34" s="164" t="s">
        <v>15</v>
      </c>
      <c r="DL34" s="164" t="s">
        <v>65</v>
      </c>
      <c r="DM34" s="164">
        <f t="shared" si="34"/>
        <v>0</v>
      </c>
      <c r="DN34" s="164" t="str">
        <f t="shared" si="35"/>
        <v>- - -</v>
      </c>
      <c r="DO34" s="164" t="s">
        <v>14</v>
      </c>
      <c r="DP34" s="164" t="s">
        <v>15</v>
      </c>
      <c r="DQ34" s="164" t="s">
        <v>46</v>
      </c>
      <c r="DR34" s="164" t="s">
        <v>15</v>
      </c>
      <c r="DS34" s="164" t="s">
        <v>65</v>
      </c>
      <c r="DU34" s="164" t="str">
        <f t="shared" si="36"/>
        <v>- - -</v>
      </c>
      <c r="DV34" s="164" t="e">
        <f t="shared" si="37"/>
        <v>#REF!</v>
      </c>
    </row>
    <row r="35" spans="1:126" s="164" customFormat="1" ht="40.5" customHeight="1" thickBot="1" x14ac:dyDescent="0.3">
      <c r="A35" s="237">
        <v>784</v>
      </c>
      <c r="B35" s="446">
        <v>14</v>
      </c>
      <c r="C35" s="447" t="str">
        <f t="shared" si="0"/>
        <v>Ông</v>
      </c>
      <c r="D35" s="448" t="s">
        <v>117</v>
      </c>
      <c r="E35" s="447" t="s">
        <v>52</v>
      </c>
      <c r="F35" s="449" t="s">
        <v>91</v>
      </c>
      <c r="G35" s="450" t="s">
        <v>15</v>
      </c>
      <c r="H35" s="450" t="s">
        <v>46</v>
      </c>
      <c r="I35" s="450" t="s">
        <v>15</v>
      </c>
      <c r="J35" s="451" t="s">
        <v>118</v>
      </c>
      <c r="K35" s="452"/>
      <c r="L35" s="452"/>
      <c r="M35" s="452" t="e">
        <f>VLOOKUP(L35,'[1]- DLiêu Gốc -'!$B$2:$G$121,2,0)</f>
        <v>#N/A</v>
      </c>
      <c r="N35" s="453" t="s">
        <v>119</v>
      </c>
      <c r="O35" s="454" t="s">
        <v>109</v>
      </c>
      <c r="P35" s="455" t="str">
        <f>VLOOKUP(U35,'[1]- DLiêu Gốc -'!$B$2:$G$56,5,0)</f>
        <v>C</v>
      </c>
      <c r="Q35" s="455" t="str">
        <f>VLOOKUP(U35,'[1]- DLiêu Gốc -'!$B$2:$G$56,6,0)</f>
        <v>Nhân viên</v>
      </c>
      <c r="R35" s="456" t="s">
        <v>55</v>
      </c>
      <c r="S35" s="457" t="str">
        <f t="shared" si="1"/>
        <v>Nhân viên</v>
      </c>
      <c r="T35" s="458" t="str">
        <f t="shared" si="2"/>
        <v>01.005</v>
      </c>
      <c r="U35" s="459" t="s">
        <v>120</v>
      </c>
      <c r="V35" s="458" t="str">
        <f>VLOOKUP(U35,'[1]- DLiêu Gốc -'!$B$1:$G$121,2,0)</f>
        <v>01.007</v>
      </c>
      <c r="W35" s="460" t="e">
        <f t="shared" si="3"/>
        <v>#REF!</v>
      </c>
      <c r="X35" s="461">
        <v>5</v>
      </c>
      <c r="Y35" s="462" t="str">
        <f t="shared" si="4"/>
        <v>/</v>
      </c>
      <c r="Z35" s="463">
        <f t="shared" si="5"/>
        <v>12</v>
      </c>
      <c r="AA35" s="464">
        <f t="shared" si="6"/>
        <v>2.37</v>
      </c>
      <c r="AB35" s="465">
        <f t="shared" si="7"/>
        <v>6</v>
      </c>
      <c r="AC35" s="452" t="str">
        <f t="shared" si="8"/>
        <v>/</v>
      </c>
      <c r="AD35" s="463">
        <f t="shared" si="9"/>
        <v>12</v>
      </c>
      <c r="AE35" s="466">
        <f t="shared" si="10"/>
        <v>2.5500000000000003</v>
      </c>
      <c r="AF35" s="467" t="s">
        <v>14</v>
      </c>
      <c r="AG35" s="468" t="s">
        <v>15</v>
      </c>
      <c r="AH35" s="469" t="s">
        <v>46</v>
      </c>
      <c r="AI35" s="470" t="s">
        <v>15</v>
      </c>
      <c r="AJ35" s="471">
        <v>2015</v>
      </c>
      <c r="AK35" s="472" t="s">
        <v>121</v>
      </c>
      <c r="AL35" s="473"/>
      <c r="AM35" s="474">
        <f t="shared" si="11"/>
        <v>2</v>
      </c>
      <c r="AN35" s="474" t="e">
        <f>12*(#REF!-AJ35)+(#REF!-AH35)-AO35</f>
        <v>#REF!</v>
      </c>
      <c r="AO35" s="475"/>
      <c r="AP35" s="476"/>
      <c r="AQ35" s="477">
        <f>VLOOKUP(U35,'[1]- DLiêu Gốc -'!$B$1:$E$56,3,0)</f>
        <v>1.65</v>
      </c>
      <c r="AR35" s="478">
        <f>VLOOKUP(U35,'[1]- DLiêu Gốc -'!$B$1:$E$56,4,0)</f>
        <v>0.18</v>
      </c>
      <c r="AS35" s="479"/>
      <c r="AT35" s="480" t="str">
        <f t="shared" si="12"/>
        <v>o-o-o</v>
      </c>
      <c r="AU35" s="481"/>
      <c r="AV35" s="481"/>
      <c r="AW35" s="478">
        <f t="shared" si="13"/>
        <v>0</v>
      </c>
      <c r="AX35" s="482"/>
      <c r="AY35" s="483"/>
      <c r="AZ35" s="484"/>
      <c r="BA35" s="484"/>
      <c r="BB35" s="484"/>
      <c r="BC35" s="484"/>
      <c r="BD35" s="484"/>
      <c r="BE35" s="484"/>
      <c r="BF35" s="485" t="str">
        <f>IF(AU35&gt;3,((#REF!-BA35)*12+(#REF!-AY35)-BC35),"- - -")</f>
        <v>- - -</v>
      </c>
      <c r="BG35" s="486" t="e">
        <f>IF(AND(CF35="Hưu",AU35&gt;3),12-(12*(CL35-BA35)+(CK35-AY35))-BC35,"- - -")</f>
        <v>#REF!</v>
      </c>
      <c r="BH35" s="487" t="str">
        <f t="shared" si="38"/>
        <v>NLĐ</v>
      </c>
      <c r="BI35" s="399"/>
      <c r="BJ35" s="400"/>
      <c r="BK35" s="401" t="s">
        <v>71</v>
      </c>
      <c r="BL35" s="402" t="str">
        <f t="shared" si="15"/>
        <v>A</v>
      </c>
      <c r="BM35" s="401" t="e">
        <f>IF(AND(AB35&gt;0,X35&lt;(Z35-1),BN35&gt;0,BN35&lt;13,OR(AND(BT35="Cùg Ng",(#REF!-BP35)&gt;AM35),BT35="- - -")),"Sớm TT","=&gt; s")</f>
        <v>#REF!</v>
      </c>
      <c r="BN35" s="403" t="e">
        <f>IF(AM35=3,36-(12*(#REF!-AJ35)+(12-AH35)-AO35),IF(AM35=2,24-(12*(#REF!-AJ35)+(12-AH35)-AO35),"---"))</f>
        <v>#REF!</v>
      </c>
      <c r="BO35" s="404" t="str">
        <f t="shared" si="16"/>
        <v>---</v>
      </c>
      <c r="BP35" s="405"/>
      <c r="BQ35" s="406"/>
      <c r="BR35" s="406"/>
      <c r="BS35" s="406"/>
      <c r="BT35" s="405" t="str">
        <f t="shared" si="17"/>
        <v>- - -</v>
      </c>
      <c r="BU35" s="404" t="str">
        <f t="shared" si="18"/>
        <v>- - -</v>
      </c>
      <c r="BV35" s="401"/>
      <c r="BW35" s="401"/>
      <c r="BX35" s="407"/>
      <c r="BY35" s="407"/>
      <c r="BZ35" s="407" t="str">
        <f t="shared" si="19"/>
        <v>- - -</v>
      </c>
      <c r="CA35" s="407"/>
      <c r="CB35" s="407"/>
      <c r="CC35" s="407"/>
      <c r="CD35" s="407"/>
      <c r="CE35" s="407" t="e">
        <f t="shared" si="20"/>
        <v>#REF!</v>
      </c>
      <c r="CF35" s="407" t="e">
        <f t="shared" si="21"/>
        <v>#REF!</v>
      </c>
      <c r="CG35" s="407">
        <f t="shared" si="22"/>
        <v>3</v>
      </c>
      <c r="CH35" s="407">
        <f t="shared" si="23"/>
        <v>2045</v>
      </c>
      <c r="CI35" s="407">
        <f t="shared" si="24"/>
        <v>12</v>
      </c>
      <c r="CJ35" s="407">
        <f t="shared" si="25"/>
        <v>2044</v>
      </c>
      <c r="CK35" s="407">
        <f t="shared" si="26"/>
        <v>9</v>
      </c>
      <c r="CL35" s="407">
        <f t="shared" si="27"/>
        <v>2044</v>
      </c>
      <c r="CM35" s="407" t="e">
        <f t="shared" si="28"/>
        <v>#REF!</v>
      </c>
      <c r="CN35" s="408" t="str">
        <f t="shared" si="29"/>
        <v>. .</v>
      </c>
      <c r="CO35" s="405"/>
      <c r="CP35" s="409">
        <f t="shared" si="30"/>
        <v>720</v>
      </c>
      <c r="CQ35" s="410" t="e">
        <f>12*(#REF!-J35)+(12-H35)</f>
        <v>#REF!</v>
      </c>
      <c r="CR35" s="411" t="e">
        <f>#REF!-J35</f>
        <v>#REF!</v>
      </c>
      <c r="CS35" s="412" t="e">
        <f t="shared" si="31"/>
        <v>#REF!</v>
      </c>
      <c r="CT35" s="413"/>
      <c r="CU35" s="411"/>
      <c r="CV35" s="414" t="e">
        <f t="shared" si="32"/>
        <v>#REF!</v>
      </c>
      <c r="CW35" s="398" t="str">
        <f t="shared" si="33"/>
        <v>--</v>
      </c>
      <c r="CX35" s="376"/>
      <c r="CY35" s="375"/>
      <c r="CZ35" s="272"/>
      <c r="DA35" s="273"/>
      <c r="DB35" s="177"/>
      <c r="DC35" s="177"/>
      <c r="DG35" s="164" t="s">
        <v>122</v>
      </c>
      <c r="DH35" s="164" t="s">
        <v>14</v>
      </c>
      <c r="DI35" s="164" t="s">
        <v>15</v>
      </c>
      <c r="DJ35" s="164" t="s">
        <v>46</v>
      </c>
      <c r="DK35" s="164" t="s">
        <v>15</v>
      </c>
      <c r="DL35" s="164">
        <v>2013</v>
      </c>
      <c r="DM35" s="164">
        <f t="shared" si="34"/>
        <v>0</v>
      </c>
      <c r="DN35" s="164" t="str">
        <f t="shared" si="35"/>
        <v>- - -</v>
      </c>
      <c r="DO35" s="164" t="s">
        <v>14</v>
      </c>
      <c r="DP35" s="164" t="s">
        <v>15</v>
      </c>
      <c r="DQ35" s="164" t="s">
        <v>46</v>
      </c>
      <c r="DR35" s="164" t="s">
        <v>15</v>
      </c>
      <c r="DS35" s="164">
        <v>2013</v>
      </c>
      <c r="DU35" s="164" t="str">
        <f t="shared" si="36"/>
        <v>- - -</v>
      </c>
      <c r="DV35" s="164" t="e">
        <f t="shared" si="37"/>
        <v>#REF!</v>
      </c>
    </row>
    <row r="36" spans="1:126" s="326" customFormat="1" ht="21" customHeight="1" x14ac:dyDescent="0.3">
      <c r="A36" s="319"/>
      <c r="B36" s="320" t="s">
        <v>123</v>
      </c>
      <c r="C36" s="321"/>
      <c r="D36" s="321"/>
      <c r="E36" s="321"/>
      <c r="F36" s="321"/>
      <c r="G36" s="321"/>
      <c r="H36" s="321"/>
      <c r="I36" s="321"/>
      <c r="J36" s="321"/>
      <c r="K36" s="321"/>
      <c r="L36" s="321"/>
      <c r="M36" s="321"/>
      <c r="N36" s="321"/>
      <c r="O36" s="321"/>
      <c r="P36" s="322"/>
      <c r="Q36" s="322"/>
      <c r="R36" s="322"/>
      <c r="S36" s="323"/>
      <c r="T36" s="324"/>
      <c r="U36" s="323"/>
      <c r="V36" s="150"/>
      <c r="W36" s="150"/>
      <c r="X36" s="325" t="s">
        <v>124</v>
      </c>
      <c r="Y36" s="325"/>
      <c r="Z36" s="325"/>
      <c r="AA36" s="325"/>
      <c r="AB36" s="325"/>
      <c r="AC36" s="325"/>
      <c r="AD36" s="325"/>
      <c r="AE36" s="325"/>
      <c r="AF36" s="325"/>
      <c r="AG36" s="325"/>
      <c r="AH36" s="325"/>
      <c r="AI36" s="325"/>
      <c r="AJ36" s="325"/>
      <c r="AK36" s="325"/>
      <c r="AL36" s="325"/>
      <c r="AM36" s="325"/>
      <c r="AN36" s="325"/>
      <c r="AO36" s="325"/>
      <c r="AP36" s="325"/>
      <c r="AQ36" s="325"/>
      <c r="AR36" s="325"/>
      <c r="AS36" s="325"/>
      <c r="AT36" s="325"/>
      <c r="AU36" s="325"/>
      <c r="AV36" s="325"/>
      <c r="AW36" s="325"/>
      <c r="AX36" s="325"/>
      <c r="AY36" s="325"/>
      <c r="AZ36" s="325"/>
      <c r="BA36" s="325"/>
      <c r="BB36" s="325"/>
      <c r="BC36" s="325"/>
      <c r="BD36" s="325"/>
      <c r="BE36" s="325"/>
      <c r="BF36" s="325"/>
      <c r="BG36" s="325"/>
      <c r="BH36" s="325"/>
      <c r="BJ36" s="378"/>
      <c r="BK36" s="378"/>
      <c r="BL36" s="378"/>
      <c r="BM36" s="378"/>
      <c r="BN36" s="378"/>
      <c r="BO36" s="378"/>
      <c r="BP36" s="378"/>
      <c r="BQ36" s="378"/>
      <c r="BR36" s="378"/>
      <c r="BS36" s="378"/>
      <c r="BT36" s="378"/>
      <c r="BU36" s="378"/>
      <c r="BV36" s="378"/>
      <c r="BW36" s="378"/>
      <c r="BX36" s="378"/>
      <c r="BY36" s="378"/>
      <c r="BZ36" s="378"/>
      <c r="CA36" s="378"/>
      <c r="CB36" s="378"/>
      <c r="CC36" s="378"/>
      <c r="CD36" s="378"/>
      <c r="CE36" s="378"/>
      <c r="CF36" s="378"/>
      <c r="CG36" s="378"/>
      <c r="CH36" s="378"/>
      <c r="CI36" s="378"/>
      <c r="CJ36" s="378"/>
      <c r="CK36" s="378"/>
      <c r="CL36" s="378"/>
      <c r="CM36" s="378"/>
      <c r="CN36" s="378"/>
      <c r="CO36" s="378"/>
      <c r="CP36" s="378"/>
      <c r="CQ36" s="378"/>
      <c r="CR36" s="378"/>
      <c r="CS36" s="378"/>
      <c r="CT36" s="378"/>
      <c r="CU36" s="378"/>
      <c r="CV36" s="378"/>
      <c r="CW36" s="378"/>
      <c r="CX36" s="378"/>
      <c r="CY36" s="378"/>
    </row>
    <row r="37" spans="1:126" s="335" customFormat="1" ht="15.75" x14ac:dyDescent="0.25">
      <c r="A37" s="327"/>
      <c r="B37" s="328" t="s">
        <v>125</v>
      </c>
      <c r="C37" s="329"/>
      <c r="D37" s="321"/>
      <c r="E37" s="330"/>
      <c r="F37" s="329"/>
      <c r="G37" s="331"/>
      <c r="H37" s="326"/>
      <c r="I37" s="332"/>
      <c r="J37" s="332"/>
      <c r="K37" s="332"/>
      <c r="L37" s="332"/>
      <c r="M37" s="332"/>
      <c r="N37" s="333"/>
      <c r="O37" s="333"/>
      <c r="P37" s="332"/>
      <c r="Q37" s="332"/>
      <c r="R37" s="332"/>
      <c r="S37" s="333"/>
      <c r="T37" s="330"/>
      <c r="U37" s="333"/>
      <c r="V37" s="334"/>
      <c r="W37" s="334"/>
      <c r="X37" s="325" t="s">
        <v>126</v>
      </c>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5"/>
      <c r="AW37" s="325"/>
      <c r="AX37" s="325"/>
      <c r="AY37" s="325"/>
      <c r="AZ37" s="325"/>
      <c r="BA37" s="325"/>
      <c r="BB37" s="325"/>
      <c r="BC37" s="325"/>
      <c r="BD37" s="325"/>
      <c r="BE37" s="325"/>
      <c r="BF37" s="325"/>
      <c r="BG37" s="325"/>
      <c r="BH37" s="325"/>
      <c r="BJ37" s="379"/>
      <c r="BK37" s="379"/>
      <c r="BL37" s="379"/>
      <c r="BM37" s="379"/>
      <c r="BN37" s="379"/>
      <c r="BO37" s="379"/>
      <c r="BP37" s="379"/>
      <c r="BQ37" s="379"/>
      <c r="BR37" s="379"/>
      <c r="BS37" s="379"/>
      <c r="BT37" s="379"/>
      <c r="BU37" s="379"/>
      <c r="BV37" s="379"/>
      <c r="BW37" s="379"/>
      <c r="BX37" s="379"/>
      <c r="BY37" s="379"/>
      <c r="BZ37" s="379"/>
      <c r="CA37" s="379"/>
      <c r="CB37" s="379"/>
      <c r="CC37" s="379"/>
      <c r="CD37" s="379"/>
      <c r="CE37" s="379"/>
      <c r="CF37" s="379"/>
      <c r="CG37" s="379"/>
      <c r="CH37" s="379"/>
      <c r="CI37" s="379"/>
      <c r="CJ37" s="379"/>
      <c r="CK37" s="379"/>
      <c r="CL37" s="379"/>
      <c r="CM37" s="379"/>
      <c r="CN37" s="379"/>
      <c r="CO37" s="379"/>
      <c r="CP37" s="379"/>
      <c r="CQ37" s="379"/>
      <c r="CR37" s="379"/>
      <c r="CS37" s="379"/>
      <c r="CT37" s="379"/>
      <c r="CU37" s="379"/>
      <c r="CV37" s="379"/>
      <c r="CW37" s="379"/>
      <c r="CX37" s="379"/>
      <c r="CY37" s="379"/>
    </row>
    <row r="38" spans="1:126" s="345" customFormat="1" ht="15.75" x14ac:dyDescent="0.25">
      <c r="A38" s="336">
        <v>690</v>
      </c>
      <c r="B38" s="337" t="s">
        <v>127</v>
      </c>
      <c r="C38" s="329"/>
      <c r="D38" s="326"/>
      <c r="E38" s="330"/>
      <c r="F38" s="329"/>
      <c r="G38" s="331"/>
      <c r="H38" s="326"/>
      <c r="I38" s="332"/>
      <c r="J38" s="332"/>
      <c r="K38" s="332"/>
      <c r="L38" s="332"/>
      <c r="M38" s="332"/>
      <c r="N38" s="333"/>
      <c r="O38" s="333"/>
      <c r="P38" s="332"/>
      <c r="Q38" s="332"/>
      <c r="R38" s="332"/>
      <c r="S38" s="333"/>
      <c r="T38" s="330"/>
      <c r="U38" s="333"/>
      <c r="V38" s="334"/>
      <c r="W38" s="334"/>
      <c r="X38" s="338"/>
      <c r="Y38" s="338"/>
      <c r="Z38" s="338"/>
      <c r="AA38" s="338"/>
      <c r="AB38" s="338"/>
      <c r="AC38" s="338"/>
      <c r="AD38" s="338"/>
      <c r="AE38" s="338"/>
      <c r="AF38" s="338"/>
      <c r="AG38" s="338"/>
      <c r="AH38" s="338"/>
      <c r="AI38" s="338"/>
      <c r="AJ38" s="338"/>
      <c r="AK38" s="339"/>
      <c r="AL38" s="340"/>
      <c r="AM38" s="340"/>
      <c r="AN38" s="340"/>
      <c r="AO38" s="340"/>
      <c r="AP38" s="340"/>
      <c r="AQ38" s="340"/>
      <c r="AR38" s="340"/>
      <c r="AS38" s="340"/>
      <c r="AT38" s="340"/>
      <c r="AU38" s="341"/>
      <c r="AV38" s="341"/>
      <c r="AW38" s="340"/>
      <c r="AX38" s="340"/>
      <c r="AY38" s="340"/>
      <c r="AZ38" s="340"/>
      <c r="BA38" s="340"/>
      <c r="BB38" s="340"/>
      <c r="BC38" s="340"/>
      <c r="BD38" s="340"/>
      <c r="BE38" s="340"/>
      <c r="BF38" s="340"/>
      <c r="BG38" s="340"/>
      <c r="BH38" s="340"/>
      <c r="BI38" s="418"/>
      <c r="BJ38" s="419"/>
      <c r="BK38" s="420"/>
      <c r="BL38" s="421"/>
      <c r="BM38" s="420"/>
      <c r="BN38" s="381"/>
      <c r="BO38" s="382"/>
      <c r="BP38" s="383"/>
      <c r="BQ38" s="384"/>
      <c r="BR38" s="385"/>
      <c r="BS38" s="385"/>
      <c r="BT38" s="383"/>
      <c r="BU38" s="386"/>
      <c r="BV38" s="380"/>
      <c r="BW38" s="380"/>
      <c r="BX38" s="387"/>
      <c r="BY38" s="387"/>
      <c r="BZ38" s="387"/>
      <c r="CA38" s="387"/>
      <c r="CB38" s="387"/>
      <c r="CC38" s="387"/>
      <c r="CD38" s="387"/>
      <c r="CE38" s="387"/>
      <c r="CF38" s="387"/>
      <c r="CG38" s="387"/>
      <c r="CH38" s="387"/>
      <c r="CI38" s="387"/>
      <c r="CJ38" s="387"/>
      <c r="CK38" s="387"/>
      <c r="CL38" s="387"/>
      <c r="CM38" s="387"/>
      <c r="CN38" s="388"/>
      <c r="CO38" s="389"/>
      <c r="CP38" s="390"/>
      <c r="CQ38" s="391"/>
      <c r="CR38" s="392"/>
      <c r="CS38" s="393"/>
      <c r="CT38" s="394"/>
      <c r="CU38" s="395"/>
      <c r="CV38" s="396"/>
      <c r="CW38" s="397"/>
      <c r="CX38" s="397"/>
      <c r="CY38" s="394"/>
      <c r="CZ38" s="342"/>
      <c r="DA38" s="343"/>
      <c r="DB38" s="344"/>
      <c r="DC38" s="344"/>
    </row>
    <row r="39" spans="1:126" s="345" customFormat="1" ht="15.75" x14ac:dyDescent="0.25">
      <c r="A39" s="336">
        <v>721</v>
      </c>
      <c r="B39" s="337" t="s">
        <v>128</v>
      </c>
      <c r="C39" s="329"/>
      <c r="D39" s="326"/>
      <c r="E39" s="330"/>
      <c r="F39" s="329"/>
      <c r="G39" s="331"/>
      <c r="H39" s="326"/>
      <c r="I39" s="346"/>
      <c r="J39" s="346"/>
      <c r="K39" s="346"/>
      <c r="L39" s="346"/>
      <c r="M39" s="346"/>
      <c r="N39" s="347"/>
      <c r="O39" s="347"/>
      <c r="P39" s="346"/>
      <c r="Q39" s="346"/>
      <c r="R39" s="346"/>
      <c r="S39" s="347"/>
      <c r="T39" s="348"/>
      <c r="U39" s="347"/>
      <c r="V39" s="334"/>
      <c r="W39" s="334"/>
      <c r="X39" s="617" t="s">
        <v>129</v>
      </c>
      <c r="Y39" s="617"/>
      <c r="Z39" s="617"/>
      <c r="AA39" s="617"/>
      <c r="AB39" s="617"/>
      <c r="AC39" s="617"/>
      <c r="AD39" s="617"/>
      <c r="AE39" s="617"/>
      <c r="AF39" s="617"/>
      <c r="AG39" s="617"/>
      <c r="AH39" s="617"/>
      <c r="AI39" s="617"/>
      <c r="AJ39" s="617"/>
      <c r="AK39" s="617"/>
      <c r="AL39" s="617"/>
      <c r="AM39" s="617"/>
      <c r="AN39" s="617"/>
      <c r="AO39" s="617"/>
      <c r="AP39" s="617"/>
      <c r="AQ39" s="617"/>
      <c r="AR39" s="617"/>
      <c r="AS39" s="617"/>
      <c r="AT39" s="617"/>
      <c r="AU39" s="617"/>
      <c r="AV39" s="617"/>
      <c r="AW39" s="617"/>
      <c r="AX39" s="617"/>
      <c r="AY39" s="617"/>
      <c r="AZ39" s="617"/>
      <c r="BA39" s="617"/>
      <c r="BB39" s="617"/>
      <c r="BC39" s="617"/>
      <c r="BD39" s="617"/>
      <c r="BE39" s="617"/>
      <c r="BF39" s="617"/>
      <c r="BG39" s="617"/>
      <c r="BH39" s="617"/>
      <c r="BI39" s="418"/>
      <c r="BJ39" s="419"/>
      <c r="BK39" s="420"/>
      <c r="BL39" s="421"/>
      <c r="BM39" s="420"/>
      <c r="BN39" s="381"/>
      <c r="BO39" s="382"/>
      <c r="BP39" s="383"/>
      <c r="BQ39" s="384"/>
      <c r="BR39" s="385"/>
      <c r="BS39" s="385"/>
      <c r="BT39" s="383"/>
      <c r="BU39" s="386"/>
      <c r="BV39" s="380"/>
      <c r="BW39" s="380"/>
      <c r="BX39" s="387"/>
      <c r="BY39" s="387"/>
      <c r="BZ39" s="387"/>
      <c r="CA39" s="387"/>
      <c r="CB39" s="387"/>
      <c r="CC39" s="387"/>
      <c r="CD39" s="387"/>
      <c r="CE39" s="387"/>
      <c r="CF39" s="387"/>
      <c r="CG39" s="387"/>
      <c r="CH39" s="387"/>
      <c r="CI39" s="387"/>
      <c r="CJ39" s="387"/>
      <c r="CK39" s="387"/>
      <c r="CL39" s="387"/>
      <c r="CM39" s="387"/>
      <c r="CN39" s="388"/>
      <c r="CO39" s="389"/>
      <c r="CP39" s="390"/>
      <c r="CQ39" s="391"/>
      <c r="CR39" s="392"/>
      <c r="CS39" s="393"/>
      <c r="CT39" s="394"/>
      <c r="CU39" s="395"/>
      <c r="CV39" s="396"/>
      <c r="CW39" s="397"/>
      <c r="CX39" s="397"/>
      <c r="CY39" s="394"/>
      <c r="CZ39" s="342"/>
      <c r="DA39" s="343"/>
      <c r="DB39" s="344"/>
      <c r="DC39" s="344"/>
    </row>
    <row r="40" spans="1:126" s="345" customFormat="1" ht="15.75" x14ac:dyDescent="0.25">
      <c r="A40" s="336">
        <v>746</v>
      </c>
      <c r="B40" s="337" t="s">
        <v>130</v>
      </c>
      <c r="C40" s="329"/>
      <c r="D40" s="326"/>
      <c r="E40" s="330"/>
      <c r="F40" s="329"/>
      <c r="G40" s="331"/>
      <c r="H40" s="326"/>
      <c r="I40" s="346"/>
      <c r="J40" s="346"/>
      <c r="K40" s="346"/>
      <c r="L40" s="346"/>
      <c r="M40" s="346"/>
      <c r="N40" s="347"/>
      <c r="O40" s="347"/>
      <c r="P40" s="346"/>
      <c r="Q40" s="346"/>
      <c r="R40" s="346"/>
      <c r="S40" s="347"/>
      <c r="T40" s="348"/>
      <c r="U40" s="347"/>
      <c r="V40" s="334"/>
      <c r="W40" s="334"/>
      <c r="X40" s="349"/>
      <c r="Y40" s="349"/>
      <c r="Z40" s="349"/>
      <c r="AA40" s="349"/>
      <c r="AB40" s="349"/>
      <c r="AC40" s="349"/>
      <c r="AD40" s="349"/>
      <c r="AE40" s="349"/>
      <c r="AF40" s="349"/>
      <c r="AG40" s="349"/>
      <c r="AH40" s="349"/>
      <c r="AI40" s="349"/>
      <c r="AJ40" s="349"/>
      <c r="AK40" s="349"/>
      <c r="AL40" s="349"/>
      <c r="AM40" s="349"/>
      <c r="AN40" s="349"/>
      <c r="AO40" s="349"/>
      <c r="AP40" s="349"/>
      <c r="AQ40" s="349"/>
      <c r="AR40" s="349"/>
      <c r="AS40" s="349"/>
      <c r="AT40" s="349"/>
      <c r="AU40" s="349"/>
      <c r="AV40" s="349"/>
      <c r="AW40" s="349"/>
      <c r="AX40" s="349"/>
      <c r="AY40" s="349"/>
      <c r="AZ40" s="349"/>
      <c r="BA40" s="349"/>
      <c r="BB40" s="349"/>
      <c r="BC40" s="349"/>
      <c r="BD40" s="349"/>
      <c r="BE40" s="349"/>
      <c r="BF40" s="349"/>
      <c r="BG40" s="349"/>
      <c r="BH40" s="349"/>
      <c r="BI40" s="418"/>
      <c r="BJ40" s="419"/>
      <c r="BK40" s="420"/>
      <c r="BL40" s="421"/>
      <c r="BM40" s="420"/>
      <c r="BN40" s="381"/>
      <c r="BO40" s="382"/>
      <c r="BP40" s="383"/>
      <c r="BQ40" s="384"/>
      <c r="BR40" s="385"/>
      <c r="BS40" s="385"/>
      <c r="BT40" s="383"/>
      <c r="BU40" s="386"/>
      <c r="BV40" s="380"/>
      <c r="BW40" s="380"/>
      <c r="BX40" s="387"/>
      <c r="BY40" s="387"/>
      <c r="BZ40" s="387"/>
      <c r="CA40" s="387"/>
      <c r="CB40" s="387"/>
      <c r="CC40" s="387"/>
      <c r="CD40" s="387"/>
      <c r="CE40" s="387"/>
      <c r="CF40" s="387"/>
      <c r="CG40" s="387"/>
      <c r="CH40" s="387"/>
      <c r="CI40" s="387"/>
      <c r="CJ40" s="387"/>
      <c r="CK40" s="387"/>
      <c r="CL40" s="387"/>
      <c r="CM40" s="387"/>
      <c r="CN40" s="388"/>
      <c r="CO40" s="389"/>
      <c r="CP40" s="390"/>
      <c r="CQ40" s="391"/>
      <c r="CR40" s="392"/>
      <c r="CS40" s="393"/>
      <c r="CT40" s="394"/>
      <c r="CU40" s="395"/>
      <c r="CV40" s="396"/>
      <c r="CW40" s="397"/>
      <c r="CX40" s="397"/>
      <c r="CY40" s="394"/>
      <c r="CZ40" s="342"/>
      <c r="DA40" s="343"/>
      <c r="DB40" s="344"/>
      <c r="DC40" s="344"/>
    </row>
    <row r="41" spans="1:126" s="345" customFormat="1" ht="16.5" customHeight="1" x14ac:dyDescent="0.3">
      <c r="A41" s="336">
        <v>749</v>
      </c>
      <c r="B41" s="350"/>
      <c r="C41" s="329"/>
      <c r="D41" s="351"/>
      <c r="E41" s="330"/>
      <c r="F41" s="329"/>
      <c r="G41" s="331"/>
      <c r="H41" s="326"/>
      <c r="I41" s="346"/>
      <c r="J41" s="346"/>
      <c r="K41" s="346"/>
      <c r="L41" s="346"/>
      <c r="M41" s="346"/>
      <c r="N41" s="347"/>
      <c r="O41" s="347"/>
      <c r="P41" s="346"/>
      <c r="Q41" s="346"/>
      <c r="R41" s="346"/>
      <c r="S41" s="347"/>
      <c r="T41" s="348"/>
      <c r="U41" s="347"/>
      <c r="V41" s="334"/>
      <c r="W41" s="334"/>
      <c r="X41" s="352" t="s">
        <v>131</v>
      </c>
      <c r="Y41" s="352"/>
      <c r="Z41" s="352"/>
      <c r="AA41" s="352"/>
      <c r="AB41" s="352"/>
      <c r="AC41" s="352"/>
      <c r="AD41" s="352"/>
      <c r="AE41" s="352"/>
      <c r="AF41" s="352"/>
      <c r="AG41" s="352"/>
      <c r="AH41" s="352"/>
      <c r="AI41" s="352"/>
      <c r="AJ41" s="352"/>
      <c r="AK41" s="352"/>
      <c r="AL41" s="352"/>
      <c r="AM41" s="352"/>
      <c r="AN41" s="352"/>
      <c r="AO41" s="352"/>
      <c r="AP41" s="352"/>
      <c r="AQ41" s="352"/>
      <c r="AR41" s="352"/>
      <c r="AS41" s="352"/>
      <c r="AT41" s="352"/>
      <c r="AU41" s="352"/>
      <c r="AV41" s="352"/>
      <c r="AW41" s="352"/>
      <c r="AX41" s="352"/>
      <c r="AY41" s="352"/>
      <c r="AZ41" s="352"/>
      <c r="BA41" s="352"/>
      <c r="BB41" s="352"/>
      <c r="BC41" s="352"/>
      <c r="BD41" s="352"/>
      <c r="BE41" s="352"/>
      <c r="BF41" s="352"/>
      <c r="BG41" s="352"/>
      <c r="BH41" s="352"/>
      <c r="BI41" s="422"/>
      <c r="BJ41" s="419"/>
      <c r="BK41" s="420"/>
      <c r="BL41" s="421"/>
      <c r="BM41" s="420"/>
      <c r="BN41" s="381"/>
      <c r="BO41" s="382"/>
      <c r="BP41" s="383"/>
      <c r="BQ41" s="384"/>
      <c r="BR41" s="385"/>
      <c r="BS41" s="385"/>
      <c r="BT41" s="383"/>
      <c r="BU41" s="386"/>
      <c r="BV41" s="380"/>
      <c r="BW41" s="380"/>
      <c r="BX41" s="387"/>
      <c r="BY41" s="387"/>
      <c r="BZ41" s="387"/>
      <c r="CA41" s="387"/>
      <c r="CB41" s="387"/>
      <c r="CC41" s="387"/>
      <c r="CD41" s="387"/>
      <c r="CE41" s="387"/>
      <c r="CF41" s="387"/>
      <c r="CG41" s="387"/>
      <c r="CH41" s="387"/>
      <c r="CI41" s="387"/>
      <c r="CJ41" s="387"/>
      <c r="CK41" s="387"/>
      <c r="CL41" s="387"/>
      <c r="CM41" s="387"/>
      <c r="CN41" s="388"/>
      <c r="CO41" s="389"/>
      <c r="CP41" s="390"/>
      <c r="CQ41" s="391"/>
      <c r="CR41" s="392"/>
      <c r="CS41" s="393"/>
      <c r="CT41" s="394"/>
      <c r="CU41" s="395"/>
      <c r="CV41" s="396"/>
      <c r="CW41" s="397"/>
      <c r="CX41" s="397"/>
      <c r="CY41" s="394"/>
      <c r="CZ41" s="342"/>
      <c r="DA41" s="343"/>
      <c r="DB41" s="344"/>
      <c r="DC41" s="344"/>
    </row>
  </sheetData>
  <mergeCells count="34">
    <mergeCell ref="X36:BH36"/>
    <mergeCell ref="X37:BH37"/>
    <mergeCell ref="X39:BH39"/>
    <mergeCell ref="X41:BH41"/>
    <mergeCell ref="N17:O17"/>
    <mergeCell ref="S17:T17"/>
    <mergeCell ref="X17:Z17"/>
    <mergeCell ref="AB17:AD17"/>
    <mergeCell ref="AF17:AJ17"/>
    <mergeCell ref="D23:AJ23"/>
    <mergeCell ref="X15:AJ15"/>
    <mergeCell ref="AK15:AK16"/>
    <mergeCell ref="AM15:AM16"/>
    <mergeCell ref="AX15:AX16"/>
    <mergeCell ref="BH15:BH16"/>
    <mergeCell ref="X16:Z16"/>
    <mergeCell ref="AB16:AD16"/>
    <mergeCell ref="AF16:AJ16"/>
    <mergeCell ref="AF6:AJ6"/>
    <mergeCell ref="D9:BH9"/>
    <mergeCell ref="D10:BH10"/>
    <mergeCell ref="B15:B16"/>
    <mergeCell ref="D15:D16"/>
    <mergeCell ref="E15:E16"/>
    <mergeCell ref="N15:O16"/>
    <mergeCell ref="S15:T16"/>
    <mergeCell ref="U15:U16"/>
    <mergeCell ref="V15:V16"/>
    <mergeCell ref="B1:N1"/>
    <mergeCell ref="S1:AE1"/>
    <mergeCell ref="B2:N2"/>
    <mergeCell ref="S2:AE2"/>
    <mergeCell ref="S3:AE3"/>
    <mergeCell ref="A4:BH5"/>
  </mergeCells>
  <conditionalFormatting sqref="BI20 BI14:BI16 BI23">
    <cfRule type="expression" dxfId="441" priority="383" stopIfTrue="1">
      <formula>IF(BJ14="Trên 45",1,0)</formula>
    </cfRule>
    <cfRule type="expression" dxfId="440" priority="384" stopIfTrue="1">
      <formula>IF(BJ14="30 - 45",1,0)</formula>
    </cfRule>
    <cfRule type="expression" dxfId="439" priority="385" stopIfTrue="1">
      <formula>IF(BJ14="Dưới 30",1,0)</formula>
    </cfRule>
  </conditionalFormatting>
  <conditionalFormatting sqref="CU20 CU14:CU16 AS23 CU23">
    <cfRule type="expression" dxfId="438" priority="386" stopIfTrue="1">
      <formula>IF(AT14&gt;0,1,0)</formula>
    </cfRule>
    <cfRule type="expression" dxfId="437" priority="387" stopIfTrue="1">
      <formula>IF(AT14=0,1,0)</formula>
    </cfRule>
  </conditionalFormatting>
  <conditionalFormatting sqref="CY20">
    <cfRule type="expression" dxfId="436" priority="388" stopIfTrue="1">
      <formula>12*(#REF!-CQ20)+(#REF!-CO20)</formula>
    </cfRule>
  </conditionalFormatting>
  <conditionalFormatting sqref="CX20 AV23 CX23">
    <cfRule type="expression" dxfId="435" priority="394" stopIfTrue="1">
      <formula>IF(OR(AV20=0.36),1,0)</formula>
    </cfRule>
    <cfRule type="expression" dxfId="434" priority="395" stopIfTrue="1">
      <formula>IF(AV20=0.34,1,0)</formula>
    </cfRule>
    <cfRule type="expression" dxfId="433" priority="396" stopIfTrue="1">
      <formula>IF(AV20&lt;0.33,1,0)</formula>
    </cfRule>
  </conditionalFormatting>
  <conditionalFormatting sqref="AZ20 DA20 AY23 DA23">
    <cfRule type="cellIs" dxfId="432" priority="397" stopIfTrue="1" operator="between">
      <formula>"Hưu"</formula>
      <formula>"Hưu"</formula>
    </cfRule>
    <cfRule type="cellIs" dxfId="431" priority="398" stopIfTrue="1" operator="between">
      <formula>"---"</formula>
      <formula>"---"</formula>
    </cfRule>
    <cfRule type="cellIs" dxfId="430" priority="399" stopIfTrue="1" operator="between">
      <formula>"Quá"</formula>
      <formula>"Quá"</formula>
    </cfRule>
  </conditionalFormatting>
  <conditionalFormatting sqref="CW20 AU23 CW23">
    <cfRule type="expression" dxfId="429" priority="400" stopIfTrue="1">
      <formula>IF(OR(AU20=5.57,AU20=6.2),1,0)</formula>
    </cfRule>
    <cfRule type="expression" dxfId="428" priority="401" stopIfTrue="1">
      <formula>IF(OR(AU20=4,AU20=4.4),1,0)</formula>
    </cfRule>
    <cfRule type="expression" dxfId="427" priority="402" stopIfTrue="1">
      <formula>IF(AND(AU20&gt;0.9,AU20&lt;2.34),1,0)</formula>
    </cfRule>
  </conditionalFormatting>
  <conditionalFormatting sqref="AR20 CS20 AQ23 CS23">
    <cfRule type="cellIs" dxfId="426" priority="403" stopIfTrue="1" operator="between">
      <formula>1</formula>
      <formula>1</formula>
    </cfRule>
    <cfRule type="cellIs" dxfId="425" priority="404" stopIfTrue="1" operator="between">
      <formula>2</formula>
      <formula>2</formula>
    </cfRule>
    <cfRule type="cellIs" dxfId="424" priority="405" stopIfTrue="1" operator="between">
      <formula>3</formula>
      <formula>3</formula>
    </cfRule>
  </conditionalFormatting>
  <conditionalFormatting sqref="CV20 AT23 CV23">
    <cfRule type="expression" dxfId="423" priority="406" stopIfTrue="1">
      <formula>IF(AT20&gt;0,1,0)</formula>
    </cfRule>
    <cfRule type="expression" dxfId="422" priority="407" stopIfTrue="1">
      <formula>IF(AT20&lt;1,1,0)</formula>
    </cfRule>
  </conditionalFormatting>
  <conditionalFormatting sqref="CR20 AP23 CR23">
    <cfRule type="cellIs" dxfId="421" priority="408" stopIfTrue="1" operator="between">
      <formula>"Đến"</formula>
      <formula>"Đến"</formula>
    </cfRule>
    <cfRule type="cellIs" dxfId="420" priority="409" stopIfTrue="1" operator="between">
      <formula>"Quá"</formula>
      <formula>"Quá"</formula>
    </cfRule>
    <cfRule type="expression" dxfId="419" priority="410" stopIfTrue="1">
      <formula>IF(OR(AP20="Lương Sớm Hưu",AP20="Nâng Ngạch Hưu"),1,0)</formula>
    </cfRule>
  </conditionalFormatting>
  <conditionalFormatting sqref="DB20:DC20 AZ23:BA23 DB23:DC23">
    <cfRule type="expression" dxfId="418" priority="411" stopIfTrue="1">
      <formula>IF(AZ20&gt;0,1,0)</formula>
    </cfRule>
  </conditionalFormatting>
  <conditionalFormatting sqref="AP20 CQ20 AO23 CQ23">
    <cfRule type="cellIs" dxfId="417" priority="412" stopIfTrue="1" operator="between">
      <formula>"B"</formula>
      <formula>"B"</formula>
    </cfRule>
    <cfRule type="cellIs" dxfId="416" priority="413" stopIfTrue="1" operator="between">
      <formula>"C"</formula>
      <formula>"C"</formula>
    </cfRule>
    <cfRule type="cellIs" dxfId="415" priority="414" stopIfTrue="1" operator="between">
      <formula>"D"</formula>
      <formula>"D"</formula>
    </cfRule>
  </conditionalFormatting>
  <conditionalFormatting sqref="AO20 CP20 AN23 CP23">
    <cfRule type="cellIs" dxfId="414" priority="415" stopIfTrue="1" operator="between">
      <formula>"công chức, viên chức"</formula>
      <formula>"công chức, viên chức"</formula>
    </cfRule>
    <cfRule type="cellIs" dxfId="413" priority="416" stopIfTrue="1" operator="between">
      <formula>"lao động hợp đồng"</formula>
      <formula>"lao động hợp đồng"</formula>
    </cfRule>
  </conditionalFormatting>
  <conditionalFormatting sqref="CZ20 AX23 CZ23">
    <cfRule type="expression" dxfId="412" priority="417" stopIfTrue="1">
      <formula>IF(AX20="Nâg Ngạch sau TB",1,0)</formula>
    </cfRule>
    <cfRule type="expression" dxfId="411" priority="418" stopIfTrue="1">
      <formula>IF(AX20="Nâg Lươg Sớm sau TB",1,0)</formula>
    </cfRule>
    <cfRule type="expression" dxfId="410" priority="419" stopIfTrue="1">
      <formula>IF(AX20="Nâg PC TNVK cùng QĐ",1,0)</formula>
    </cfRule>
  </conditionalFormatting>
  <conditionalFormatting sqref="CO20 AL23 CO23">
    <cfRule type="expression" dxfId="409" priority="420" stopIfTrue="1">
      <formula>IF(AL20=0,1,0)</formula>
    </cfRule>
    <cfRule type="expression" dxfId="408" priority="421" stopIfTrue="1">
      <formula>IF(AL20&gt;0,1,0)</formula>
    </cfRule>
  </conditionalFormatting>
  <conditionalFormatting sqref="BJ20 BJ23">
    <cfRule type="expression" dxfId="407" priority="389" stopIfTrue="1">
      <formula>IF(BJ20="Trên 45",1,0)</formula>
    </cfRule>
    <cfRule type="expression" dxfId="406" priority="390" stopIfTrue="1">
      <formula>IF(BJ20="30 - 45",1,0)</formula>
    </cfRule>
    <cfRule type="expression" dxfId="405" priority="391" stopIfTrue="1">
      <formula>IF(BJ20="Dưới 30",1,0)</formula>
    </cfRule>
  </conditionalFormatting>
  <conditionalFormatting sqref="BL20 BL23">
    <cfRule type="cellIs" dxfId="404" priority="392" stopIfTrue="1" operator="between">
      <formula>"Có hạn"</formula>
      <formula>"Có hạn"</formula>
    </cfRule>
    <cfRule type="cellIs" dxfId="403" priority="393" stopIfTrue="1" operator="between">
      <formula>"Ko hạn"</formula>
      <formula>"Ko hạn"</formula>
    </cfRule>
  </conditionalFormatting>
  <conditionalFormatting sqref="BE20 BD23">
    <cfRule type="expression" dxfId="402" priority="422" stopIfTrue="1">
      <formula>IF(#REF!&gt;6,#REF!-6,IF(#REF!=6,12,IF(#REF!&lt;6,#REF!+6)))</formula>
    </cfRule>
  </conditionalFormatting>
  <conditionalFormatting sqref="BG20 BF23">
    <cfRule type="cellIs" dxfId="401" priority="423" stopIfTrue="1" operator="between">
      <formula>"-"</formula>
      <formula>"-"</formula>
    </cfRule>
    <cfRule type="cellIs" dxfId="400" priority="424" stopIfTrue="1" operator="between">
      <formula>1</formula>
      <formula>40</formula>
    </cfRule>
  </conditionalFormatting>
  <conditionalFormatting sqref="AM23">
    <cfRule type="cellIs" dxfId="399" priority="425" stopIfTrue="1" operator="between">
      <formula>"CC,VC"</formula>
      <formula>"CC,VC"</formula>
    </cfRule>
    <cfRule type="cellIs" dxfId="398" priority="426" stopIfTrue="1" operator="between">
      <formula>"LĐHĐ"</formula>
      <formula>"LĐHĐ"</formula>
    </cfRule>
  </conditionalFormatting>
  <conditionalFormatting sqref="F20">
    <cfRule type="cellIs" dxfId="397" priority="427" stopIfTrue="1" operator="between">
      <formula>"Nam"</formula>
      <formula>"Nam"</formula>
    </cfRule>
    <cfRule type="cellIs" dxfId="396" priority="428" stopIfTrue="1" operator="between">
      <formula>"Nữ"</formula>
      <formula>"Nữ"</formula>
    </cfRule>
  </conditionalFormatting>
  <conditionalFormatting sqref="AQ20">
    <cfRule type="cellIs" dxfId="395" priority="380" stopIfTrue="1" operator="between">
      <formula>"Đến"</formula>
      <formula>"Đến"</formula>
    </cfRule>
    <cfRule type="cellIs" dxfId="394" priority="381" stopIfTrue="1" operator="between">
      <formula>"Quá"</formula>
      <formula>"Quá"</formula>
    </cfRule>
  </conditionalFormatting>
  <conditionalFormatting sqref="BC20">
    <cfRule type="expression" dxfId="393" priority="382" stopIfTrue="1">
      <formula>IF(#REF!&gt;6,#REF!-6,IF(#REF!=6,12,IF(#REF!&lt;6,#REF!+6)))</formula>
    </cfRule>
  </conditionalFormatting>
  <conditionalFormatting sqref="CT20">
    <cfRule type="expression" dxfId="392" priority="379" stopIfTrue="1">
      <formula>12*(#REF!-CM20)+(#REF!-CK20)</formula>
    </cfRule>
  </conditionalFormatting>
  <conditionalFormatting sqref="CT14:CT16 CT23">
    <cfRule type="expression" dxfId="391" priority="377" stopIfTrue="1">
      <formula>12*(#REF!-CM14)+(#REF!-CK14)</formula>
    </cfRule>
  </conditionalFormatting>
  <conditionalFormatting sqref="CY14:CY16 CY23">
    <cfRule type="expression" dxfId="390" priority="378" stopIfTrue="1">
      <formula>12*(#REF!-CQ14)+(#REF!-CO14)</formula>
    </cfRule>
  </conditionalFormatting>
  <conditionalFormatting sqref="CX18">
    <cfRule type="expression" dxfId="389" priority="344" stopIfTrue="1">
      <formula>IF(OR(CX18=0.36),1,0)</formula>
    </cfRule>
    <cfRule type="expression" dxfId="388" priority="345" stopIfTrue="1">
      <formula>IF(CX18=0.34,1,0)</formula>
    </cfRule>
    <cfRule type="expression" dxfId="387" priority="346" stopIfTrue="1">
      <formula>IF(CX18&lt;0.33,1,0)</formula>
    </cfRule>
  </conditionalFormatting>
  <conditionalFormatting sqref="AZ18 DA18">
    <cfRule type="cellIs" dxfId="386" priority="347" stopIfTrue="1" operator="between">
      <formula>"Hưu"</formula>
      <formula>"Hưu"</formula>
    </cfRule>
    <cfRule type="cellIs" dxfId="385" priority="348" stopIfTrue="1" operator="between">
      <formula>"---"</formula>
      <formula>"---"</formula>
    </cfRule>
    <cfRule type="cellIs" dxfId="384" priority="349" stopIfTrue="1" operator="between">
      <formula>"Quá"</formula>
      <formula>"Quá"</formula>
    </cfRule>
  </conditionalFormatting>
  <conditionalFormatting sqref="CW18">
    <cfRule type="expression" dxfId="383" priority="350" stopIfTrue="1">
      <formula>IF(OR(CW18=5.57,CW18=6.2),1,0)</formula>
    </cfRule>
    <cfRule type="expression" dxfId="382" priority="351" stopIfTrue="1">
      <formula>IF(OR(CW18=4,CW18=4.4),1,0)</formula>
    </cfRule>
    <cfRule type="expression" dxfId="381" priority="352" stopIfTrue="1">
      <formula>IF(AND(CW18&gt;0.9,CW18&lt;2.34),1,0)</formula>
    </cfRule>
  </conditionalFormatting>
  <conditionalFormatting sqref="AR18 CS18">
    <cfRule type="cellIs" dxfId="380" priority="353" stopIfTrue="1" operator="between">
      <formula>1</formula>
      <formula>1</formula>
    </cfRule>
    <cfRule type="cellIs" dxfId="379" priority="354" stopIfTrue="1" operator="between">
      <formula>2</formula>
      <formula>2</formula>
    </cfRule>
    <cfRule type="cellIs" dxfId="378" priority="355" stopIfTrue="1" operator="between">
      <formula>3</formula>
      <formula>3</formula>
    </cfRule>
  </conditionalFormatting>
  <conditionalFormatting sqref="CV18">
    <cfRule type="expression" dxfId="377" priority="356" stopIfTrue="1">
      <formula>IF(CV18&gt;0,1,0)</formula>
    </cfRule>
    <cfRule type="expression" dxfId="376" priority="357" stopIfTrue="1">
      <formula>IF(CV18&lt;1,1,0)</formula>
    </cfRule>
  </conditionalFormatting>
  <conditionalFormatting sqref="CR18">
    <cfRule type="cellIs" dxfId="375" priority="358" stopIfTrue="1" operator="between">
      <formula>"Đến"</formula>
      <formula>"Đến"</formula>
    </cfRule>
    <cfRule type="cellIs" dxfId="374" priority="359" stopIfTrue="1" operator="between">
      <formula>"Quá"</formula>
      <formula>"Quá"</formula>
    </cfRule>
    <cfRule type="expression" dxfId="373" priority="360" stopIfTrue="1">
      <formula>IF(OR(CR18="Lương Sớm Hưu",CR18="Nâng Ngạch Hưu"),1,0)</formula>
    </cfRule>
  </conditionalFormatting>
  <conditionalFormatting sqref="DB18:DC18">
    <cfRule type="expression" dxfId="372" priority="361" stopIfTrue="1">
      <formula>IF(DB18&gt;0,1,0)</formula>
    </cfRule>
  </conditionalFormatting>
  <conditionalFormatting sqref="AP18 CQ18">
    <cfRule type="cellIs" dxfId="371" priority="362" stopIfTrue="1" operator="between">
      <formula>"B"</formula>
      <formula>"B"</formula>
    </cfRule>
    <cfRule type="cellIs" dxfId="370" priority="363" stopIfTrue="1" operator="between">
      <formula>"C"</formula>
      <formula>"C"</formula>
    </cfRule>
    <cfRule type="cellIs" dxfId="369" priority="364" stopIfTrue="1" operator="between">
      <formula>"D"</formula>
      <formula>"D"</formula>
    </cfRule>
  </conditionalFormatting>
  <conditionalFormatting sqref="AO18 CP18">
    <cfRule type="cellIs" dxfId="368" priority="365" stopIfTrue="1" operator="between">
      <formula>"công chức, viên chức"</formula>
      <formula>"công chức, viên chức"</formula>
    </cfRule>
    <cfRule type="cellIs" dxfId="367" priority="366" stopIfTrue="1" operator="between">
      <formula>"lao động hợp đồng"</formula>
      <formula>"lao động hợp đồng"</formula>
    </cfRule>
  </conditionalFormatting>
  <conditionalFormatting sqref="CZ18">
    <cfRule type="expression" dxfId="366" priority="367" stopIfTrue="1">
      <formula>IF(CZ18="Nâg Ngạch sau TB",1,0)</formula>
    </cfRule>
    <cfRule type="expression" dxfId="365" priority="368" stopIfTrue="1">
      <formula>IF(CZ18="Nâg Lươg Sớm sau TB",1,0)</formula>
    </cfRule>
    <cfRule type="expression" dxfId="364" priority="369" stopIfTrue="1">
      <formula>IF(CZ18="Nâg PC TNVK cùng QĐ",1,0)</formula>
    </cfRule>
  </conditionalFormatting>
  <conditionalFormatting sqref="CO18">
    <cfRule type="expression" dxfId="363" priority="370" stopIfTrue="1">
      <formula>IF(CO18=0,1,0)</formula>
    </cfRule>
    <cfRule type="expression" dxfId="362" priority="371" stopIfTrue="1">
      <formula>IF(CO18&gt;0,1,0)</formula>
    </cfRule>
  </conditionalFormatting>
  <conditionalFormatting sqref="BJ18">
    <cfRule type="expression" dxfId="361" priority="339" stopIfTrue="1">
      <formula>IF(BJ18="Trên 45",1,0)</formula>
    </cfRule>
    <cfRule type="expression" dxfId="360" priority="340" stopIfTrue="1">
      <formula>IF(BJ18="30 - 45",1,0)</formula>
    </cfRule>
    <cfRule type="expression" dxfId="359" priority="341" stopIfTrue="1">
      <formula>IF(BJ18="Dưới 30",1,0)</formula>
    </cfRule>
  </conditionalFormatting>
  <conditionalFormatting sqref="BL18">
    <cfRule type="cellIs" dxfId="358" priority="342" stopIfTrue="1" operator="between">
      <formula>"Có hạn"</formula>
      <formula>"Có hạn"</formula>
    </cfRule>
    <cfRule type="cellIs" dxfId="357" priority="343" stopIfTrue="1" operator="between">
      <formula>"Ko hạn"</formula>
      <formula>"Ko hạn"</formula>
    </cfRule>
  </conditionalFormatting>
  <conditionalFormatting sqref="BI18">
    <cfRule type="expression" dxfId="356" priority="334" stopIfTrue="1">
      <formula>IF(BJ18="Trên 45",1,0)</formula>
    </cfRule>
    <cfRule type="expression" dxfId="355" priority="335" stopIfTrue="1">
      <formula>IF(BJ18="30 - 45",1,0)</formula>
    </cfRule>
    <cfRule type="expression" dxfId="354" priority="336" stopIfTrue="1">
      <formula>IF(BJ18="Dưới 30",1,0)</formula>
    </cfRule>
  </conditionalFormatting>
  <conditionalFormatting sqref="CU18">
    <cfRule type="expression" dxfId="353" priority="337" stopIfTrue="1">
      <formula>IF(CV18&gt;0,1,0)</formula>
    </cfRule>
    <cfRule type="expression" dxfId="352" priority="338" stopIfTrue="1">
      <formula>IF(CV18=0,1,0)</formula>
    </cfRule>
  </conditionalFormatting>
  <conditionalFormatting sqref="BE18">
    <cfRule type="expression" dxfId="351" priority="372" stopIfTrue="1">
      <formula>IF(#REF!&gt;6,#REF!-6,IF(#REF!=6,12,IF(#REF!&lt;6,#REF!+6)))</formula>
    </cfRule>
  </conditionalFormatting>
  <conditionalFormatting sqref="BG18">
    <cfRule type="cellIs" dxfId="350" priority="373" stopIfTrue="1" operator="between">
      <formula>"-"</formula>
      <formula>"-"</formula>
    </cfRule>
    <cfRule type="cellIs" dxfId="349" priority="374" stopIfTrue="1" operator="between">
      <formula>1</formula>
      <formula>40</formula>
    </cfRule>
  </conditionalFormatting>
  <conditionalFormatting sqref="F18">
    <cfRule type="cellIs" dxfId="348" priority="375" stopIfTrue="1" operator="between">
      <formula>"Nam"</formula>
      <formula>"Nam"</formula>
    </cfRule>
    <cfRule type="cellIs" dxfId="347" priority="376" stopIfTrue="1" operator="between">
      <formula>"Nữ"</formula>
      <formula>"Nữ"</formula>
    </cfRule>
  </conditionalFormatting>
  <conditionalFormatting sqref="AQ18">
    <cfRule type="cellIs" dxfId="346" priority="331" stopIfTrue="1" operator="between">
      <formula>"Đến"</formula>
      <formula>"Đến"</formula>
    </cfRule>
    <cfRule type="cellIs" dxfId="345" priority="332" stopIfTrue="1" operator="between">
      <formula>"Quá"</formula>
      <formula>"Quá"</formula>
    </cfRule>
  </conditionalFormatting>
  <conditionalFormatting sqref="BC18">
    <cfRule type="expression" dxfId="344" priority="333" stopIfTrue="1">
      <formula>IF(#REF!&gt;6,#REF!-6,IF(#REF!=6,12,IF(#REF!&lt;6,#REF!+6)))</formula>
    </cfRule>
  </conditionalFormatting>
  <conditionalFormatting sqref="CT18">
    <cfRule type="expression" dxfId="343" priority="329" stopIfTrue="1">
      <formula>12*(#REF!-CM18)+(#REF!-CK18)</formula>
    </cfRule>
  </conditionalFormatting>
  <conditionalFormatting sqref="CY18">
    <cfRule type="expression" dxfId="342" priority="330" stopIfTrue="1">
      <formula>12*(#REF!-CQ18)+(#REF!-CO18)</formula>
    </cfRule>
  </conditionalFormatting>
  <conditionalFormatting sqref="A20">
    <cfRule type="expression" dxfId="341" priority="429" stopIfTrue="1">
      <formula>IF(#REF!="Hưu",1,0)</formula>
    </cfRule>
    <cfRule type="expression" dxfId="340" priority="430" stopIfTrue="1">
      <formula>IF(#REF!="Quá",1,0)</formula>
    </cfRule>
  </conditionalFormatting>
  <conditionalFormatting sqref="BC23">
    <cfRule type="expression" dxfId="339" priority="327" stopIfTrue="1">
      <formula>IF(AZ23&gt;6,BA23,IF(AZ23&lt;7,BA23-1))</formula>
    </cfRule>
  </conditionalFormatting>
  <conditionalFormatting sqref="BE23">
    <cfRule type="expression" dxfId="338" priority="328" stopIfTrue="1">
      <formula>IF(BB23&gt;6,BC23,IF(BB23&lt;7,BC23-1))</formula>
    </cfRule>
  </conditionalFormatting>
  <conditionalFormatting sqref="AW23">
    <cfRule type="expression" dxfId="337" priority="324" stopIfTrue="1">
      <formula>12*(#REF!-AO23)+(#REF!-AL23)</formula>
    </cfRule>
  </conditionalFormatting>
  <conditionalFormatting sqref="BG23">
    <cfRule type="expression" dxfId="336" priority="319" stopIfTrue="1">
      <formula>IF(AND(#REF!&gt;0,#REF!&lt;5),1,0)</formula>
    </cfRule>
    <cfRule type="expression" dxfId="335" priority="320" stopIfTrue="1">
      <formula>IF(#REF!=5,1,0)</formula>
    </cfRule>
    <cfRule type="expression" dxfId="334" priority="321" stopIfTrue="1">
      <formula>IF(#REF!&gt;5,1,0)</formula>
    </cfRule>
  </conditionalFormatting>
  <conditionalFormatting sqref="BB23">
    <cfRule type="expression" dxfId="333" priority="322" stopIfTrue="1">
      <formula>IF(#REF!&gt;6,#REF!-6,IF(#REF!=6,12,IF(#REF!&lt;6,#REF!+6)))</formula>
    </cfRule>
  </conditionalFormatting>
  <conditionalFormatting sqref="AR23">
    <cfRule type="expression" dxfId="332" priority="323" stopIfTrue="1">
      <formula>12*(#REF!-#REF!)+(#REF!-#REF!)</formula>
    </cfRule>
  </conditionalFormatting>
  <conditionalFormatting sqref="A24:A32">
    <cfRule type="expression" dxfId="331" priority="325" stopIfTrue="1">
      <formula>IF(AY27="Hưu",1,0)</formula>
    </cfRule>
    <cfRule type="expression" dxfId="330" priority="326" stopIfTrue="1">
      <formula>IF(AY27="Quá",1,0)</formula>
    </cfRule>
  </conditionalFormatting>
  <conditionalFormatting sqref="A18">
    <cfRule type="expression" dxfId="329" priority="431" stopIfTrue="1">
      <formula>IF(#REF!="Hưu",1,0)</formula>
    </cfRule>
    <cfRule type="expression" dxfId="328" priority="432" stopIfTrue="1">
      <formula>IF(#REF!="Quá",1,0)</formula>
    </cfRule>
  </conditionalFormatting>
  <conditionalFormatting sqref="BC21:BC22 BC24:BC35">
    <cfRule type="expression" dxfId="327" priority="271" stopIfTrue="1">
      <formula>IF(AZ21&gt;6,BA21,IF(AZ21&lt;7,BA21-1))</formula>
    </cfRule>
  </conditionalFormatting>
  <conditionalFormatting sqref="BI21:BI22 BI24:BI35">
    <cfRule type="expression" dxfId="326" priority="272" stopIfTrue="1">
      <formula>IF(BJ21="Trên 45",1,0)</formula>
    </cfRule>
    <cfRule type="expression" dxfId="325" priority="273" stopIfTrue="1">
      <formula>IF(BJ21="30 - 45",1,0)</formula>
    </cfRule>
    <cfRule type="expression" dxfId="324" priority="274" stopIfTrue="1">
      <formula>IF(BJ21="Dưới 30",1,0)</formula>
    </cfRule>
  </conditionalFormatting>
  <conditionalFormatting sqref="AS21:AS22 CU21:CU22 CU24:CU35 AS24:AS35">
    <cfRule type="expression" dxfId="323" priority="275" stopIfTrue="1">
      <formula>IF(AT21&gt;0,1,0)</formula>
    </cfRule>
    <cfRule type="expression" dxfId="322" priority="276" stopIfTrue="1">
      <formula>IF(AT21=0,1,0)</formula>
    </cfRule>
  </conditionalFormatting>
  <conditionalFormatting sqref="BE21:BE22 BE24:BE35">
    <cfRule type="expression" dxfId="321" priority="277" stopIfTrue="1">
      <formula>IF(BB21&gt;6,BC21,IF(BB21&lt;7,BC21-1))</formula>
    </cfRule>
  </conditionalFormatting>
  <conditionalFormatting sqref="AV21:AV22 CX21:CX22 CX24:CX35 AV24:AV35">
    <cfRule type="expression" dxfId="320" priority="283" stopIfTrue="1">
      <formula>IF(OR(AV21=0.36),1,0)</formula>
    </cfRule>
    <cfRule type="expression" dxfId="319" priority="284" stopIfTrue="1">
      <formula>IF(AV21=0.34,1,0)</formula>
    </cfRule>
    <cfRule type="expression" dxfId="318" priority="285" stopIfTrue="1">
      <formula>IF(AV21&lt;0.33,1,0)</formula>
    </cfRule>
  </conditionalFormatting>
  <conditionalFormatting sqref="AY21:AY22 DA21:DA22 DA24:DA35 AY24:AY35">
    <cfRule type="cellIs" dxfId="317" priority="286" stopIfTrue="1" operator="between">
      <formula>"Hưu"</formula>
      <formula>"Hưu"</formula>
    </cfRule>
    <cfRule type="cellIs" dxfId="316" priority="287" stopIfTrue="1" operator="between">
      <formula>"---"</formula>
      <formula>"---"</formula>
    </cfRule>
    <cfRule type="cellIs" dxfId="315" priority="288" stopIfTrue="1" operator="between">
      <formula>"Quá"</formula>
      <formula>"Quá"</formula>
    </cfRule>
  </conditionalFormatting>
  <conditionalFormatting sqref="AU21:AU22 CW21:CW22 CW24:CW35 AU24:AU35">
    <cfRule type="expression" dxfId="314" priority="289" stopIfTrue="1">
      <formula>IF(OR(AU21=5.57,AU21=6.2),1,0)</formula>
    </cfRule>
    <cfRule type="expression" dxfId="313" priority="290" stopIfTrue="1">
      <formula>IF(OR(AU21=4,AU21=4.4),1,0)</formula>
    </cfRule>
    <cfRule type="expression" dxfId="312" priority="291" stopIfTrue="1">
      <formula>IF(AND(AU21&gt;0.9,AU21&lt;2.34),1,0)</formula>
    </cfRule>
  </conditionalFormatting>
  <conditionalFormatting sqref="AQ21:AQ22 CS21:CS22 CS24:CS35 AQ24:AQ35">
    <cfRule type="cellIs" dxfId="311" priority="292" stopIfTrue="1" operator="between">
      <formula>1</formula>
      <formula>1</formula>
    </cfRule>
    <cfRule type="cellIs" dxfId="310" priority="293" stopIfTrue="1" operator="between">
      <formula>2</formula>
      <formula>2</formula>
    </cfRule>
    <cfRule type="cellIs" dxfId="309" priority="294" stopIfTrue="1" operator="between">
      <formula>3</formula>
      <formula>3</formula>
    </cfRule>
  </conditionalFormatting>
  <conditionalFormatting sqref="AT21:AT22 CV21:CV22 CV24:CV35 AT24:AT35">
    <cfRule type="expression" dxfId="308" priority="295" stopIfTrue="1">
      <formula>IF(AT21&gt;0,1,0)</formula>
    </cfRule>
    <cfRule type="expression" dxfId="307" priority="296" stopIfTrue="1">
      <formula>IF(AT21&lt;1,1,0)</formula>
    </cfRule>
  </conditionalFormatting>
  <conditionalFormatting sqref="AP21:AP22 CR21:CR22 CR24:CR35 AP24:AP35">
    <cfRule type="cellIs" dxfId="306" priority="297" stopIfTrue="1" operator="between">
      <formula>"Đến"</formula>
      <formula>"Đến"</formula>
    </cfRule>
    <cfRule type="cellIs" dxfId="305" priority="298" stopIfTrue="1" operator="between">
      <formula>"Quá"</formula>
      <formula>"Quá"</formula>
    </cfRule>
    <cfRule type="expression" dxfId="304" priority="299" stopIfTrue="1">
      <formula>IF(OR(AP21="Lương Sớm Hưu",AP21="Nâng Ngạch Hưu"),1,0)</formula>
    </cfRule>
  </conditionalFormatting>
  <conditionalFormatting sqref="AZ21:BA22 J21:M22 F21:F22 DB21:DC22 DB24:DC35 F24:F35 J24:M35 AZ24:BA35">
    <cfRule type="expression" dxfId="303" priority="300" stopIfTrue="1">
      <formula>IF(F21&gt;0,1,0)</formula>
    </cfRule>
  </conditionalFormatting>
  <conditionalFormatting sqref="AO21:AO22 CQ21:CQ22 CQ24:CQ35 AO24:AO35">
    <cfRule type="cellIs" dxfId="302" priority="301" stopIfTrue="1" operator="between">
      <formula>"B"</formula>
      <formula>"B"</formula>
    </cfRule>
    <cfRule type="cellIs" dxfId="301" priority="302" stopIfTrue="1" operator="between">
      <formula>"C"</formula>
      <formula>"C"</formula>
    </cfRule>
    <cfRule type="cellIs" dxfId="300" priority="303" stopIfTrue="1" operator="between">
      <formula>"D"</formula>
      <formula>"D"</formula>
    </cfRule>
  </conditionalFormatting>
  <conditionalFormatting sqref="AN21:AN22 CP21:CP22 CP24:CP35 AN24:AN35">
    <cfRule type="cellIs" dxfId="299" priority="304" stopIfTrue="1" operator="between">
      <formula>"công chức, viên chức"</formula>
      <formula>"công chức, viên chức"</formula>
    </cfRule>
    <cfRule type="cellIs" dxfId="298" priority="305" stopIfTrue="1" operator="between">
      <formula>"lao động hợp đồng"</formula>
      <formula>"lao động hợp đồng"</formula>
    </cfRule>
  </conditionalFormatting>
  <conditionalFormatting sqref="AX21:AX22 CZ21:CZ22 CZ24:CZ35 AX24:AX35">
    <cfRule type="expression" dxfId="297" priority="306" stopIfTrue="1">
      <formula>IF(AX21="Nâg Ngạch sau TB",1,0)</formula>
    </cfRule>
    <cfRule type="expression" dxfId="296" priority="307" stopIfTrue="1">
      <formula>IF(AX21="Nâg Lươg Sớm sau TB",1,0)</formula>
    </cfRule>
    <cfRule type="expression" dxfId="295" priority="308" stopIfTrue="1">
      <formula>IF(AX21="Nâg PC TNVK cùng QĐ",1,0)</formula>
    </cfRule>
  </conditionalFormatting>
  <conditionalFormatting sqref="AL21:AL22 CO21:CO22 CO24:CO35 AL24:AL35">
    <cfRule type="expression" dxfId="294" priority="309" stopIfTrue="1">
      <formula>IF(AL21=0,1,0)</formula>
    </cfRule>
    <cfRule type="expression" dxfId="293" priority="310" stopIfTrue="1">
      <formula>IF(AL21&gt;0,1,0)</formula>
    </cfRule>
  </conditionalFormatting>
  <conditionalFormatting sqref="BJ21:BJ22 BJ24:BJ35">
    <cfRule type="expression" dxfId="292" priority="278" stopIfTrue="1">
      <formula>IF(BJ21="Trên 45",1,0)</formula>
    </cfRule>
    <cfRule type="expression" dxfId="291" priority="279" stopIfTrue="1">
      <formula>IF(BJ21="30 - 45",1,0)</formula>
    </cfRule>
    <cfRule type="expression" dxfId="290" priority="280" stopIfTrue="1">
      <formula>IF(BJ21="Dưới 30",1,0)</formula>
    </cfRule>
  </conditionalFormatting>
  <conditionalFormatting sqref="BL21:BL22 BL24:BL35">
    <cfRule type="cellIs" dxfId="289" priority="281" stopIfTrue="1" operator="between">
      <formula>"Có hạn"</formula>
      <formula>"Có hạn"</formula>
    </cfRule>
    <cfRule type="cellIs" dxfId="288" priority="282" stopIfTrue="1" operator="between">
      <formula>"Ko hạn"</formula>
      <formula>"Ko hạn"</formula>
    </cfRule>
  </conditionalFormatting>
  <conditionalFormatting sqref="BD21:BD22 BD24:BD35">
    <cfRule type="expression" dxfId="287" priority="311" stopIfTrue="1">
      <formula>IF(#REF!&gt;6,#REF!-6,IF(#REF!=6,12,IF(#REF!&lt;6,#REF!+6)))</formula>
    </cfRule>
  </conditionalFormatting>
  <conditionalFormatting sqref="BF21:BF22 BF24:BF35">
    <cfRule type="cellIs" dxfId="286" priority="312" stopIfTrue="1" operator="between">
      <formula>"-"</formula>
      <formula>"-"</formula>
    </cfRule>
    <cfRule type="cellIs" dxfId="285" priority="313" stopIfTrue="1" operator="between">
      <formula>1</formula>
      <formula>40</formula>
    </cfRule>
  </conditionalFormatting>
  <conditionalFormatting sqref="P21:T22 P24:T35">
    <cfRule type="expression" dxfId="284" priority="314" stopIfTrue="1">
      <formula>IF(P21="A0-CĐ",1,0)</formula>
    </cfRule>
    <cfRule type="expression" dxfId="283" priority="315" stopIfTrue="1">
      <formula>IF(P21="B-TC",1,0)</formula>
    </cfRule>
    <cfRule type="expression" dxfId="282" priority="316" stopIfTrue="1">
      <formula>IF(P21="C-NV",1,0)</formula>
    </cfRule>
  </conditionalFormatting>
  <conditionalFormatting sqref="AM21:AM22 AM24:AM35">
    <cfRule type="cellIs" dxfId="281" priority="317" stopIfTrue="1" operator="between">
      <formula>"CC,VC"</formula>
      <formula>"CC,VC"</formula>
    </cfRule>
    <cfRule type="cellIs" dxfId="280" priority="318" stopIfTrue="1" operator="between">
      <formula>"LĐHĐ"</formula>
      <formula>"LĐHĐ"</formula>
    </cfRule>
  </conditionalFormatting>
  <conditionalFormatting sqref="AW21:AW22 AW24:AW35">
    <cfRule type="expression" dxfId="279" priority="270" stopIfTrue="1">
      <formula>12*(#REF!-AO21)+(#REF!-AL21)</formula>
    </cfRule>
  </conditionalFormatting>
  <conditionalFormatting sqref="CT21:CT22 CT24:CT35">
    <cfRule type="expression" dxfId="278" priority="268" stopIfTrue="1">
      <formula>12*(#REF!-CM21)+(#REF!-CK21)</formula>
    </cfRule>
  </conditionalFormatting>
  <conditionalFormatting sqref="CY21:CY22 CY24:CY35">
    <cfRule type="expression" dxfId="277" priority="269" stopIfTrue="1">
      <formula>12*(#REF!-CQ21)+(#REF!-CO21)</formula>
    </cfRule>
  </conditionalFormatting>
  <conditionalFormatting sqref="BG21:BG22 BG24:BG35">
    <cfRule type="expression" dxfId="276" priority="263" stopIfTrue="1">
      <formula>IF(AND(#REF!&gt;0,#REF!&lt;5),1,0)</formula>
    </cfRule>
    <cfRule type="expression" dxfId="275" priority="264" stopIfTrue="1">
      <formula>IF(#REF!=5,1,0)</formula>
    </cfRule>
    <cfRule type="expression" dxfId="274" priority="265" stopIfTrue="1">
      <formula>IF(#REF!&gt;5,1,0)</formula>
    </cfRule>
  </conditionalFormatting>
  <conditionalFormatting sqref="BB21:BB22 BB24:BB35">
    <cfRule type="expression" dxfId="273" priority="266" stopIfTrue="1">
      <formula>IF(#REF!&gt;6,#REF!-6,IF(#REF!=6,12,IF(#REF!&lt;6,#REF!+6)))</formula>
    </cfRule>
  </conditionalFormatting>
  <conditionalFormatting sqref="AR21:AR22 AR24:AR35">
    <cfRule type="expression" dxfId="272" priority="267" stopIfTrue="1">
      <formula>12*(#REF!-#REF!)+(#REF!-#REF!)</formula>
    </cfRule>
  </conditionalFormatting>
  <conditionalFormatting sqref="BC19">
    <cfRule type="expression" dxfId="271" priority="213" stopIfTrue="1">
      <formula>IF(AZ19&gt;6,BA19,IF(AZ19&lt;7,BA19-1))</formula>
    </cfRule>
  </conditionalFormatting>
  <conditionalFormatting sqref="BI19">
    <cfRule type="expression" dxfId="270" priority="214" stopIfTrue="1">
      <formula>IF(BJ19="Trên 45",1,0)</formula>
    </cfRule>
    <cfRule type="expression" dxfId="269" priority="215" stopIfTrue="1">
      <formula>IF(BJ19="30 - 45",1,0)</formula>
    </cfRule>
    <cfRule type="expression" dxfId="268" priority="216" stopIfTrue="1">
      <formula>IF(BJ19="Dưới 30",1,0)</formula>
    </cfRule>
  </conditionalFormatting>
  <conditionalFormatting sqref="AS19 CU19">
    <cfRule type="expression" dxfId="267" priority="217" stopIfTrue="1">
      <formula>IF(AT19&gt;0,1,0)</formula>
    </cfRule>
    <cfRule type="expression" dxfId="266" priority="218" stopIfTrue="1">
      <formula>IF(AT19=0,1,0)</formula>
    </cfRule>
  </conditionalFormatting>
  <conditionalFormatting sqref="BE19">
    <cfRule type="expression" dxfId="265" priority="219" stopIfTrue="1">
      <formula>IF(BB19&gt;6,BC19,IF(BB19&lt;7,BC19-1))</formula>
    </cfRule>
  </conditionalFormatting>
  <conditionalFormatting sqref="AV19 CX19">
    <cfRule type="expression" dxfId="264" priority="225" stopIfTrue="1">
      <formula>IF(OR(AV19=0.36),1,0)</formula>
    </cfRule>
    <cfRule type="expression" dxfId="263" priority="226" stopIfTrue="1">
      <formula>IF(AV19=0.34,1,0)</formula>
    </cfRule>
    <cfRule type="expression" dxfId="262" priority="227" stopIfTrue="1">
      <formula>IF(AV19&lt;0.33,1,0)</formula>
    </cfRule>
  </conditionalFormatting>
  <conditionalFormatting sqref="AY19 DA19">
    <cfRule type="cellIs" dxfId="261" priority="228" stopIfTrue="1" operator="between">
      <formula>"Hưu"</formula>
      <formula>"Hưu"</formula>
    </cfRule>
    <cfRule type="cellIs" dxfId="260" priority="229" stopIfTrue="1" operator="between">
      <formula>"---"</formula>
      <formula>"---"</formula>
    </cfRule>
    <cfRule type="cellIs" dxfId="259" priority="230" stopIfTrue="1" operator="between">
      <formula>"Quá"</formula>
      <formula>"Quá"</formula>
    </cfRule>
  </conditionalFormatting>
  <conditionalFormatting sqref="AU19 CW19">
    <cfRule type="expression" dxfId="258" priority="231" stopIfTrue="1">
      <formula>IF(OR(AU19=5.57,AU19=6.2),1,0)</formula>
    </cfRule>
    <cfRule type="expression" dxfId="257" priority="232" stopIfTrue="1">
      <formula>IF(OR(AU19=4,AU19=4.4),1,0)</formula>
    </cfRule>
    <cfRule type="expression" dxfId="256" priority="233" stopIfTrue="1">
      <formula>IF(AND(AU19&gt;0.9,AU19&lt;2.34),1,0)</formula>
    </cfRule>
  </conditionalFormatting>
  <conditionalFormatting sqref="AQ19 CS19">
    <cfRule type="cellIs" dxfId="255" priority="234" stopIfTrue="1" operator="between">
      <formula>1</formula>
      <formula>1</formula>
    </cfRule>
    <cfRule type="cellIs" dxfId="254" priority="235" stopIfTrue="1" operator="between">
      <formula>2</formula>
      <formula>2</formula>
    </cfRule>
    <cfRule type="cellIs" dxfId="253" priority="236" stopIfTrue="1" operator="between">
      <formula>3</formula>
      <formula>3</formula>
    </cfRule>
  </conditionalFormatting>
  <conditionalFormatting sqref="AT19 CV19">
    <cfRule type="expression" dxfId="252" priority="237" stopIfTrue="1">
      <formula>IF(AT19&gt;0,1,0)</formula>
    </cfRule>
    <cfRule type="expression" dxfId="251" priority="238" stopIfTrue="1">
      <formula>IF(AT19&lt;1,1,0)</formula>
    </cfRule>
  </conditionalFormatting>
  <conditionalFormatting sqref="AP19 CR19">
    <cfRule type="cellIs" dxfId="250" priority="239" stopIfTrue="1" operator="between">
      <formula>"Đến"</formula>
      <formula>"Đến"</formula>
    </cfRule>
    <cfRule type="cellIs" dxfId="249" priority="240" stopIfTrue="1" operator="between">
      <formula>"Quá"</formula>
      <formula>"Quá"</formula>
    </cfRule>
    <cfRule type="expression" dxfId="248" priority="241" stopIfTrue="1">
      <formula>IF(OR(AP19="Lương Sớm Hưu",AP19="Nâng Ngạch Hưu"),1,0)</formula>
    </cfRule>
  </conditionalFormatting>
  <conditionalFormatting sqref="AZ19:BA19 J19:M19 F19 DB19:DC19">
    <cfRule type="expression" dxfId="247" priority="242" stopIfTrue="1">
      <formula>IF(F19&gt;0,1,0)</formula>
    </cfRule>
  </conditionalFormatting>
  <conditionalFormatting sqref="AO19 CQ19">
    <cfRule type="cellIs" dxfId="246" priority="243" stopIfTrue="1" operator="between">
      <formula>"B"</formula>
      <formula>"B"</formula>
    </cfRule>
    <cfRule type="cellIs" dxfId="245" priority="244" stopIfTrue="1" operator="between">
      <formula>"C"</formula>
      <formula>"C"</formula>
    </cfRule>
    <cfRule type="cellIs" dxfId="244" priority="245" stopIfTrue="1" operator="between">
      <formula>"D"</formula>
      <formula>"D"</formula>
    </cfRule>
  </conditionalFormatting>
  <conditionalFormatting sqref="AN19 CP19">
    <cfRule type="cellIs" dxfId="243" priority="246" stopIfTrue="1" operator="between">
      <formula>"công chức, viên chức"</formula>
      <formula>"công chức, viên chức"</formula>
    </cfRule>
    <cfRule type="cellIs" dxfId="242" priority="247" stopIfTrue="1" operator="between">
      <formula>"lao động hợp đồng"</formula>
      <formula>"lao động hợp đồng"</formula>
    </cfRule>
  </conditionalFormatting>
  <conditionalFormatting sqref="AX19 CZ19">
    <cfRule type="expression" dxfId="241" priority="248" stopIfTrue="1">
      <formula>IF(AX19="Nâg Ngạch sau TB",1,0)</formula>
    </cfRule>
    <cfRule type="expression" dxfId="240" priority="249" stopIfTrue="1">
      <formula>IF(AX19="Nâg Lươg Sớm sau TB",1,0)</formula>
    </cfRule>
    <cfRule type="expression" dxfId="239" priority="250" stopIfTrue="1">
      <formula>IF(AX19="Nâg PC TNVK cùng QĐ",1,0)</formula>
    </cfRule>
  </conditionalFormatting>
  <conditionalFormatting sqref="AL19 CO19">
    <cfRule type="expression" dxfId="238" priority="251" stopIfTrue="1">
      <formula>IF(AL19=0,1,0)</formula>
    </cfRule>
    <cfRule type="expression" dxfId="237" priority="252" stopIfTrue="1">
      <formula>IF(AL19&gt;0,1,0)</formula>
    </cfRule>
  </conditionalFormatting>
  <conditionalFormatting sqref="BJ19">
    <cfRule type="expression" dxfId="236" priority="220" stopIfTrue="1">
      <formula>IF(BJ19="Trên 45",1,0)</formula>
    </cfRule>
    <cfRule type="expression" dxfId="235" priority="221" stopIfTrue="1">
      <formula>IF(BJ19="30 - 45",1,0)</formula>
    </cfRule>
    <cfRule type="expression" dxfId="234" priority="222" stopIfTrue="1">
      <formula>IF(BJ19="Dưới 30",1,0)</formula>
    </cfRule>
  </conditionalFormatting>
  <conditionalFormatting sqref="BL19">
    <cfRule type="cellIs" dxfId="233" priority="223" stopIfTrue="1" operator="between">
      <formula>"Có hạn"</formula>
      <formula>"Có hạn"</formula>
    </cfRule>
    <cfRule type="cellIs" dxfId="232" priority="224" stopIfTrue="1" operator="between">
      <formula>"Ko hạn"</formula>
      <formula>"Ko hạn"</formula>
    </cfRule>
  </conditionalFormatting>
  <conditionalFormatting sqref="BD19">
    <cfRule type="expression" dxfId="231" priority="253" stopIfTrue="1">
      <formula>IF(#REF!&gt;6,#REF!-6,IF(#REF!=6,12,IF(#REF!&lt;6,#REF!+6)))</formula>
    </cfRule>
  </conditionalFormatting>
  <conditionalFormatting sqref="BF19">
    <cfRule type="cellIs" dxfId="230" priority="254" stopIfTrue="1" operator="between">
      <formula>"-"</formula>
      <formula>"-"</formula>
    </cfRule>
    <cfRule type="cellIs" dxfId="229" priority="255" stopIfTrue="1" operator="between">
      <formula>1</formula>
      <formula>40</formula>
    </cfRule>
  </conditionalFormatting>
  <conditionalFormatting sqref="P19:T19">
    <cfRule type="expression" dxfId="228" priority="256" stopIfTrue="1">
      <formula>IF(P19="A0-CĐ",1,0)</formula>
    </cfRule>
    <cfRule type="expression" dxfId="227" priority="257" stopIfTrue="1">
      <formula>IF(P19="B-TC",1,0)</formula>
    </cfRule>
    <cfRule type="expression" dxfId="226" priority="258" stopIfTrue="1">
      <formula>IF(P19="C-NV",1,0)</formula>
    </cfRule>
  </conditionalFormatting>
  <conditionalFormatting sqref="AM19">
    <cfRule type="cellIs" dxfId="225" priority="259" stopIfTrue="1" operator="between">
      <formula>"CC,VC"</formula>
      <formula>"CC,VC"</formula>
    </cfRule>
    <cfRule type="cellIs" dxfId="224" priority="260" stopIfTrue="1" operator="between">
      <formula>"LĐHĐ"</formula>
      <formula>"LĐHĐ"</formula>
    </cfRule>
  </conditionalFormatting>
  <conditionalFormatting sqref="AW19">
    <cfRule type="expression" dxfId="223" priority="212" stopIfTrue="1">
      <formula>12*(#REF!-AO19)+(#REF!-AL19)</formula>
    </cfRule>
  </conditionalFormatting>
  <conditionalFormatting sqref="CT19">
    <cfRule type="expression" dxfId="222" priority="210" stopIfTrue="1">
      <formula>12*(#REF!-CM19)+(#REF!-CK19)</formula>
    </cfRule>
  </conditionalFormatting>
  <conditionalFormatting sqref="CY19">
    <cfRule type="expression" dxfId="221" priority="211" stopIfTrue="1">
      <formula>12*(#REF!-CQ19)+(#REF!-CO19)</formula>
    </cfRule>
  </conditionalFormatting>
  <conditionalFormatting sqref="BG19">
    <cfRule type="expression" dxfId="220" priority="205" stopIfTrue="1">
      <formula>IF(AND(#REF!&gt;0,#REF!&lt;5),1,0)</formula>
    </cfRule>
    <cfRule type="expression" dxfId="219" priority="206" stopIfTrue="1">
      <formula>IF(#REF!=5,1,0)</formula>
    </cfRule>
    <cfRule type="expression" dxfId="218" priority="207" stopIfTrue="1">
      <formula>IF(#REF!&gt;5,1,0)</formula>
    </cfRule>
  </conditionalFormatting>
  <conditionalFormatting sqref="BB19">
    <cfRule type="expression" dxfId="217" priority="208" stopIfTrue="1">
      <formula>IF(#REF!&gt;6,#REF!-6,IF(#REF!=6,12,IF(#REF!&lt;6,#REF!+6)))</formula>
    </cfRule>
  </conditionalFormatting>
  <conditionalFormatting sqref="AR19">
    <cfRule type="expression" dxfId="216" priority="209" stopIfTrue="1">
      <formula>12*(#REF!-#REF!)+(#REF!-#REF!)</formula>
    </cfRule>
  </conditionalFormatting>
  <conditionalFormatting sqref="A19">
    <cfRule type="expression" dxfId="215" priority="261" stopIfTrue="1">
      <formula>IF(AY21="Hưu",1,0)</formula>
    </cfRule>
    <cfRule type="expression" dxfId="214" priority="262" stopIfTrue="1">
      <formula>IF(AY21="Quá",1,0)</formula>
    </cfRule>
  </conditionalFormatting>
  <conditionalFormatting sqref="BJ12">
    <cfRule type="expression" dxfId="213" priority="163" stopIfTrue="1">
      <formula>IF(BK12="Trên 45",1,0)</formula>
    </cfRule>
    <cfRule type="expression" dxfId="212" priority="164" stopIfTrue="1">
      <formula>IF(BK12="30 - 45",1,0)</formula>
    </cfRule>
    <cfRule type="expression" dxfId="211" priority="165" stopIfTrue="1">
      <formula>IF(BK12="Dưới 30",1,0)</formula>
    </cfRule>
  </conditionalFormatting>
  <conditionalFormatting sqref="CV12">
    <cfRule type="expression" dxfId="210" priority="166" stopIfTrue="1">
      <formula>IF(CW12&gt;0,1,0)</formula>
    </cfRule>
    <cfRule type="expression" dxfId="209" priority="167" stopIfTrue="1">
      <formula>IF(CW12=0,1,0)</formula>
    </cfRule>
  </conditionalFormatting>
  <conditionalFormatting sqref="BI12">
    <cfRule type="cellIs" dxfId="208" priority="168" stopIfTrue="1" operator="between">
      <formula>"720"</formula>
      <formula>"720"</formula>
    </cfRule>
    <cfRule type="cellIs" dxfId="207" priority="169" stopIfTrue="1" operator="between">
      <formula>"660"</formula>
      <formula>"660"</formula>
    </cfRule>
  </conditionalFormatting>
  <conditionalFormatting sqref="CY12">
    <cfRule type="expression" dxfId="206" priority="175" stopIfTrue="1">
      <formula>IF(OR(CY12=0.36),1,0)</formula>
    </cfRule>
    <cfRule type="expression" dxfId="205" priority="176" stopIfTrue="1">
      <formula>IF(CY12=0.34,1,0)</formula>
    </cfRule>
    <cfRule type="expression" dxfId="204" priority="177" stopIfTrue="1">
      <formula>IF(CY12&lt;0.33,1,0)</formula>
    </cfRule>
  </conditionalFormatting>
  <conditionalFormatting sqref="DB12">
    <cfRule type="cellIs" dxfId="203" priority="178" stopIfTrue="1" operator="between">
      <formula>"Hưu"</formula>
      <formula>"Hưu"</formula>
    </cfRule>
    <cfRule type="cellIs" dxfId="202" priority="179" stopIfTrue="1" operator="between">
      <formula>"---"</formula>
      <formula>"---"</formula>
    </cfRule>
    <cfRule type="cellIs" dxfId="201" priority="180" stopIfTrue="1" operator="between">
      <formula>"Quá"</formula>
      <formula>"Quá"</formula>
    </cfRule>
  </conditionalFormatting>
  <conditionalFormatting sqref="CX12">
    <cfRule type="expression" dxfId="200" priority="181" stopIfTrue="1">
      <formula>IF(OR(CX12=5.57,CX12=6.2),1,0)</formula>
    </cfRule>
    <cfRule type="expression" dxfId="199" priority="182" stopIfTrue="1">
      <formula>IF(OR(CX12=4,CX12=4.4),1,0)</formula>
    </cfRule>
    <cfRule type="expression" dxfId="198" priority="183" stopIfTrue="1">
      <formula>IF(AND(CX12&gt;0.9,CX12&lt;2.34),1,0)</formula>
    </cfRule>
  </conditionalFormatting>
  <conditionalFormatting sqref="CT12">
    <cfRule type="cellIs" dxfId="197" priority="184" stopIfTrue="1" operator="between">
      <formula>1</formula>
      <formula>1</formula>
    </cfRule>
    <cfRule type="cellIs" dxfId="196" priority="185" stopIfTrue="1" operator="between">
      <formula>2</formula>
      <formula>2</formula>
    </cfRule>
    <cfRule type="cellIs" dxfId="195" priority="186" stopIfTrue="1" operator="between">
      <formula>3</formula>
      <formula>3</formula>
    </cfRule>
  </conditionalFormatting>
  <conditionalFormatting sqref="CW12">
    <cfRule type="expression" dxfId="194" priority="187" stopIfTrue="1">
      <formula>IF(CW12&gt;0,1,0)</formula>
    </cfRule>
    <cfRule type="expression" dxfId="193" priority="188" stopIfTrue="1">
      <formula>IF(CW12&lt;1,1,0)</formula>
    </cfRule>
  </conditionalFormatting>
  <conditionalFormatting sqref="CS12">
    <cfRule type="cellIs" dxfId="192" priority="189" stopIfTrue="1" operator="between">
      <formula>"Đến"</formula>
      <formula>"Đến"</formula>
    </cfRule>
    <cfRule type="cellIs" dxfId="191" priority="190" stopIfTrue="1" operator="between">
      <formula>"Quá"</formula>
      <formula>"Quá"</formula>
    </cfRule>
    <cfRule type="expression" dxfId="190" priority="191" stopIfTrue="1">
      <formula>IF(OR(CS12="Lương Sớm Hưu",CS12="Nâng Ngạch Hưu"),1,0)</formula>
    </cfRule>
  </conditionalFormatting>
  <conditionalFormatting sqref="DC12:DD12">
    <cfRule type="expression" dxfId="189" priority="192" stopIfTrue="1">
      <formula>IF(DC12&gt;0,1,0)</formula>
    </cfRule>
  </conditionalFormatting>
  <conditionalFormatting sqref="CR12">
    <cfRule type="cellIs" dxfId="188" priority="193" stopIfTrue="1" operator="between">
      <formula>"B"</formula>
      <formula>"B"</formula>
    </cfRule>
    <cfRule type="cellIs" dxfId="187" priority="194" stopIfTrue="1" operator="between">
      <formula>"C"</formula>
      <formula>"C"</formula>
    </cfRule>
    <cfRule type="cellIs" dxfId="186" priority="195" stopIfTrue="1" operator="between">
      <formula>"D"</formula>
      <formula>"D"</formula>
    </cfRule>
  </conditionalFormatting>
  <conditionalFormatting sqref="CQ12">
    <cfRule type="cellIs" dxfId="185" priority="196" stopIfTrue="1" operator="between">
      <formula>"công chức, viên chức"</formula>
      <formula>"công chức, viên chức"</formula>
    </cfRule>
    <cfRule type="cellIs" dxfId="184" priority="197" stopIfTrue="1" operator="between">
      <formula>"lao động hợp đồng"</formula>
      <formula>"lao động hợp đồng"</formula>
    </cfRule>
  </conditionalFormatting>
  <conditionalFormatting sqref="DA12">
    <cfRule type="expression" dxfId="183" priority="198" stopIfTrue="1">
      <formula>IF(DA12="Nâg Ngạch sau TB",1,0)</formula>
    </cfRule>
    <cfRule type="expression" dxfId="182" priority="199" stopIfTrue="1">
      <formula>IF(DA12="Nâg Lươg Sớm sau TB",1,0)</formula>
    </cfRule>
    <cfRule type="expression" dxfId="181" priority="200" stopIfTrue="1">
      <formula>IF(DA12="Nâg PC TNVK cùng QĐ",1,0)</formula>
    </cfRule>
  </conditionalFormatting>
  <conditionalFormatting sqref="CP12">
    <cfRule type="expression" dxfId="180" priority="201" stopIfTrue="1">
      <formula>IF(CP12=0,1,0)</formula>
    </cfRule>
    <cfRule type="expression" dxfId="179" priority="202" stopIfTrue="1">
      <formula>IF(CP12&gt;0,1,0)</formula>
    </cfRule>
  </conditionalFormatting>
  <conditionalFormatting sqref="BK12">
    <cfRule type="expression" dxfId="178" priority="170" stopIfTrue="1">
      <formula>IF(BK12="Trên 45",1,0)</formula>
    </cfRule>
    <cfRule type="expression" dxfId="177" priority="171" stopIfTrue="1">
      <formula>IF(BK12="30 - 45",1,0)</formula>
    </cfRule>
    <cfRule type="expression" dxfId="176" priority="172" stopIfTrue="1">
      <formula>IF(BK12="Dưới 30",1,0)</formula>
    </cfRule>
  </conditionalFormatting>
  <conditionalFormatting sqref="BM12">
    <cfRule type="cellIs" dxfId="175" priority="173" stopIfTrue="1" operator="between">
      <formula>"Có hạn"</formula>
      <formula>"Có hạn"</formula>
    </cfRule>
    <cfRule type="cellIs" dxfId="174" priority="174" stopIfTrue="1" operator="between">
      <formula>"Ko hạn"</formula>
      <formula>"Ko hạn"</formula>
    </cfRule>
  </conditionalFormatting>
  <conditionalFormatting sqref="CX14:CX16">
    <cfRule type="expression" dxfId="173" priority="135" stopIfTrue="1">
      <formula>IF(OR(CX14=0.36),1,0)</formula>
    </cfRule>
    <cfRule type="expression" dxfId="172" priority="136" stopIfTrue="1">
      <formula>IF(CX14=0.34,1,0)</formula>
    </cfRule>
    <cfRule type="expression" dxfId="171" priority="137" stopIfTrue="1">
      <formula>IF(CX14&lt;0.33,1,0)</formula>
    </cfRule>
  </conditionalFormatting>
  <conditionalFormatting sqref="DA14:DA16">
    <cfRule type="cellIs" dxfId="170" priority="138" stopIfTrue="1" operator="between">
      <formula>"Hưu"</formula>
      <formula>"Hưu"</formula>
    </cfRule>
    <cfRule type="cellIs" dxfId="169" priority="139" stopIfTrue="1" operator="between">
      <formula>"---"</formula>
      <formula>"---"</formula>
    </cfRule>
    <cfRule type="cellIs" dxfId="168" priority="140" stopIfTrue="1" operator="between">
      <formula>"Quá"</formula>
      <formula>"Quá"</formula>
    </cfRule>
  </conditionalFormatting>
  <conditionalFormatting sqref="CW14:CW16">
    <cfRule type="expression" dxfId="167" priority="141" stopIfTrue="1">
      <formula>IF(OR(CW14=5.57,CW14=6.2),1,0)</formula>
    </cfRule>
    <cfRule type="expression" dxfId="166" priority="142" stopIfTrue="1">
      <formula>IF(OR(CW14=4,CW14=4.4),1,0)</formula>
    </cfRule>
    <cfRule type="expression" dxfId="165" priority="143" stopIfTrue="1">
      <formula>IF(AND(CW14&gt;0.9,CW14&lt;2.34),1,0)</formula>
    </cfRule>
  </conditionalFormatting>
  <conditionalFormatting sqref="CS14:CS16">
    <cfRule type="cellIs" dxfId="164" priority="144" stopIfTrue="1" operator="between">
      <formula>1</formula>
      <formula>1</formula>
    </cfRule>
    <cfRule type="cellIs" dxfId="163" priority="145" stopIfTrue="1" operator="between">
      <formula>2</formula>
      <formula>2</formula>
    </cfRule>
    <cfRule type="cellIs" dxfId="162" priority="146" stopIfTrue="1" operator="between">
      <formula>3</formula>
      <formula>3</formula>
    </cfRule>
  </conditionalFormatting>
  <conditionalFormatting sqref="CV14:CV16">
    <cfRule type="expression" dxfId="161" priority="147" stopIfTrue="1">
      <formula>IF(CV14&gt;0,1,0)</formula>
    </cfRule>
    <cfRule type="expression" dxfId="160" priority="148" stopIfTrue="1">
      <formula>IF(CV14&lt;1,1,0)</formula>
    </cfRule>
  </conditionalFormatting>
  <conditionalFormatting sqref="CR14:CR16">
    <cfRule type="cellIs" dxfId="159" priority="149" stopIfTrue="1" operator="between">
      <formula>"Đến"</formula>
      <formula>"Đến"</formula>
    </cfRule>
    <cfRule type="cellIs" dxfId="158" priority="150" stopIfTrue="1" operator="between">
      <formula>"Quá"</formula>
      <formula>"Quá"</formula>
    </cfRule>
    <cfRule type="expression" dxfId="157" priority="151" stopIfTrue="1">
      <formula>IF(OR(CR14="Lương Sớm Hưu",CR14="Nâng Ngạch Hưu"),1,0)</formula>
    </cfRule>
  </conditionalFormatting>
  <conditionalFormatting sqref="DB14:DC16">
    <cfRule type="expression" dxfId="156" priority="152" stopIfTrue="1">
      <formula>IF(DB14&gt;0,1,0)</formula>
    </cfRule>
  </conditionalFormatting>
  <conditionalFormatting sqref="CQ14:CQ16">
    <cfRule type="cellIs" dxfId="155" priority="153" stopIfTrue="1" operator="between">
      <formula>"B"</formula>
      <formula>"B"</formula>
    </cfRule>
    <cfRule type="cellIs" dxfId="154" priority="154" stopIfTrue="1" operator="between">
      <formula>"C"</formula>
      <formula>"C"</formula>
    </cfRule>
    <cfRule type="cellIs" dxfId="153" priority="155" stopIfTrue="1" operator="between">
      <formula>"D"</formula>
      <formula>"D"</formula>
    </cfRule>
  </conditionalFormatting>
  <conditionalFormatting sqref="CP14:CP16">
    <cfRule type="cellIs" dxfId="152" priority="156" stopIfTrue="1" operator="between">
      <formula>"công chức, viên chức"</formula>
      <formula>"công chức, viên chức"</formula>
    </cfRule>
    <cfRule type="cellIs" dxfId="151" priority="157" stopIfTrue="1" operator="between">
      <formula>"lao động hợp đồng"</formula>
      <formula>"lao động hợp đồng"</formula>
    </cfRule>
  </conditionalFormatting>
  <conditionalFormatting sqref="CZ14:CZ16">
    <cfRule type="expression" dxfId="150" priority="158" stopIfTrue="1">
      <formula>IF(CZ14="Nâg Ngạch sau TB",1,0)</formula>
    </cfRule>
    <cfRule type="expression" dxfId="149" priority="159" stopIfTrue="1">
      <formula>IF(CZ14="Nâg Lươg Sớm sau TB",1,0)</formula>
    </cfRule>
    <cfRule type="expression" dxfId="148" priority="160" stopIfTrue="1">
      <formula>IF(CZ14="Nâg PC TNVK cùng QĐ",1,0)</formula>
    </cfRule>
  </conditionalFormatting>
  <conditionalFormatting sqref="CO14:CO16">
    <cfRule type="expression" dxfId="147" priority="161" stopIfTrue="1">
      <formula>IF(CO14=0,1,0)</formula>
    </cfRule>
    <cfRule type="expression" dxfId="146" priority="162" stopIfTrue="1">
      <formula>IF(CO14&gt;0,1,0)</formula>
    </cfRule>
  </conditionalFormatting>
  <conditionalFormatting sqref="BJ14:BJ16">
    <cfRule type="expression" dxfId="145" priority="130" stopIfTrue="1">
      <formula>IF(BJ14="Trên 45",1,0)</formula>
    </cfRule>
    <cfRule type="expression" dxfId="144" priority="131" stopIfTrue="1">
      <formula>IF(BJ14="30 - 45",1,0)</formula>
    </cfRule>
    <cfRule type="expression" dxfId="143" priority="132" stopIfTrue="1">
      <formula>IF(BJ14="Dưới 30",1,0)</formula>
    </cfRule>
  </conditionalFormatting>
  <conditionalFormatting sqref="BL14:BL16">
    <cfRule type="cellIs" dxfId="142" priority="133" stopIfTrue="1" operator="between">
      <formula>"Có hạn"</formula>
      <formula>"Có hạn"</formula>
    </cfRule>
    <cfRule type="cellIs" dxfId="141" priority="134" stopIfTrue="1" operator="between">
      <formula>"Ko hạn"</formula>
      <formula>"Ko hạn"</formula>
    </cfRule>
  </conditionalFormatting>
  <conditionalFormatting sqref="A14:A16">
    <cfRule type="expression" dxfId="140" priority="203" stopIfTrue="1">
      <formula>IF(AY29="Hưu",1,0)</formula>
    </cfRule>
    <cfRule type="expression" dxfId="139" priority="204" stopIfTrue="1">
      <formula>IF(AY29="Quá",1,0)</formula>
    </cfRule>
  </conditionalFormatting>
  <conditionalFormatting sqref="CZ12">
    <cfRule type="expression" dxfId="138" priority="433" stopIfTrue="1">
      <formula>12*(#REF!-CR12)+(#REF!-CP12)</formula>
    </cfRule>
  </conditionalFormatting>
  <conditionalFormatting sqref="CU12">
    <cfRule type="expression" dxfId="137" priority="434" stopIfTrue="1">
      <formula>12*(#REF!-CN12)+(#REF!-CL12)</formula>
    </cfRule>
  </conditionalFormatting>
  <conditionalFormatting sqref="BI38:BI40">
    <cfRule type="expression" dxfId="136" priority="86" stopIfTrue="1">
      <formula>IF(BJ38="Trên 45",1,0)</formula>
    </cfRule>
    <cfRule type="expression" dxfId="135" priority="87" stopIfTrue="1">
      <formula>IF(BJ38="30 - 45",1,0)</formula>
    </cfRule>
    <cfRule type="expression" dxfId="134" priority="88" stopIfTrue="1">
      <formula>IF(BJ38="Dưới 30",1,0)</formula>
    </cfRule>
  </conditionalFormatting>
  <conditionalFormatting sqref="CU38:CU41">
    <cfRule type="expression" dxfId="133" priority="89" stopIfTrue="1">
      <formula>IF(CV38&gt;0,1,0)</formula>
    </cfRule>
    <cfRule type="expression" dxfId="132" priority="90" stopIfTrue="1">
      <formula>IF(CV38=0,1,0)</formula>
    </cfRule>
  </conditionalFormatting>
  <conditionalFormatting sqref="CT38:CT41">
    <cfRule type="expression" dxfId="131" priority="91" stopIfTrue="1">
      <formula>12*(#REF!-CM38)+(#REF!-CK38)</formula>
    </cfRule>
  </conditionalFormatting>
  <conditionalFormatting sqref="CY38:CY41">
    <cfRule type="expression" dxfId="130" priority="92" stopIfTrue="1">
      <formula>12*(#REF!-CQ38)+(#REF!-CO38)</formula>
    </cfRule>
  </conditionalFormatting>
  <conditionalFormatting sqref="AV38 CX38:CX41">
    <cfRule type="expression" dxfId="129" priority="98" stopIfTrue="1">
      <formula>IF(OR(AV38=0.36),1,0)</formula>
    </cfRule>
    <cfRule type="expression" dxfId="128" priority="99" stopIfTrue="1">
      <formula>IF(AV38=0.34,1,0)</formula>
    </cfRule>
    <cfRule type="expression" dxfId="127" priority="100" stopIfTrue="1">
      <formula>IF(AV38&lt;0.33,1,0)</formula>
    </cfRule>
  </conditionalFormatting>
  <conditionalFormatting sqref="DA38:DA41">
    <cfRule type="cellIs" dxfId="126" priority="101" stopIfTrue="1" operator="between">
      <formula>"Hưu"</formula>
      <formula>"Hưu"</formula>
    </cfRule>
    <cfRule type="cellIs" dxfId="125" priority="102" stopIfTrue="1" operator="between">
      <formula>"---"</formula>
      <formula>"---"</formula>
    </cfRule>
    <cfRule type="cellIs" dxfId="124" priority="103" stopIfTrue="1" operator="between">
      <formula>"Quá"</formula>
      <formula>"Quá"</formula>
    </cfRule>
  </conditionalFormatting>
  <conditionalFormatting sqref="AU38 CW38:CW41">
    <cfRule type="expression" dxfId="123" priority="104" stopIfTrue="1">
      <formula>IF(OR(AU38=5.57,AU38=6.2),1,0)</formula>
    </cfRule>
    <cfRule type="expression" dxfId="122" priority="105" stopIfTrue="1">
      <formula>IF(OR(AU38=4,AU38=4.4),1,0)</formula>
    </cfRule>
    <cfRule type="expression" dxfId="121" priority="106" stopIfTrue="1">
      <formula>IF(AND(AU38&gt;0.9,AU38&lt;2.34),1,0)</formula>
    </cfRule>
  </conditionalFormatting>
  <conditionalFormatting sqref="CS38:CS41">
    <cfRule type="cellIs" dxfId="120" priority="107" stopIfTrue="1" operator="between">
      <formula>1</formula>
      <formula>1</formula>
    </cfRule>
    <cfRule type="cellIs" dxfId="119" priority="108" stopIfTrue="1" operator="between">
      <formula>2</formula>
      <formula>2</formula>
    </cfRule>
    <cfRule type="cellIs" dxfId="118" priority="109" stopIfTrue="1" operator="between">
      <formula>3</formula>
      <formula>3</formula>
    </cfRule>
  </conditionalFormatting>
  <conditionalFormatting sqref="CV38:CV41">
    <cfRule type="expression" dxfId="117" priority="110" stopIfTrue="1">
      <formula>IF(CV38&gt;0,1,0)</formula>
    </cfRule>
    <cfRule type="expression" dxfId="116" priority="111" stopIfTrue="1">
      <formula>IF(CV38&lt;1,1,0)</formula>
    </cfRule>
  </conditionalFormatting>
  <conditionalFormatting sqref="CR38:CR41">
    <cfRule type="cellIs" dxfId="115" priority="112" stopIfTrue="1" operator="between">
      <formula>"Đến"</formula>
      <formula>"Đến"</formula>
    </cfRule>
    <cfRule type="cellIs" dxfId="114" priority="113" stopIfTrue="1" operator="between">
      <formula>"Quá"</formula>
      <formula>"Quá"</formula>
    </cfRule>
    <cfRule type="expression" dxfId="113" priority="114" stopIfTrue="1">
      <formula>IF(OR(CR38="Lương Sớm Hưu",CR38="Nâng Ngạch Hưu"),1,0)</formula>
    </cfRule>
  </conditionalFormatting>
  <conditionalFormatting sqref="DB38:DC41">
    <cfRule type="expression" dxfId="112" priority="115" stopIfTrue="1">
      <formula>IF(DB38&gt;0,1,0)</formula>
    </cfRule>
  </conditionalFormatting>
  <conditionalFormatting sqref="CQ38:CQ41">
    <cfRule type="cellIs" dxfId="111" priority="116" stopIfTrue="1" operator="between">
      <formula>"B"</formula>
      <formula>"B"</formula>
    </cfRule>
    <cfRule type="cellIs" dxfId="110" priority="117" stopIfTrue="1" operator="between">
      <formula>"C"</formula>
      <formula>"C"</formula>
    </cfRule>
    <cfRule type="cellIs" dxfId="109" priority="118" stopIfTrue="1" operator="between">
      <formula>"D"</formula>
      <formula>"D"</formula>
    </cfRule>
  </conditionalFormatting>
  <conditionalFormatting sqref="CP38:CP41">
    <cfRule type="cellIs" dxfId="108" priority="119" stopIfTrue="1" operator="between">
      <formula>"công chức, viên chức"</formula>
      <formula>"công chức, viên chức"</formula>
    </cfRule>
    <cfRule type="cellIs" dxfId="107" priority="120" stopIfTrue="1" operator="between">
      <formula>"lao động hợp đồng"</formula>
      <formula>"lao động hợp đồng"</formula>
    </cfRule>
  </conditionalFormatting>
  <conditionalFormatting sqref="CZ38:CZ41">
    <cfRule type="expression" dxfId="106" priority="121" stopIfTrue="1">
      <formula>IF(CZ38="Nâg Ngạch sau TB",1,0)</formula>
    </cfRule>
    <cfRule type="expression" dxfId="105" priority="122" stopIfTrue="1">
      <formula>IF(CZ38="Nâg Lươg Sớm sau TB",1,0)</formula>
    </cfRule>
    <cfRule type="expression" dxfId="104" priority="123" stopIfTrue="1">
      <formula>IF(CZ38="Nâg PC TNVK cùng QĐ",1,0)</formula>
    </cfRule>
  </conditionalFormatting>
  <conditionalFormatting sqref="CO38:CO41">
    <cfRule type="expression" dxfId="103" priority="124" stopIfTrue="1">
      <formula>IF(CO38=0,1,0)</formula>
    </cfRule>
    <cfRule type="expression" dxfId="102" priority="125" stopIfTrue="1">
      <formula>IF(CO38&gt;0,1,0)</formula>
    </cfRule>
  </conditionalFormatting>
  <conditionalFormatting sqref="BJ38:BJ41">
    <cfRule type="expression" dxfId="101" priority="93" stopIfTrue="1">
      <formula>IF(BJ38="Trên 45",1,0)</formula>
    </cfRule>
    <cfRule type="expression" dxfId="100" priority="94" stopIfTrue="1">
      <formula>IF(BJ38="30 - 45",1,0)</formula>
    </cfRule>
    <cfRule type="expression" dxfId="99" priority="95" stopIfTrue="1">
      <formula>IF(BJ38="Dưới 30",1,0)</formula>
    </cfRule>
  </conditionalFormatting>
  <conditionalFormatting sqref="BL38:BL41">
    <cfRule type="cellIs" dxfId="98" priority="96" stopIfTrue="1" operator="between">
      <formula>"Có hạn"</formula>
      <formula>"Có hạn"</formula>
    </cfRule>
    <cfRule type="cellIs" dxfId="97" priority="97" stopIfTrue="1" operator="between">
      <formula>"Ko hạn"</formula>
      <formula>"Ko hạn"</formula>
    </cfRule>
  </conditionalFormatting>
  <conditionalFormatting sqref="A39:A41">
    <cfRule type="expression" dxfId="96" priority="126" stopIfTrue="1">
      <formula>IF(#REF!="Hưu",1,0)</formula>
    </cfRule>
    <cfRule type="expression" dxfId="95" priority="127" stopIfTrue="1">
      <formula>IF(#REF!="Quá",1,0)</formula>
    </cfRule>
  </conditionalFormatting>
  <conditionalFormatting sqref="A38">
    <cfRule type="expression" dxfId="94" priority="128" stopIfTrue="1">
      <formula>IF(#REF!="Hưu",1,0)</formula>
    </cfRule>
    <cfRule type="expression" dxfId="93" priority="129" stopIfTrue="1">
      <formula>IF(#REF!="Quá",1,0)</formula>
    </cfRule>
  </conditionalFormatting>
  <conditionalFormatting sqref="A33:A35">
    <cfRule type="expression" dxfId="92" priority="435" stopIfTrue="1">
      <formula>IF(#REF!="Hưu",1,0)</formula>
    </cfRule>
    <cfRule type="expression" dxfId="91" priority="436" stopIfTrue="1">
      <formula>IF(#REF!="Quá",1,0)</formula>
    </cfRule>
  </conditionalFormatting>
  <conditionalFormatting sqref="BD17">
    <cfRule type="expression" dxfId="90" priority="41" stopIfTrue="1">
      <formula>IF(BA17&gt;6,BB17,IF(BA17&lt;7,BB17-1))</formula>
    </cfRule>
  </conditionalFormatting>
  <conditionalFormatting sqref="AT17">
    <cfRule type="expression" dxfId="89" priority="42" stopIfTrue="1">
      <formula>IF(AU17&gt;0,1,0)</formula>
    </cfRule>
    <cfRule type="expression" dxfId="88" priority="43" stopIfTrue="1">
      <formula>IF(AU17=0,1,0)</formula>
    </cfRule>
  </conditionalFormatting>
  <conditionalFormatting sqref="BF17">
    <cfRule type="expression" dxfId="87" priority="44" stopIfTrue="1">
      <formula>IF(BC17&gt;6,BD17,IF(BC17&lt;7,BD17-1))</formula>
    </cfRule>
  </conditionalFormatting>
  <conditionalFormatting sqref="AW17">
    <cfRule type="expression" dxfId="86" priority="45" stopIfTrue="1">
      <formula>IF(OR(AW17=0.36),1,0)</formula>
    </cfRule>
    <cfRule type="expression" dxfId="85" priority="46" stopIfTrue="1">
      <formula>IF(AW17=0.34,1,0)</formula>
    </cfRule>
    <cfRule type="expression" dxfId="84" priority="47" stopIfTrue="1">
      <formula>IF(AW17&lt;0.33,1,0)</formula>
    </cfRule>
  </conditionalFormatting>
  <conditionalFormatting sqref="AZ17">
    <cfRule type="cellIs" dxfId="83" priority="48" stopIfTrue="1" operator="between">
      <formula>"Hưu"</formula>
      <formula>"Hưu"</formula>
    </cfRule>
    <cfRule type="cellIs" dxfId="82" priority="49" stopIfTrue="1" operator="between">
      <formula>"---"</formula>
      <formula>"---"</formula>
    </cfRule>
    <cfRule type="cellIs" dxfId="81" priority="50" stopIfTrue="1" operator="between">
      <formula>"Quá"</formula>
      <formula>"Quá"</formula>
    </cfRule>
  </conditionalFormatting>
  <conditionalFormatting sqref="AV17">
    <cfRule type="expression" dxfId="80" priority="51" stopIfTrue="1">
      <formula>IF(OR(AV17=5.57,AV17=6.2),1,0)</formula>
    </cfRule>
    <cfRule type="expression" dxfId="79" priority="52" stopIfTrue="1">
      <formula>IF(OR(AV17=4,AV17=4.4),1,0)</formula>
    </cfRule>
    <cfRule type="expression" dxfId="78" priority="53" stopIfTrue="1">
      <formula>IF(AND(AV17&gt;0.9,AV17&lt;2.34),1,0)</formula>
    </cfRule>
  </conditionalFormatting>
  <conditionalFormatting sqref="AR17">
    <cfRule type="cellIs" dxfId="77" priority="54" stopIfTrue="1" operator="between">
      <formula>1</formula>
      <formula>1</formula>
    </cfRule>
    <cfRule type="cellIs" dxfId="76" priority="55" stopIfTrue="1" operator="between">
      <formula>2</formula>
      <formula>2</formula>
    </cfRule>
    <cfRule type="cellIs" dxfId="75" priority="56" stopIfTrue="1" operator="between">
      <formula>3</formula>
      <formula>3</formula>
    </cfRule>
  </conditionalFormatting>
  <conditionalFormatting sqref="AU17">
    <cfRule type="expression" dxfId="74" priority="57" stopIfTrue="1">
      <formula>IF(AU17&gt;0,1,0)</formula>
    </cfRule>
    <cfRule type="expression" dxfId="73" priority="58" stopIfTrue="1">
      <formula>IF(AU17&lt;1,1,0)</formula>
    </cfRule>
  </conditionalFormatting>
  <conditionalFormatting sqref="AQ17">
    <cfRule type="cellIs" dxfId="72" priority="59" stopIfTrue="1" operator="between">
      <formula>"Đến"</formula>
      <formula>"Đến"</formula>
    </cfRule>
    <cfRule type="cellIs" dxfId="71" priority="60" stopIfTrue="1" operator="between">
      <formula>"Quá"</formula>
      <formula>"Quá"</formula>
    </cfRule>
    <cfRule type="expression" dxfId="70" priority="61" stopIfTrue="1">
      <formula>IF(OR(AQ17="Lương Sớm Hưu",AQ17="Nâng Ngạch Hưu"),1,0)</formula>
    </cfRule>
  </conditionalFormatting>
  <conditionalFormatting sqref="BA17:BB17 G17">
    <cfRule type="expression" dxfId="69" priority="62" stopIfTrue="1">
      <formula>IF(G17&gt;0,1,0)</formula>
    </cfRule>
  </conditionalFormatting>
  <conditionalFormatting sqref="AP17">
    <cfRule type="cellIs" dxfId="68" priority="63" stopIfTrue="1" operator="between">
      <formula>"B"</formula>
      <formula>"B"</formula>
    </cfRule>
    <cfRule type="cellIs" dxfId="67" priority="64" stopIfTrue="1" operator="between">
      <formula>"C"</formula>
      <formula>"C"</formula>
    </cfRule>
    <cfRule type="cellIs" dxfId="66" priority="65" stopIfTrue="1" operator="between">
      <formula>"D"</formula>
      <formula>"D"</formula>
    </cfRule>
  </conditionalFormatting>
  <conditionalFormatting sqref="AO17">
    <cfRule type="cellIs" dxfId="65" priority="66" stopIfTrue="1" operator="between">
      <formula>"công chức, viên chức"</formula>
      <formula>"công chức, viên chức"</formula>
    </cfRule>
    <cfRule type="cellIs" dxfId="64" priority="67" stopIfTrue="1" operator="between">
      <formula>"lao động hợp đồng"</formula>
      <formula>"lao động hợp đồng"</formula>
    </cfRule>
  </conditionalFormatting>
  <conditionalFormatting sqref="AY17">
    <cfRule type="expression" dxfId="63" priority="68" stopIfTrue="1">
      <formula>IF(AY17="Nâg Ngạch sau TB",1,0)</formula>
    </cfRule>
    <cfRule type="expression" dxfId="62" priority="69" stopIfTrue="1">
      <formula>IF(AY17="Nâg Lươg Sớm sau TB",1,0)</formula>
    </cfRule>
    <cfRule type="expression" dxfId="61" priority="70" stopIfTrue="1">
      <formula>IF(AY17="Nâg PC TNVK cùng QĐ",1,0)</formula>
    </cfRule>
  </conditionalFormatting>
  <conditionalFormatting sqref="AN17">
    <cfRule type="expression" dxfId="60" priority="71" stopIfTrue="1">
      <formula>IF(AN17=0,1,0)</formula>
    </cfRule>
    <cfRule type="expression" dxfId="59" priority="72" stopIfTrue="1">
      <formula>IF(AN17&gt;0,1,0)</formula>
    </cfRule>
  </conditionalFormatting>
  <conditionalFormatting sqref="BE17">
    <cfRule type="expression" dxfId="58" priority="73" stopIfTrue="1">
      <formula>IF(#REF!&gt;6,#REF!-6,IF(#REF!=6,12,IF(#REF!&lt;6,#REF!+6)))</formula>
    </cfRule>
  </conditionalFormatting>
  <conditionalFormatting sqref="BG17">
    <cfRule type="cellIs" dxfId="57" priority="74" stopIfTrue="1" operator="between">
      <formula>"-"</formula>
      <formula>"-"</formula>
    </cfRule>
    <cfRule type="cellIs" dxfId="56" priority="75" stopIfTrue="1" operator="between">
      <formula>1</formula>
      <formula>40</formula>
    </cfRule>
  </conditionalFormatting>
  <conditionalFormatting sqref="U17">
    <cfRule type="expression" dxfId="55" priority="76" stopIfTrue="1">
      <formula>IF(U17="A0-CĐ",1,0)</formula>
    </cfRule>
    <cfRule type="expression" dxfId="54" priority="77" stopIfTrue="1">
      <formula>IF(U17="B-TC",1,0)</formula>
    </cfRule>
    <cfRule type="expression" dxfId="53" priority="78" stopIfTrue="1">
      <formula>IF(U17="C-NV",1,0)</formula>
    </cfRule>
  </conditionalFormatting>
  <conditionalFormatting sqref="F17">
    <cfRule type="cellIs" dxfId="52" priority="79" stopIfTrue="1" operator="between">
      <formula>"Nam"</formula>
      <formula>"Nam"</formula>
    </cfRule>
    <cfRule type="cellIs" dxfId="51" priority="80" stopIfTrue="1" operator="between">
      <formula>"Nữ"</formula>
      <formula>"Nữ"</formula>
    </cfRule>
  </conditionalFormatting>
  <conditionalFormatting sqref="BC17">
    <cfRule type="expression" dxfId="50" priority="81" stopIfTrue="1">
      <formula>IF(#REF!&gt;6,#REF!-6,IF(#REF!=6,12,IF(#REF!&lt;6,#REF!+6)))</formula>
    </cfRule>
  </conditionalFormatting>
  <conditionalFormatting sqref="BI17">
    <cfRule type="expression" dxfId="49" priority="1" stopIfTrue="1">
      <formula>IF(BJ17="Trên 45",1,0)</formula>
    </cfRule>
    <cfRule type="expression" dxfId="48" priority="2" stopIfTrue="1">
      <formula>IF(BJ17="30 - 45",1,0)</formula>
    </cfRule>
    <cfRule type="expression" dxfId="47" priority="3" stopIfTrue="1">
      <formula>IF(BJ17="Dưới 30",1,0)</formula>
    </cfRule>
  </conditionalFormatting>
  <conditionalFormatting sqref="CU17">
    <cfRule type="expression" dxfId="46" priority="4" stopIfTrue="1">
      <formula>IF(CV17&gt;0,1,0)</formula>
    </cfRule>
    <cfRule type="expression" dxfId="45" priority="5" stopIfTrue="1">
      <formula>IF(CV17=0,1,0)</formula>
    </cfRule>
  </conditionalFormatting>
  <conditionalFormatting sqref="CT17">
    <cfRule type="expression" dxfId="44" priority="6" stopIfTrue="1">
      <formula>12*(#REF!-CM17)+(#REF!-CK17)</formula>
    </cfRule>
  </conditionalFormatting>
  <conditionalFormatting sqref="CY17">
    <cfRule type="expression" dxfId="43" priority="7" stopIfTrue="1">
      <formula>12*(#REF!-CQ17)+(#REF!-CO17)</formula>
    </cfRule>
  </conditionalFormatting>
  <conditionalFormatting sqref="CX17">
    <cfRule type="expression" dxfId="42" priority="13" stopIfTrue="1">
      <formula>IF(OR(CX17=0.36),1,0)</formula>
    </cfRule>
    <cfRule type="expression" dxfId="41" priority="14" stopIfTrue="1">
      <formula>IF(CX17=0.34,1,0)</formula>
    </cfRule>
    <cfRule type="expression" dxfId="40" priority="15" stopIfTrue="1">
      <formula>IF(CX17&lt;0.33,1,0)</formula>
    </cfRule>
  </conditionalFormatting>
  <conditionalFormatting sqref="DA17">
    <cfRule type="cellIs" dxfId="39" priority="16" stopIfTrue="1" operator="between">
      <formula>"Hưu"</formula>
      <formula>"Hưu"</formula>
    </cfRule>
    <cfRule type="cellIs" dxfId="38" priority="17" stopIfTrue="1" operator="between">
      <formula>"---"</formula>
      <formula>"---"</formula>
    </cfRule>
    <cfRule type="cellIs" dxfId="37" priority="18" stopIfTrue="1" operator="between">
      <formula>"Quá"</formula>
      <formula>"Quá"</formula>
    </cfRule>
  </conditionalFormatting>
  <conditionalFormatting sqref="CW17">
    <cfRule type="expression" dxfId="36" priority="19" stopIfTrue="1">
      <formula>IF(OR(CW17=5.57,CW17=6.2),1,0)</formula>
    </cfRule>
    <cfRule type="expression" dxfId="35" priority="20" stopIfTrue="1">
      <formula>IF(OR(CW17=4,CW17=4.4),1,0)</formula>
    </cfRule>
    <cfRule type="expression" dxfId="34" priority="21" stopIfTrue="1">
      <formula>IF(AND(CW17&gt;0.9,CW17&lt;2.34),1,0)</formula>
    </cfRule>
  </conditionalFormatting>
  <conditionalFormatting sqref="CS17">
    <cfRule type="cellIs" dxfId="33" priority="22" stopIfTrue="1" operator="between">
      <formula>1</formula>
      <formula>1</formula>
    </cfRule>
    <cfRule type="cellIs" dxfId="32" priority="23" stopIfTrue="1" operator="between">
      <formula>2</formula>
      <formula>2</formula>
    </cfRule>
    <cfRule type="cellIs" dxfId="31" priority="24" stopIfTrue="1" operator="between">
      <formula>3</formula>
      <formula>3</formula>
    </cfRule>
  </conditionalFormatting>
  <conditionalFormatting sqref="CV17">
    <cfRule type="expression" dxfId="30" priority="25" stopIfTrue="1">
      <formula>IF(CV17&gt;0,1,0)</formula>
    </cfRule>
    <cfRule type="expression" dxfId="29" priority="26" stopIfTrue="1">
      <formula>IF(CV17&lt;1,1,0)</formula>
    </cfRule>
  </conditionalFormatting>
  <conditionalFormatting sqref="CR17">
    <cfRule type="cellIs" dxfId="28" priority="27" stopIfTrue="1" operator="between">
      <formula>"Đến"</formula>
      <formula>"Đến"</formula>
    </cfRule>
    <cfRule type="cellIs" dxfId="27" priority="28" stopIfTrue="1" operator="between">
      <formula>"Quá"</formula>
      <formula>"Quá"</formula>
    </cfRule>
    <cfRule type="expression" dxfId="26" priority="29" stopIfTrue="1">
      <formula>IF(OR(CR17="Lương Sớm Hưu",CR17="Nâng Ngạch Hưu"),1,0)</formula>
    </cfRule>
  </conditionalFormatting>
  <conditionalFormatting sqref="DB17:DC17">
    <cfRule type="expression" dxfId="25" priority="30" stopIfTrue="1">
      <formula>IF(DB17&gt;0,1,0)</formula>
    </cfRule>
  </conditionalFormatting>
  <conditionalFormatting sqref="CQ17">
    <cfRule type="cellIs" dxfId="24" priority="31" stopIfTrue="1" operator="between">
      <formula>"B"</formula>
      <formula>"B"</formula>
    </cfRule>
    <cfRule type="cellIs" dxfId="23" priority="32" stopIfTrue="1" operator="between">
      <formula>"C"</formula>
      <formula>"C"</formula>
    </cfRule>
    <cfRule type="cellIs" dxfId="22" priority="33" stopIfTrue="1" operator="between">
      <formula>"D"</formula>
      <formula>"D"</formula>
    </cfRule>
  </conditionalFormatting>
  <conditionalFormatting sqref="CP17">
    <cfRule type="cellIs" dxfId="21" priority="34" stopIfTrue="1" operator="between">
      <formula>"công chức, viên chức"</formula>
      <formula>"công chức, viên chức"</formula>
    </cfRule>
    <cfRule type="cellIs" dxfId="20" priority="35" stopIfTrue="1" operator="between">
      <formula>"lao động hợp đồng"</formula>
      <formula>"lao động hợp đồng"</formula>
    </cfRule>
  </conditionalFormatting>
  <conditionalFormatting sqref="CZ17">
    <cfRule type="expression" dxfId="19" priority="36" stopIfTrue="1">
      <formula>IF(CZ17="Nâg Ngạch sau TB",1,0)</formula>
    </cfRule>
    <cfRule type="expression" dxfId="18" priority="37" stopIfTrue="1">
      <formula>IF(CZ17="Nâg Lươg Sớm sau TB",1,0)</formula>
    </cfRule>
    <cfRule type="expression" dxfId="17" priority="38" stopIfTrue="1">
      <formula>IF(CZ17="Nâg PC TNVK cùng QĐ",1,0)</formula>
    </cfRule>
  </conditionalFormatting>
  <conditionalFormatting sqref="CO17">
    <cfRule type="expression" dxfId="16" priority="39" stopIfTrue="1">
      <formula>IF(CO17=0,1,0)</formula>
    </cfRule>
    <cfRule type="expression" dxfId="15" priority="40" stopIfTrue="1">
      <formula>IF(CO17&gt;0,1,0)</formula>
    </cfRule>
  </conditionalFormatting>
  <conditionalFormatting sqref="BJ17">
    <cfRule type="expression" dxfId="14" priority="8" stopIfTrue="1">
      <formula>IF(BJ17="Trên 45",1,0)</formula>
    </cfRule>
    <cfRule type="expression" dxfId="13" priority="9" stopIfTrue="1">
      <formula>IF(BJ17="30 - 45",1,0)</formula>
    </cfRule>
    <cfRule type="expression" dxfId="12" priority="10" stopIfTrue="1">
      <formula>IF(BJ17="Dưới 30",1,0)</formula>
    </cfRule>
  </conditionalFormatting>
  <conditionalFormatting sqref="BL17">
    <cfRule type="cellIs" dxfId="11" priority="11" stopIfTrue="1" operator="between">
      <formula>"Có hạn"</formula>
      <formula>"Có hạn"</formula>
    </cfRule>
    <cfRule type="cellIs" dxfId="10" priority="12" stopIfTrue="1" operator="between">
      <formula>"Ko hạn"</formula>
      <formula>"Ko hạn"</formula>
    </cfRule>
  </conditionalFormatting>
  <conditionalFormatting sqref="A17">
    <cfRule type="expression" dxfId="9" priority="82" stopIfTrue="1">
      <formula>IF(#REF!="Hưu",1,0)</formula>
    </cfRule>
    <cfRule type="expression" dxfId="8" priority="83" stopIfTrue="1">
      <formula>IF(#REF!="Quá",1,0)</formula>
    </cfRule>
  </conditionalFormatting>
  <conditionalFormatting sqref="AX17">
    <cfRule type="expression" dxfId="7" priority="84" stopIfTrue="1">
      <formula>12*(#REF!-AP17)+(#REF!-AN17)</formula>
    </cfRule>
  </conditionalFormatting>
  <conditionalFormatting sqref="AS17">
    <cfRule type="expression" dxfId="6" priority="85" stopIfTrue="1">
      <formula>12*(#REF!-AK17)+(#REF!-#REF!)</formula>
    </cfRule>
  </conditionalFormatting>
  <conditionalFormatting sqref="A12">
    <cfRule type="expression" dxfId="5" priority="437" stopIfTrue="1">
      <formula>IF(#REF!="Hưu",1,0)</formula>
    </cfRule>
    <cfRule type="expression" dxfId="4" priority="438" stopIfTrue="1">
      <formula>IF(#REF!="Quá",1,0)</formula>
    </cfRule>
  </conditionalFormatting>
  <conditionalFormatting sqref="A21:A23">
    <cfRule type="expression" dxfId="3" priority="439" stopIfTrue="1">
      <formula>IF(AY25="Hưu",1,0)</formula>
    </cfRule>
    <cfRule type="expression" dxfId="2" priority="440" stopIfTrue="1">
      <formula>IF(AY25="Quá",1,0)</formula>
    </cfRule>
  </conditionalFormatting>
  <pageMargins left="0.45" right="0.2" top="0.25" bottom="0.2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38"/>
  <sheetViews>
    <sheetView tabSelected="1" topLeftCell="B1" workbookViewId="0">
      <selection activeCell="D11" sqref="D11:BI11"/>
    </sheetView>
  </sheetViews>
  <sheetFormatPr defaultRowHeight="15" x14ac:dyDescent="0.25"/>
  <cols>
    <col min="1" max="1" width="9.140625" hidden="1" customWidth="1"/>
    <col min="2" max="2" width="5.5703125" customWidth="1"/>
    <col min="3" max="3" width="9.140625" hidden="1" customWidth="1"/>
    <col min="4" max="4" width="22" customWidth="1"/>
    <col min="5" max="5" width="5.140625" customWidth="1"/>
    <col min="6" max="13" width="9.140625" hidden="1" customWidth="1"/>
    <col min="14" max="14" width="9.5703125" customWidth="1"/>
    <col min="15" max="15" width="23.28515625" customWidth="1"/>
    <col min="16" max="16" width="0.140625" hidden="1" customWidth="1"/>
    <col min="17" max="18" width="9.140625" hidden="1" customWidth="1"/>
    <col min="19" max="19" width="27" customWidth="1"/>
    <col min="20" max="20" width="12.5703125" customWidth="1"/>
    <col min="21" max="45" width="9.140625" hidden="1" customWidth="1"/>
    <col min="46" max="46" width="1.85546875" hidden="1" customWidth="1"/>
    <col min="47" max="47" width="3" customWidth="1"/>
    <col min="48" max="48" width="2.42578125" customWidth="1"/>
    <col min="49" max="49" width="3.140625" customWidth="1"/>
    <col min="50" max="50" width="2.7109375" customWidth="1"/>
    <col min="51" max="51" width="3.42578125" customWidth="1"/>
    <col min="52" max="52" width="1.28515625" customWidth="1"/>
    <col min="53" max="53" width="5" customWidth="1"/>
    <col min="54" max="60" width="9.140625" hidden="1" customWidth="1"/>
    <col min="61" max="61" width="8.7109375" customWidth="1"/>
  </cols>
  <sheetData>
    <row r="1" spans="1:77" s="488" customFormat="1" ht="15.75" customHeight="1" x14ac:dyDescent="0.25">
      <c r="B1" s="489" t="s">
        <v>0</v>
      </c>
      <c r="C1" s="489"/>
      <c r="D1" s="489"/>
      <c r="E1" s="489"/>
      <c r="F1" s="489"/>
      <c r="G1" s="489"/>
      <c r="H1" s="489"/>
      <c r="I1" s="489"/>
      <c r="J1" s="489"/>
      <c r="K1" s="489"/>
      <c r="L1" s="489"/>
      <c r="M1" s="489"/>
      <c r="N1" s="489"/>
      <c r="O1" s="489" t="s">
        <v>1</v>
      </c>
      <c r="P1" s="489"/>
      <c r="Q1" s="489"/>
      <c r="R1" s="489"/>
      <c r="S1" s="489"/>
      <c r="T1" s="489"/>
      <c r="U1" s="489"/>
      <c r="V1" s="489"/>
      <c r="W1" s="489"/>
      <c r="X1" s="489"/>
      <c r="Y1" s="489"/>
      <c r="Z1" s="489"/>
      <c r="AA1" s="489"/>
      <c r="AB1" s="489"/>
      <c r="AC1" s="489"/>
      <c r="AD1" s="489"/>
      <c r="AE1" s="489"/>
      <c r="AF1" s="489"/>
      <c r="AG1" s="489"/>
      <c r="AH1" s="489"/>
      <c r="AI1" s="489"/>
      <c r="AJ1" s="489"/>
      <c r="AK1" s="489"/>
      <c r="AL1" s="489"/>
      <c r="AM1" s="489"/>
      <c r="AN1" s="489"/>
      <c r="AO1" s="489"/>
      <c r="AP1" s="489"/>
      <c r="AQ1" s="489"/>
      <c r="AR1" s="489"/>
      <c r="AS1" s="489"/>
      <c r="AT1" s="489"/>
      <c r="AU1" s="489"/>
      <c r="AV1" s="489"/>
      <c r="AW1" s="489"/>
      <c r="AX1" s="489"/>
      <c r="AY1" s="489"/>
      <c r="AZ1" s="489"/>
      <c r="BA1" s="489"/>
    </row>
    <row r="2" spans="1:77" s="488" customFormat="1" ht="17.25" customHeight="1" x14ac:dyDescent="0.25">
      <c r="B2" s="489" t="s">
        <v>2</v>
      </c>
      <c r="C2" s="489"/>
      <c r="D2" s="489"/>
      <c r="E2" s="489"/>
      <c r="F2" s="489"/>
      <c r="G2" s="489"/>
      <c r="H2" s="489"/>
      <c r="I2" s="489"/>
      <c r="J2" s="489"/>
      <c r="K2" s="489"/>
      <c r="L2" s="489"/>
      <c r="M2" s="489"/>
      <c r="N2" s="489"/>
      <c r="O2" s="490" t="s">
        <v>3</v>
      </c>
      <c r="P2" s="490"/>
      <c r="Q2" s="490"/>
      <c r="R2" s="490"/>
      <c r="S2" s="490"/>
      <c r="T2" s="490"/>
      <c r="U2" s="490"/>
      <c r="V2" s="490"/>
      <c r="W2" s="490"/>
      <c r="X2" s="490"/>
      <c r="Y2" s="490"/>
      <c r="Z2" s="490"/>
      <c r="AA2" s="490"/>
      <c r="AB2" s="490"/>
      <c r="AC2" s="490"/>
      <c r="AD2" s="490"/>
      <c r="AE2" s="490"/>
      <c r="AF2" s="490"/>
      <c r="AG2" s="490"/>
      <c r="AH2" s="490"/>
      <c r="AI2" s="490"/>
      <c r="AJ2" s="490"/>
      <c r="AK2" s="490"/>
      <c r="AL2" s="490"/>
      <c r="AM2" s="490"/>
      <c r="AN2" s="490"/>
      <c r="AO2" s="490"/>
      <c r="AP2" s="490"/>
      <c r="AQ2" s="490"/>
      <c r="AR2" s="490"/>
      <c r="AS2" s="490"/>
      <c r="AT2" s="490"/>
      <c r="AU2" s="490"/>
      <c r="AV2" s="490"/>
      <c r="AW2" s="490"/>
      <c r="AX2" s="490"/>
      <c r="AY2" s="490"/>
      <c r="AZ2" s="490"/>
      <c r="BA2" s="490"/>
    </row>
    <row r="3" spans="1:77" s="497" customFormat="1" ht="28.5" customHeight="1" x14ac:dyDescent="0.25">
      <c r="A3" s="491"/>
      <c r="B3" s="492"/>
      <c r="C3" s="491"/>
      <c r="D3" s="493"/>
      <c r="E3" s="494"/>
      <c r="F3" s="494"/>
      <c r="G3" s="494"/>
      <c r="H3" s="494"/>
      <c r="I3" s="494"/>
      <c r="J3" s="494"/>
      <c r="K3" s="494"/>
      <c r="L3" s="494"/>
      <c r="M3" s="494"/>
      <c r="N3" s="495"/>
      <c r="O3" s="13" t="s">
        <v>4</v>
      </c>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496"/>
      <c r="BC3" s="496"/>
      <c r="BD3" s="496"/>
      <c r="BE3" s="496"/>
      <c r="BF3" s="496"/>
      <c r="BG3" s="496"/>
      <c r="BH3" s="496"/>
    </row>
    <row r="4" spans="1:77" s="498" customFormat="1" ht="37.5" customHeight="1" x14ac:dyDescent="0.25">
      <c r="A4" s="493" t="s">
        <v>135</v>
      </c>
      <c r="B4" s="490" t="s">
        <v>136</v>
      </c>
      <c r="C4" s="490"/>
      <c r="D4" s="490"/>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90"/>
      <c r="AN4" s="490"/>
      <c r="AO4" s="490"/>
      <c r="AP4" s="490"/>
      <c r="AQ4" s="490"/>
      <c r="AR4" s="490"/>
      <c r="AS4" s="490"/>
      <c r="AT4" s="490"/>
      <c r="AU4" s="490"/>
      <c r="AV4" s="490"/>
      <c r="AW4" s="490"/>
      <c r="AX4" s="490"/>
      <c r="AY4" s="490"/>
      <c r="AZ4" s="490"/>
      <c r="BA4" s="490"/>
      <c r="BB4" s="490"/>
      <c r="BC4" s="490"/>
      <c r="BD4" s="490"/>
      <c r="BE4" s="490"/>
      <c r="BF4" s="490"/>
      <c r="BG4" s="490"/>
      <c r="BH4" s="490"/>
      <c r="BI4" s="490"/>
    </row>
    <row r="5" spans="1:77" s="501" customFormat="1" ht="15" hidden="1" customHeight="1" x14ac:dyDescent="0.25">
      <c r="A5" s="492"/>
      <c r="B5" s="492"/>
      <c r="C5" s="492"/>
      <c r="D5" s="499" t="s">
        <v>137</v>
      </c>
      <c r="E5" s="500" t="e">
        <f>#REF!</f>
        <v>#REF!</v>
      </c>
      <c r="G5" s="502"/>
      <c r="H5" s="503"/>
      <c r="I5" s="504"/>
      <c r="J5" s="502"/>
      <c r="K5" s="502"/>
      <c r="L5" s="502"/>
      <c r="M5" s="502"/>
      <c r="N5" s="505" t="s">
        <v>138</v>
      </c>
      <c r="O5" s="506"/>
      <c r="P5" s="506"/>
      <c r="Q5" s="506"/>
      <c r="R5" s="506"/>
      <c r="S5" s="498"/>
      <c r="T5" s="507"/>
      <c r="U5" s="508"/>
      <c r="V5" s="508"/>
      <c r="W5" s="502"/>
      <c r="X5" s="504"/>
      <c r="Y5" s="502"/>
      <c r="Z5" s="504"/>
      <c r="AA5" s="502"/>
      <c r="AB5" s="503"/>
      <c r="AC5" s="503"/>
      <c r="AD5" s="509"/>
      <c r="AE5" s="502"/>
      <c r="AF5" s="510"/>
      <c r="AG5" s="511"/>
      <c r="AH5" s="498" t="s">
        <v>139</v>
      </c>
      <c r="AI5" s="498"/>
      <c r="AU5" s="498"/>
      <c r="AV5" s="512"/>
      <c r="AX5" s="498"/>
      <c r="BA5" s="512"/>
    </row>
    <row r="6" spans="1:77" s="498" customFormat="1" ht="1.5" hidden="1" customHeight="1" x14ac:dyDescent="0.25">
      <c r="B6" s="513" t="s">
        <v>10</v>
      </c>
      <c r="D6" s="505"/>
      <c r="N6" s="505"/>
      <c r="O6" s="505"/>
      <c r="T6" s="513"/>
    </row>
    <row r="7" spans="1:77" s="498" customFormat="1" ht="16.5" x14ac:dyDescent="0.25">
      <c r="A7" s="164"/>
      <c r="B7" s="513"/>
      <c r="D7" s="498" t="s">
        <v>140</v>
      </c>
      <c r="G7" s="514"/>
      <c r="H7" s="515"/>
      <c r="I7" s="515"/>
      <c r="J7" s="515"/>
      <c r="K7" s="515"/>
      <c r="L7" s="515"/>
      <c r="M7" s="515"/>
      <c r="N7" s="505"/>
      <c r="O7" s="516"/>
      <c r="P7" s="517"/>
      <c r="Q7" s="517"/>
      <c r="R7" s="517"/>
      <c r="T7" s="518"/>
      <c r="AF7" s="519"/>
      <c r="BA7" s="520"/>
      <c r="BB7" s="521"/>
      <c r="BH7" s="522"/>
      <c r="BJ7" s="523"/>
      <c r="BK7" s="523"/>
      <c r="BR7" s="513"/>
      <c r="BS7" s="513"/>
      <c r="BT7" s="513"/>
      <c r="BU7" s="513"/>
      <c r="BW7" s="519"/>
      <c r="BX7" s="524"/>
      <c r="BY7" s="164"/>
    </row>
    <row r="8" spans="1:77" s="498" customFormat="1" ht="16.5" x14ac:dyDescent="0.25">
      <c r="A8" s="164"/>
      <c r="B8" s="513"/>
      <c r="D8" s="512" t="s">
        <v>141</v>
      </c>
      <c r="E8" s="512"/>
      <c r="F8" s="512"/>
      <c r="G8" s="512"/>
      <c r="H8" s="512"/>
      <c r="I8" s="512"/>
      <c r="J8" s="512"/>
      <c r="K8" s="512"/>
      <c r="L8" s="512"/>
      <c r="M8" s="512"/>
      <c r="N8" s="505"/>
      <c r="O8" s="506"/>
      <c r="P8" s="512"/>
      <c r="Q8" s="512"/>
      <c r="R8" s="512"/>
      <c r="T8" s="525"/>
      <c r="U8" s="512"/>
      <c r="V8" s="512"/>
      <c r="W8" s="512"/>
      <c r="X8" s="512"/>
      <c r="Y8" s="512"/>
      <c r="Z8" s="512"/>
      <c r="AA8" s="512"/>
      <c r="AB8" s="512"/>
      <c r="AC8" s="512"/>
      <c r="AD8" s="512"/>
      <c r="AE8" s="512"/>
      <c r="AF8" s="512"/>
      <c r="AG8" s="512"/>
      <c r="AH8" s="512"/>
      <c r="AI8" s="512"/>
      <c r="AJ8" s="512"/>
      <c r="AK8" s="512"/>
      <c r="AL8" s="512"/>
      <c r="AM8" s="512"/>
      <c r="AN8" s="512"/>
      <c r="AO8" s="512"/>
      <c r="AP8" s="512"/>
      <c r="AQ8" s="512"/>
      <c r="AR8" s="512"/>
      <c r="AS8" s="512"/>
      <c r="AT8" s="512"/>
      <c r="AV8" s="512"/>
      <c r="BA8" s="520"/>
      <c r="BB8" s="521"/>
      <c r="BH8" s="522"/>
      <c r="BJ8" s="523"/>
      <c r="BK8" s="523" t="s">
        <v>135</v>
      </c>
      <c r="BR8" s="513"/>
      <c r="BS8" s="513"/>
      <c r="BT8" s="513"/>
      <c r="BU8" s="513"/>
      <c r="BW8" s="519"/>
      <c r="BX8" s="524"/>
      <c r="BY8" s="164"/>
    </row>
    <row r="9" spans="1:77" s="498" customFormat="1" ht="15" customHeight="1" x14ac:dyDescent="0.25">
      <c r="A9" s="164"/>
      <c r="B9" s="513" t="s">
        <v>10</v>
      </c>
      <c r="D9" s="512" t="s">
        <v>142</v>
      </c>
      <c r="E9" s="512"/>
      <c r="F9" s="512"/>
      <c r="G9" s="512"/>
      <c r="H9" s="512"/>
      <c r="I9" s="512"/>
      <c r="J9" s="512"/>
      <c r="K9" s="512"/>
      <c r="L9" s="512"/>
      <c r="M9" s="512"/>
      <c r="N9" s="505"/>
      <c r="O9" s="506"/>
      <c r="P9" s="512"/>
      <c r="Q9" s="512"/>
      <c r="R9" s="512"/>
      <c r="T9" s="525"/>
      <c r="U9" s="512"/>
      <c r="V9" s="512"/>
      <c r="W9" s="512"/>
      <c r="X9" s="512"/>
      <c r="Y9" s="512"/>
      <c r="Z9" s="512"/>
      <c r="AA9" s="512"/>
      <c r="AB9" s="512"/>
      <c r="AC9" s="512"/>
      <c r="AD9" s="512"/>
      <c r="AE9" s="512"/>
      <c r="AF9" s="512"/>
      <c r="AG9" s="512"/>
      <c r="AH9" s="512"/>
      <c r="AI9" s="512"/>
      <c r="AJ9" s="512"/>
      <c r="AK9" s="512"/>
      <c r="AL9" s="512"/>
      <c r="AM9" s="512"/>
      <c r="AN9" s="512"/>
      <c r="AO9" s="512"/>
      <c r="AP9" s="512"/>
      <c r="AQ9" s="512"/>
      <c r="AR9" s="512"/>
      <c r="AS9" s="512"/>
      <c r="AT9" s="512"/>
      <c r="AV9" s="512"/>
      <c r="BA9" s="520"/>
      <c r="BB9" s="521"/>
      <c r="BH9" s="522"/>
      <c r="BJ9" s="523"/>
      <c r="BK9" s="523"/>
      <c r="BR9" s="513"/>
      <c r="BS9" s="513"/>
      <c r="BT9" s="513"/>
      <c r="BU9" s="513"/>
      <c r="BW9" s="519"/>
      <c r="BX9" s="524"/>
      <c r="BY9" s="164"/>
    </row>
    <row r="10" spans="1:77" s="501" customFormat="1" ht="16.5" x14ac:dyDescent="0.25">
      <c r="A10" s="491"/>
      <c r="B10" s="492"/>
      <c r="C10" s="491"/>
      <c r="D10" s="512" t="s">
        <v>143</v>
      </c>
      <c r="E10" s="512"/>
      <c r="F10" s="512"/>
      <c r="G10" s="512"/>
      <c r="H10" s="512"/>
      <c r="I10" s="512"/>
      <c r="J10" s="512"/>
      <c r="K10" s="512"/>
      <c r="L10" s="512"/>
      <c r="M10" s="512"/>
      <c r="N10" s="505"/>
      <c r="O10" s="506"/>
      <c r="P10" s="512"/>
      <c r="Q10" s="512"/>
      <c r="R10" s="512"/>
      <c r="S10" s="498"/>
      <c r="T10" s="525"/>
      <c r="U10" s="512"/>
      <c r="V10" s="512"/>
      <c r="W10" s="512"/>
      <c r="X10" s="512"/>
      <c r="Y10" s="512"/>
      <c r="Z10" s="512"/>
      <c r="AA10" s="512"/>
      <c r="AB10" s="512"/>
      <c r="AC10" s="512"/>
      <c r="AD10" s="512"/>
      <c r="AE10" s="512"/>
      <c r="AF10" s="512"/>
      <c r="AG10" s="512"/>
      <c r="AH10" s="512"/>
      <c r="AI10" s="512"/>
      <c r="AJ10" s="512"/>
      <c r="AK10" s="512"/>
      <c r="AL10" s="512"/>
      <c r="AM10" s="512"/>
      <c r="AN10" s="512"/>
      <c r="AO10" s="512"/>
      <c r="AP10" s="512"/>
      <c r="AQ10" s="512"/>
      <c r="AR10" s="512"/>
      <c r="AS10" s="512"/>
      <c r="AT10" s="512"/>
      <c r="AU10" s="498"/>
      <c r="AV10" s="512"/>
      <c r="AW10" s="498"/>
      <c r="AX10" s="498"/>
      <c r="BA10" s="512"/>
    </row>
    <row r="11" spans="1:77" s="501" customFormat="1" ht="51.75" customHeight="1" x14ac:dyDescent="0.25">
      <c r="A11" s="491"/>
      <c r="B11" s="492"/>
      <c r="C11" s="491"/>
      <c r="D11" s="526" t="s">
        <v>144</v>
      </c>
      <c r="E11" s="526"/>
      <c r="F11" s="526"/>
      <c r="G11" s="526"/>
      <c r="H11" s="526"/>
      <c r="I11" s="526"/>
      <c r="J11" s="526"/>
      <c r="K11" s="526"/>
      <c r="L11" s="526"/>
      <c r="M11" s="526"/>
      <c r="N11" s="526"/>
      <c r="O11" s="526"/>
      <c r="P11" s="526"/>
      <c r="Q11" s="526"/>
      <c r="R11" s="526"/>
      <c r="S11" s="526"/>
      <c r="T11" s="526"/>
      <c r="U11" s="526"/>
      <c r="V11" s="526"/>
      <c r="W11" s="526"/>
      <c r="X11" s="526"/>
      <c r="Y11" s="526"/>
      <c r="Z11" s="526"/>
      <c r="AA11" s="526"/>
      <c r="AB11" s="526"/>
      <c r="AC11" s="526"/>
      <c r="AD11" s="526"/>
      <c r="AE11" s="526"/>
      <c r="AF11" s="526"/>
      <c r="AG11" s="526"/>
      <c r="AH11" s="526"/>
      <c r="AI11" s="526"/>
      <c r="AJ11" s="526"/>
      <c r="AK11" s="526"/>
      <c r="AL11" s="526"/>
      <c r="AM11" s="526"/>
      <c r="AN11" s="526"/>
      <c r="AO11" s="526"/>
      <c r="AP11" s="526"/>
      <c r="AQ11" s="526"/>
      <c r="AR11" s="526"/>
      <c r="AS11" s="526"/>
      <c r="AT11" s="526"/>
      <c r="AU11" s="526"/>
      <c r="AV11" s="526"/>
      <c r="AW11" s="526"/>
      <c r="AX11" s="526"/>
      <c r="AY11" s="526"/>
      <c r="AZ11" s="526"/>
      <c r="BA11" s="526"/>
      <c r="BB11" s="526"/>
      <c r="BC11" s="526"/>
      <c r="BD11" s="526"/>
      <c r="BE11" s="526"/>
      <c r="BF11" s="526"/>
      <c r="BG11" s="526"/>
      <c r="BH11" s="526"/>
      <c r="BI11" s="526"/>
    </row>
    <row r="12" spans="1:77" s="504" customFormat="1" ht="12.75" customHeight="1" x14ac:dyDescent="0.25">
      <c r="A12" s="491"/>
      <c r="B12" s="492"/>
      <c r="C12" s="491"/>
      <c r="D12" s="527" t="s">
        <v>145</v>
      </c>
      <c r="E12" s="528">
        <f>B31</f>
        <v>13</v>
      </c>
      <c r="I12" s="529"/>
      <c r="J12" s="530"/>
      <c r="K12" s="530"/>
      <c r="L12" s="530"/>
      <c r="M12" s="530"/>
      <c r="N12" s="505"/>
      <c r="O12" s="531"/>
      <c r="P12" s="503"/>
      <c r="Q12" s="503"/>
      <c r="R12" s="503"/>
      <c r="S12" s="498"/>
      <c r="T12" s="502"/>
      <c r="W12" s="503"/>
      <c r="Y12" s="503"/>
      <c r="AA12" s="503"/>
      <c r="AB12" s="503"/>
      <c r="AC12" s="503"/>
      <c r="AD12" s="532"/>
      <c r="AE12" s="502"/>
      <c r="AF12" s="488"/>
      <c r="AH12" s="488"/>
      <c r="AI12" s="488"/>
      <c r="AJ12" s="530"/>
      <c r="AK12" s="530"/>
      <c r="AU12" s="498"/>
      <c r="AV12" s="503"/>
      <c r="AX12" s="494"/>
      <c r="BA12" s="503"/>
    </row>
    <row r="13" spans="1:77" s="501" customFormat="1" ht="6.75" customHeight="1" thickBot="1" x14ac:dyDescent="0.3">
      <c r="A13" s="491"/>
      <c r="B13" s="492"/>
      <c r="C13" s="491"/>
      <c r="D13" s="505"/>
      <c r="E13" s="502"/>
      <c r="F13" s="504"/>
      <c r="G13" s="504"/>
      <c r="H13" s="504"/>
      <c r="I13" s="529"/>
      <c r="J13" s="530"/>
      <c r="K13" s="530"/>
      <c r="L13" s="530"/>
      <c r="M13" s="530"/>
      <c r="N13" s="505"/>
      <c r="O13" s="531"/>
      <c r="P13" s="503"/>
      <c r="Q13" s="503"/>
      <c r="R13" s="503"/>
      <c r="S13" s="498"/>
      <c r="T13" s="502"/>
      <c r="U13" s="504"/>
      <c r="V13" s="504"/>
      <c r="W13" s="503"/>
      <c r="X13" s="504"/>
      <c r="Y13" s="503"/>
      <c r="Z13" s="504"/>
      <c r="AA13" s="503"/>
      <c r="AB13" s="503"/>
      <c r="AC13" s="503"/>
      <c r="AD13" s="532"/>
      <c r="AE13" s="502"/>
      <c r="AF13" s="498"/>
      <c r="AH13" s="498"/>
      <c r="AI13" s="498"/>
      <c r="AJ13" s="530"/>
      <c r="AK13" s="530"/>
      <c r="AU13" s="498"/>
      <c r="AV13" s="512"/>
      <c r="AX13" s="498"/>
      <c r="BA13" s="512"/>
    </row>
    <row r="14" spans="1:77" s="536" customFormat="1" ht="32.25" customHeight="1" x14ac:dyDescent="0.25">
      <c r="A14" s="498" t="s">
        <v>17</v>
      </c>
      <c r="B14" s="584" t="s">
        <v>17</v>
      </c>
      <c r="C14" s="585"/>
      <c r="D14" s="586" t="s">
        <v>146</v>
      </c>
      <c r="E14" s="586" t="s">
        <v>19</v>
      </c>
      <c r="F14" s="585" t="s">
        <v>147</v>
      </c>
      <c r="G14" s="585"/>
      <c r="H14" s="585"/>
      <c r="I14" s="585"/>
      <c r="J14" s="585"/>
      <c r="K14" s="585"/>
      <c r="L14" s="585"/>
      <c r="M14" s="585"/>
      <c r="N14" s="586" t="s">
        <v>148</v>
      </c>
      <c r="O14" s="586"/>
      <c r="P14" s="585"/>
      <c r="Q14" s="585"/>
      <c r="R14" s="586" t="s">
        <v>149</v>
      </c>
      <c r="S14" s="586"/>
      <c r="T14" s="586"/>
      <c r="U14" s="586" t="s">
        <v>23</v>
      </c>
      <c r="V14" s="587"/>
      <c r="W14" s="587"/>
      <c r="X14" s="585" t="s">
        <v>150</v>
      </c>
      <c r="Y14" s="585"/>
      <c r="Z14" s="585"/>
      <c r="AA14" s="585"/>
      <c r="AB14" s="585"/>
      <c r="AC14" s="585"/>
      <c r="AD14" s="585"/>
      <c r="AE14" s="585" t="s">
        <v>25</v>
      </c>
      <c r="AF14" s="585"/>
      <c r="AG14" s="585"/>
      <c r="AH14" s="585"/>
      <c r="AI14" s="585"/>
      <c r="AJ14" s="585"/>
      <c r="AK14" s="585"/>
      <c r="AL14" s="585"/>
      <c r="AM14" s="585"/>
      <c r="AN14" s="585"/>
      <c r="AO14" s="585"/>
      <c r="AP14" s="585"/>
      <c r="AQ14" s="585"/>
      <c r="AR14" s="585"/>
      <c r="AS14" s="585"/>
      <c r="AT14" s="585"/>
      <c r="AU14" s="586" t="s">
        <v>151</v>
      </c>
      <c r="AV14" s="586"/>
      <c r="AW14" s="586"/>
      <c r="AX14" s="586"/>
      <c r="AY14" s="586"/>
      <c r="AZ14" s="586"/>
      <c r="BA14" s="586"/>
      <c r="BB14" s="585"/>
      <c r="BC14" s="586" t="s">
        <v>152</v>
      </c>
      <c r="BD14" s="586" t="s">
        <v>25</v>
      </c>
      <c r="BE14" s="585"/>
      <c r="BF14" s="585"/>
      <c r="BG14" s="585"/>
      <c r="BH14" s="586" t="s">
        <v>152</v>
      </c>
      <c r="BI14" s="588" t="s">
        <v>152</v>
      </c>
    </row>
    <row r="15" spans="1:77" s="498" customFormat="1" ht="33" customHeight="1" x14ac:dyDescent="0.25">
      <c r="B15" s="589"/>
      <c r="C15" s="534"/>
      <c r="D15" s="533"/>
      <c r="E15" s="533"/>
      <c r="F15" s="534"/>
      <c r="G15" s="534"/>
      <c r="H15" s="534"/>
      <c r="I15" s="534"/>
      <c r="J15" s="534"/>
      <c r="K15" s="534"/>
      <c r="L15" s="534"/>
      <c r="M15" s="534"/>
      <c r="N15" s="533"/>
      <c r="O15" s="533"/>
      <c r="P15" s="534"/>
      <c r="Q15" s="534"/>
      <c r="R15" s="533"/>
      <c r="S15" s="533"/>
      <c r="T15" s="533"/>
      <c r="U15" s="533"/>
      <c r="V15" s="534"/>
      <c r="W15" s="534"/>
      <c r="X15" s="534" t="s">
        <v>153</v>
      </c>
      <c r="Y15" s="534"/>
      <c r="Z15" s="534" t="s">
        <v>154</v>
      </c>
      <c r="AA15" s="534"/>
      <c r="AB15" s="534" t="s">
        <v>155</v>
      </c>
      <c r="AC15" s="534"/>
      <c r="AD15" s="534"/>
      <c r="AE15" s="534"/>
      <c r="AF15" s="534" t="s">
        <v>156</v>
      </c>
      <c r="AG15" s="534" t="s">
        <v>157</v>
      </c>
      <c r="AH15" s="537" t="s">
        <v>158</v>
      </c>
      <c r="AI15" s="534"/>
      <c r="AJ15" s="534"/>
      <c r="AK15" s="535"/>
      <c r="AL15" s="535"/>
      <c r="AM15" s="535"/>
      <c r="AN15" s="535"/>
      <c r="AO15" s="535"/>
      <c r="AP15" s="535"/>
      <c r="AQ15" s="534"/>
      <c r="AR15" s="534"/>
      <c r="AS15" s="534"/>
      <c r="AT15" s="534"/>
      <c r="AU15" s="533" t="s">
        <v>153</v>
      </c>
      <c r="AV15" s="533"/>
      <c r="AW15" s="533" t="s">
        <v>154</v>
      </c>
      <c r="AX15" s="533"/>
      <c r="AY15" s="533" t="s">
        <v>159</v>
      </c>
      <c r="AZ15" s="533"/>
      <c r="BA15" s="533"/>
      <c r="BB15" s="534"/>
      <c r="BC15" s="533"/>
      <c r="BD15" s="533"/>
      <c r="BE15" s="534"/>
      <c r="BF15" s="534"/>
      <c r="BG15" s="534"/>
      <c r="BH15" s="533"/>
      <c r="BI15" s="590"/>
    </row>
    <row r="16" spans="1:77" s="498" customFormat="1" ht="30.75" hidden="1" customHeight="1" x14ac:dyDescent="0.25">
      <c r="A16" s="498" t="s">
        <v>160</v>
      </c>
      <c r="B16" s="591"/>
      <c r="C16" s="539"/>
      <c r="D16" s="540" t="s">
        <v>161</v>
      </c>
      <c r="E16" s="539" t="s">
        <v>162</v>
      </c>
      <c r="F16" s="539"/>
      <c r="G16" s="539"/>
      <c r="H16" s="539"/>
      <c r="I16" s="539"/>
      <c r="J16" s="539"/>
      <c r="K16" s="539"/>
      <c r="L16" s="539"/>
      <c r="M16" s="539"/>
      <c r="N16" s="540" t="s">
        <v>163</v>
      </c>
      <c r="O16" s="540" t="s">
        <v>164</v>
      </c>
      <c r="P16" s="539"/>
      <c r="Q16" s="539"/>
      <c r="R16" s="539"/>
      <c r="S16" s="539"/>
      <c r="T16" s="538"/>
      <c r="U16" s="539" t="s">
        <v>165</v>
      </c>
      <c r="V16" s="539" t="s">
        <v>166</v>
      </c>
      <c r="W16" s="539"/>
      <c r="X16" s="539" t="s">
        <v>167</v>
      </c>
      <c r="Y16" s="539"/>
      <c r="Z16" s="539" t="s">
        <v>168</v>
      </c>
      <c r="AA16" s="539"/>
      <c r="AB16" s="539" t="s">
        <v>169</v>
      </c>
      <c r="AC16" s="539"/>
      <c r="AD16" s="539"/>
      <c r="AE16" s="539"/>
      <c r="AF16" s="539"/>
      <c r="AG16" s="539"/>
      <c r="AH16" s="539"/>
      <c r="AI16" s="539"/>
      <c r="AJ16" s="539"/>
      <c r="AK16" s="539"/>
      <c r="AL16" s="539"/>
      <c r="AM16" s="539"/>
      <c r="AN16" s="539"/>
      <c r="AO16" s="539"/>
      <c r="AP16" s="539"/>
      <c r="AQ16" s="539"/>
      <c r="AR16" s="539"/>
      <c r="AS16" s="539"/>
      <c r="AT16" s="539"/>
      <c r="AU16" s="539" t="s">
        <v>166</v>
      </c>
      <c r="AV16" s="539"/>
      <c r="AW16" s="539" t="s">
        <v>167</v>
      </c>
      <c r="AX16" s="539"/>
      <c r="AY16" s="539" t="s">
        <v>168</v>
      </c>
      <c r="AZ16" s="180"/>
      <c r="BA16" s="539" t="s">
        <v>169</v>
      </c>
      <c r="BB16" s="539"/>
      <c r="BC16" s="539"/>
      <c r="BD16" s="539"/>
      <c r="BE16" s="539"/>
      <c r="BF16" s="539"/>
      <c r="BG16" s="539"/>
      <c r="BH16" s="539"/>
      <c r="BI16" s="592"/>
    </row>
    <row r="17" spans="1:126" x14ac:dyDescent="0.25">
      <c r="A17" t="s">
        <v>170</v>
      </c>
      <c r="B17" s="434">
        <v>1</v>
      </c>
      <c r="C17" s="191"/>
      <c r="D17" s="191">
        <v>2</v>
      </c>
      <c r="E17" s="191">
        <v>3</v>
      </c>
      <c r="F17" s="191"/>
      <c r="G17" s="191"/>
      <c r="H17" s="191"/>
      <c r="I17" s="191"/>
      <c r="J17" s="191"/>
      <c r="K17" s="191"/>
      <c r="L17" s="191"/>
      <c r="M17" s="191"/>
      <c r="N17" s="192">
        <v>4</v>
      </c>
      <c r="O17" s="192"/>
      <c r="P17" s="191"/>
      <c r="Q17" s="191"/>
      <c r="R17" s="192">
        <v>5</v>
      </c>
      <c r="S17" s="192"/>
      <c r="T17" s="192"/>
      <c r="U17" s="191">
        <v>6</v>
      </c>
      <c r="V17" s="191">
        <v>7</v>
      </c>
      <c r="W17" s="191"/>
      <c r="X17" s="191">
        <v>8</v>
      </c>
      <c r="Y17" s="191"/>
      <c r="Z17" s="191"/>
      <c r="AA17" s="191"/>
      <c r="AB17" s="191">
        <v>9</v>
      </c>
      <c r="AC17" s="191">
        <v>10</v>
      </c>
      <c r="AD17" s="191"/>
      <c r="AE17" s="191"/>
      <c r="AF17" s="191"/>
      <c r="AG17" s="191"/>
      <c r="AH17" s="191"/>
      <c r="AI17" s="191"/>
      <c r="AJ17" s="191"/>
      <c r="AK17" s="191"/>
      <c r="AL17" s="191"/>
      <c r="AM17" s="191"/>
      <c r="AN17" s="191"/>
      <c r="AO17" s="191"/>
      <c r="AP17" s="191"/>
      <c r="AQ17" s="191"/>
      <c r="AR17" s="191"/>
      <c r="AS17" s="191"/>
      <c r="AT17" s="191"/>
      <c r="AU17" s="192">
        <v>6</v>
      </c>
      <c r="AV17" s="192"/>
      <c r="AW17" s="192">
        <v>7</v>
      </c>
      <c r="AX17" s="192"/>
      <c r="AY17" s="192">
        <v>8</v>
      </c>
      <c r="AZ17" s="192"/>
      <c r="BA17" s="192"/>
      <c r="BB17" s="191"/>
      <c r="BC17" s="191">
        <v>10</v>
      </c>
      <c r="BD17" s="191"/>
      <c r="BE17" s="191"/>
      <c r="BF17" s="191"/>
      <c r="BG17" s="191"/>
      <c r="BH17" s="191">
        <v>10</v>
      </c>
      <c r="BI17" s="435">
        <v>9</v>
      </c>
    </row>
    <row r="18" spans="1:126" s="175" customFormat="1" ht="27.75" customHeight="1" x14ac:dyDescent="0.25">
      <c r="A18" s="237">
        <v>92</v>
      </c>
      <c r="B18" s="593">
        <v>1</v>
      </c>
      <c r="C18" s="163" t="str">
        <f t="shared" ref="C18:C31" si="0">IF(E18="Nam","Ông","Bà")</f>
        <v>Bà</v>
      </c>
      <c r="D18" s="541" t="s">
        <v>60</v>
      </c>
      <c r="E18" s="163" t="s">
        <v>40</v>
      </c>
      <c r="F18" s="542" t="s">
        <v>61</v>
      </c>
      <c r="G18" s="542" t="s">
        <v>15</v>
      </c>
      <c r="H18" s="542" t="s">
        <v>35</v>
      </c>
      <c r="I18" s="542" t="s">
        <v>15</v>
      </c>
      <c r="J18" s="163" t="s">
        <v>62</v>
      </c>
      <c r="K18" s="163"/>
      <c r="L18" s="163"/>
      <c r="M18" s="543" t="e">
        <f>VLOOKUP(L18,'[2]- DLiêu Gốc -'!$B$2:$G$121,2,0)</f>
        <v>#N/A</v>
      </c>
      <c r="N18" s="544"/>
      <c r="O18" s="545" t="s">
        <v>63</v>
      </c>
      <c r="P18" s="295" t="str">
        <f>VLOOKUP(U18,'[2]- DLiêu Gốc -'!$B$2:$G$56,5,0)</f>
        <v>A1</v>
      </c>
      <c r="Q18" s="295" t="str">
        <f>VLOOKUP(U18,'[2]- DLiêu Gốc -'!$B$2:$G$56,6,0)</f>
        <v>- - -</v>
      </c>
      <c r="R18" s="163" t="s">
        <v>43</v>
      </c>
      <c r="S18" s="546" t="str">
        <f t="shared" ref="S18:S31" si="1">IF(OR(U18="Kỹ thuật viên đánh máy",U18="Nhân viên đánh máy",U18="Nhân viên kỹ thuật",U18="Nhân viên văn thư",U18="Nhân viên phục vụ",U18="Lái xe cơ quan",U18="Nhân viên bảo vệ"),"Nhân viên",U18)</f>
        <v>Giảng viên (hạng III)</v>
      </c>
      <c r="T18" s="547" t="str">
        <f t="shared" ref="T18:T31" si="2">IF(S18="Nhân viên","01.005",V18)</f>
        <v>V.07.01.03</v>
      </c>
      <c r="U18" s="548" t="s">
        <v>44</v>
      </c>
      <c r="V18" s="161" t="str">
        <f>VLOOKUP(U18,'[2]- DLiêu Gốc -'!$B$1:$G$121,2,0)</f>
        <v>V.07.01.03</v>
      </c>
      <c r="W18" s="549" t="str">
        <f t="shared" ref="W18:W31" si="3">IF(OR(AND(AN18=36,AM18=3),AND(AN18=24,AM18=2),AND(AN18=12,AM18=1)),"Đến $",IF(AND(AN18&lt;12*10,OR(AND(AN18&gt;36,AM18=3),AND(AN18&gt;24,AN18&lt;120,AM18=2),AND(AN18&gt;12,AM18=1))),"Dừng $","Lương"))</f>
        <v>Lương</v>
      </c>
      <c r="X18" s="549">
        <v>3</v>
      </c>
      <c r="Y18" s="549" t="str">
        <f t="shared" ref="Y18:Y31" si="4">IF(Z18&gt;0,"/")</f>
        <v>/</v>
      </c>
      <c r="Z18" s="549">
        <f t="shared" ref="Z18:Z31" si="5">IF(OR(AR18=0.18,AR18=0.2),12,IF(AR18=0.31,10,IF(AR18=0.33,9,IF(AR18=0.34,8,IF(AR18=0.36,6)))))</f>
        <v>9</v>
      </c>
      <c r="AA18" s="549">
        <f t="shared" ref="AA18:AA31" si="6">AQ18+(X18-1)*AR18</f>
        <v>3</v>
      </c>
      <c r="AB18" s="549">
        <f t="shared" ref="AB18:AB31" si="7">X18+1</f>
        <v>4</v>
      </c>
      <c r="AC18" s="549" t="str">
        <f t="shared" ref="AC18:AC31" si="8">IF(Z18=X18,"%",IF(Z18&gt;X18,"/"))</f>
        <v>/</v>
      </c>
      <c r="AD18" s="549">
        <f t="shared" ref="AD18:AD31" si="9">IF(AND(Z18=X18,AB18=4),5,IF(AND(Z18=X18,AB18&gt;4),AB18+1,IF(Z18&gt;X18,Z18)))</f>
        <v>9</v>
      </c>
      <c r="AE18" s="549">
        <f t="shared" ref="AE18:AE31" si="10">IF(Z18=X18,"%",IF(Z18&gt;X18,AA18+AR18))</f>
        <v>3.33</v>
      </c>
      <c r="AF18" s="549" t="s">
        <v>14</v>
      </c>
      <c r="AG18" s="549" t="s">
        <v>15</v>
      </c>
      <c r="AH18" s="549" t="s">
        <v>14</v>
      </c>
      <c r="AI18" s="549" t="s">
        <v>15</v>
      </c>
      <c r="AJ18" s="549">
        <v>2012</v>
      </c>
      <c r="AK18" s="167" t="s">
        <v>64</v>
      </c>
      <c r="AL18" s="161"/>
      <c r="AM18" s="549">
        <f t="shared" ref="AM18:AM31" si="11">IF(AND(Z18&gt;X18,OR(AR18=0.18,AR18=0.2)),2,IF(AND(Z18&gt;X18,OR(AR18=0.31,AR18=0.33,AR18=0.34,AR18=0.36)),3,IF(Z18=X18,1)))</f>
        <v>3</v>
      </c>
      <c r="AN18" s="549">
        <f t="shared" ref="AN18:AN31" si="12">12*($W$2-AJ18)+($W$3-AH18)-AO18</f>
        <v>-24146</v>
      </c>
      <c r="AO18" s="548">
        <v>1</v>
      </c>
      <c r="AP18" s="548"/>
      <c r="AQ18" s="549">
        <f>VLOOKUP(U18,'[2]- DLiêu Gốc -'!$B$1:$E$56,3,0)</f>
        <v>2.34</v>
      </c>
      <c r="AR18" s="549">
        <f>VLOOKUP(U18,'[2]- DLiêu Gốc -'!$B$1:$E$56,4,0)</f>
        <v>0.33</v>
      </c>
      <c r="AS18" s="162"/>
      <c r="AT18" s="549" t="str">
        <f t="shared" ref="AT18:AT31" si="13">IF(AND(AU18&gt;3,BF18=12),"Đến %",IF(AND(AU18&gt;3,BF18&gt;12,BF18&lt;120),"Dừng %",IF(AND(AU18&gt;3,BF18&lt;12),"PCTN","o-o-o")))</f>
        <v>PCTN</v>
      </c>
      <c r="AU18" s="550">
        <v>11</v>
      </c>
      <c r="AV18" s="551" t="s">
        <v>47</v>
      </c>
      <c r="AW18" s="550">
        <f t="shared" ref="AW18:AW31" si="14">IF(AU18&gt;3,AU18+1,0)</f>
        <v>12</v>
      </c>
      <c r="AX18" s="552" t="s">
        <v>47</v>
      </c>
      <c r="AY18" s="553" t="s">
        <v>46</v>
      </c>
      <c r="AZ18" s="300" t="s">
        <v>15</v>
      </c>
      <c r="BA18" s="554">
        <v>2015</v>
      </c>
      <c r="BB18" s="555"/>
      <c r="BC18" s="555"/>
      <c r="BD18" s="548"/>
      <c r="BE18" s="555">
        <v>2</v>
      </c>
      <c r="BF18" s="548">
        <f t="shared" ref="BF18:BF31" si="15">IF(AU18&gt;3,(($AT$2-BA18)*12+($AT$4-AY18)-BC18),"- - -")</f>
        <v>-24182</v>
      </c>
      <c r="BG18" s="185" t="str">
        <f t="shared" ref="BG18:BG31" si="16">IF(AND(CF18="Hưu",AU18&gt;3),12-(12*(CL18-BA18)+(CK18-AY18))-BC18,"- - -")</f>
        <v>- - -</v>
      </c>
      <c r="BH18" s="555" t="str">
        <f t="shared" ref="BH18:BH31" si="17">IF(BK18="công chức, viên chức","CC,VC",IF(BK18="người lao động","NLĐ","- - -"))</f>
        <v>CC,VC</v>
      </c>
      <c r="BI18" s="594"/>
      <c r="BJ18" s="401"/>
      <c r="BK18" s="401" t="s">
        <v>13</v>
      </c>
      <c r="BL18" s="407" t="str">
        <f t="shared" ref="BL18:BL31" si="18">IF(O18="Cơ sở Học viện Hành chính khu vực miền Trung","B",IF(O18="Phân viện Khu vực Tây Nguyên","C",IF(O18="Cơ sở Học viện Hành chính tại thành phố Hồ Chí Minh","D","A")))</f>
        <v>A</v>
      </c>
      <c r="BM18" s="405" t="str">
        <f t="shared" ref="BM18:BM31" si="19">IF(AND(AB18&gt;0,X18&lt;(Z18-1),BN18&gt;0,BN18&lt;13,OR(AND(BT18="Cùg Ng",($BM$2-BP18)&gt;AM18),BT18="- - -")),"Sớm TT","=&gt; s")</f>
        <v>=&gt; s</v>
      </c>
      <c r="BN18" s="407">
        <f t="shared" ref="BN18:BN31" si="20">IF(AM18=3,36-(12*($BM$2-AJ18)+(12-AH18)-AO18),IF(AM18=2,24-(12*($BM$2-AJ18)+(12-AH18)-AO18),"---"))</f>
        <v>24170</v>
      </c>
      <c r="BO18" s="401" t="str">
        <f t="shared" ref="BO18:BO31" si="21">IF(BP18&gt;1,"S","---")</f>
        <v>---</v>
      </c>
      <c r="BP18" s="407"/>
      <c r="BQ18" s="411"/>
      <c r="BR18" s="411"/>
      <c r="BS18" s="583"/>
      <c r="BT18" s="400" t="str">
        <f t="shared" ref="BT18:BT31" si="22">IF(T18=BQ18,"Cùg Ng","- - -")</f>
        <v>- - -</v>
      </c>
      <c r="BU18" s="400" t="str">
        <f t="shared" ref="BU18:BU31" si="23">IF(BW18&gt;2000,"NN","- - -")</f>
        <v>- - -</v>
      </c>
      <c r="BV18" s="400"/>
      <c r="BW18" s="400"/>
      <c r="BX18" s="400"/>
      <c r="BY18" s="400"/>
      <c r="BZ18" s="411" t="str">
        <f t="shared" ref="BZ18:BZ31" si="24">IF(CB18&gt;2000,"CN","- - -")</f>
        <v>- - -</v>
      </c>
      <c r="CA18" s="407"/>
      <c r="CB18" s="407"/>
      <c r="CC18" s="413"/>
      <c r="CD18" s="413"/>
      <c r="CE18" s="400" t="str">
        <f t="shared" ref="CE18:CE31" si="25">IF(AND(CF18="Hưu",X18&lt;(Z18-1),CM18&gt;0,CM18&lt;18,OR(AU18&lt;4,AND(AU18&gt;3,OR(BG18&lt;3,BG18&gt;5)))),"Lg Sớm",IF(AND(CF18="Hưu",X18&gt;(Z18-2),OR(AR18=0.33,AR18=0.34),OR(AU18&lt;4,AND(AU18&gt;3,OR(BG18&lt;3,BG18&gt;5)))),"Nâng Ngạch",IF(AND(CF18="Hưu",AM18=1,CM18&gt;2,CM18&lt;6,OR(AU18&lt;4,AND(AU18&gt;3,OR(BG18&lt;3,BG18&gt;5)))),"Nâng PcVK cùng QĐ",IF(AND(CF18="Hưu",AU18&gt;3,BG18&gt;2,BG18&lt;6,X18&lt;(Z18-1),CM18&gt;17,OR(AM18&gt;1,AND(AM18=1,OR(CM18&lt;3,CM18&gt;5)))),"Nâng PcNG cùng QĐ",IF(AND(CF18="Hưu",X18&lt;(Z18-1),CM18&gt;0,CM18&lt;18,AU18&gt;3,BG18&gt;2,BG18&lt;6),"Nâng Lg Sớm +(PcNG cùng QĐ)",IF(AND(CF18="Hưu",X18&gt;(Z18-2),OR(AR18=0.33,AR18=0.34),AU18&gt;3,BG18&gt;2,BG18&lt;6),"Nâng Ngạch +(PcNG cùng QĐ)",IF(AND(CF18="Hưu",AM18=1,CM18&gt;2,CM18&lt;6,AU18&gt;3,BG18&gt;2,BG18&lt;6),"Nâng (PcVK +PcNG) cùng QĐ",("---"))))))))</f>
        <v>---</v>
      </c>
      <c r="CF18" s="407" t="str">
        <f t="shared" ref="CF18:CF31" si="26">IF(AND(CQ18&gt;CP18,CQ18&lt;(CP18+13)),"Hưu",IF(AND(CQ18&gt;(CP18+12),CQ18&lt;1000),"Quá","/-/ /-/"))</f>
        <v>/-/ /-/</v>
      </c>
      <c r="CG18" s="407">
        <f t="shared" ref="CG18:CG31" si="27">IF((H18+0)&lt;12,(H18+0)+1,IF((H18+0)=12,1,IF((H18+0)&gt;12,(H18+0)-12)))</f>
        <v>9</v>
      </c>
      <c r="CH18" s="407">
        <f t="shared" ref="CH18:CH31" si="28">IF(OR((H18+0)=12,(H18+0)&gt;12),J18+CP18/12+1,IF(AND((H18+0)&gt;0,(H18+0)&lt;12),J18+CP18/12,"---"))</f>
        <v>2032</v>
      </c>
      <c r="CI18" s="400">
        <f t="shared" ref="CI18:CI31" si="29">IF(AND(CG18&gt;3,CG18&lt;13),CG18-3,IF(CG18&lt;4,CG18-3+12))</f>
        <v>6</v>
      </c>
      <c r="CJ18" s="400">
        <f t="shared" ref="CJ18:CJ31" si="30">IF(CI18&lt;CG18,CH18,IF(CI18&gt;CG18,CH18-1))</f>
        <v>2032</v>
      </c>
      <c r="CK18" s="401">
        <f t="shared" ref="CK18:CK31" si="31">IF(CG18&gt;6,CG18-6,IF(CG18=6,12,IF(CG18&lt;6,CG18+6)))</f>
        <v>3</v>
      </c>
      <c r="CL18" s="407">
        <f t="shared" ref="CL18:CL31" si="32">IF(CG18&gt;6,CH18,IF(CG18&lt;7,CH18-1))</f>
        <v>2032</v>
      </c>
      <c r="CM18" s="407" t="str">
        <f t="shared" ref="CM18:CM31" si="33">IF(AND(CF18="Hưu",AM18=3),36+AO18-(12*(CL18-AJ18)+(CK18-AH18)),IF(AND(CF18="Hưu",AM18=2),24+AO18-(12*(CL18-AJ18)+(CK18-AH18)),IF(AND(CF18="Hưu",AM18=1),12+AO18-(12*(CL18-AJ18)+(CK18-AH18)),"- - -")))</f>
        <v>- - -</v>
      </c>
      <c r="CN18" s="407" t="str">
        <f t="shared" ref="CN18:CN31" si="34">IF(CO18&gt;0,"K.Dài",". .")</f>
        <v>. .</v>
      </c>
      <c r="CO18" s="407"/>
      <c r="CP18" s="405">
        <f t="shared" ref="CP18:CP31" si="35">IF(E18="Nam",(60+CO18)*12,IF(E18="Nữ",(55+CO18)*12,))</f>
        <v>660</v>
      </c>
      <c r="CQ18" s="405">
        <f t="shared" ref="CQ18:CQ31" si="36">12*($CF$4-J18)+(12-H18)</f>
        <v>-23720</v>
      </c>
      <c r="CR18" s="407">
        <f t="shared" ref="CR18:CR31" si="37">$CV$4-J18</f>
        <v>-1977</v>
      </c>
      <c r="CS18" s="405" t="str">
        <f t="shared" ref="CS18:CS31" si="38">IF(AND(CR18&lt;35,E18="Nam"),"Nam dưới 35",IF(AND(CR18&lt;30,E18="Nữ"),"Nữ dưới 30",IF(AND(CR18&gt;34,CR18&lt;46,E18="Nam"),"Nam từ 35 - 45",IF(AND(CR18&gt;29,CR18&lt;41,E18="Nữ"),"Nữ từ 30 - 40",IF(AND(CR18&gt;45,CR18&lt;56,E18="Nam"),"Nam trên 45 - 55",IF(AND(CR18&gt;40,CR18&lt;51,E18="Nữ"),"Nữ trên 40 - 50",IF(AND(CR18&gt;55,E18="Nam"),"Nam trên 55","Nữ trên 50")))))))</f>
        <v>Nữ dưới 30</v>
      </c>
      <c r="CT18" s="400"/>
      <c r="CU18" s="400"/>
      <c r="CV18" s="400" t="str">
        <f t="shared" ref="CV18:CV31" si="39">IF(CR18&lt;31,"Đến 30",IF(AND(CR18&gt;30,CR18&lt;46),"31 - 45",IF(AND(CR18&gt;45,CR18&lt;70),"Trên 45")))</f>
        <v>Đến 30</v>
      </c>
      <c r="CW18" s="400" t="str">
        <f t="shared" ref="CW18:CW31" si="40">IF(CX18&gt;0,"TD","--")</f>
        <v>--</v>
      </c>
      <c r="CX18" s="400"/>
      <c r="CY18" s="400"/>
      <c r="CZ18" s="400"/>
      <c r="DA18" s="400"/>
      <c r="DB18" s="400"/>
      <c r="DC18" s="400"/>
      <c r="DD18" s="400"/>
      <c r="DE18" s="400"/>
      <c r="DF18" s="400"/>
      <c r="DG18" s="400"/>
      <c r="DH18" s="400" t="s">
        <v>14</v>
      </c>
      <c r="DI18" s="400" t="s">
        <v>15</v>
      </c>
      <c r="DJ18" s="400" t="s">
        <v>14</v>
      </c>
      <c r="DK18" s="400" t="s">
        <v>15</v>
      </c>
      <c r="DL18" s="400" t="s">
        <v>65</v>
      </c>
      <c r="DM18" s="582">
        <f t="shared" ref="DM18:DM31" si="41">(DH18+0)-(DO18+0)</f>
        <v>0</v>
      </c>
      <c r="DN18" s="175" t="str">
        <f t="shared" ref="DN18:DN31" si="42">IF(DM18&gt;0,"Sửa","- - -")</f>
        <v>- - -</v>
      </c>
      <c r="DO18" s="175" t="s">
        <v>14</v>
      </c>
      <c r="DP18" s="175" t="s">
        <v>15</v>
      </c>
      <c r="DQ18" s="175" t="s">
        <v>14</v>
      </c>
      <c r="DR18" s="175" t="s">
        <v>15</v>
      </c>
      <c r="DS18" s="175" t="s">
        <v>65</v>
      </c>
      <c r="DU18" s="175" t="str">
        <f t="shared" ref="DU18:DU31" si="43">IF(AND(AR18&gt;0.34,AB18=1,OR(AQ18=6.2,AQ18=5.75)),((AQ18-DT18)-2*0.34),IF(AND(AR18&gt;0.33,AB18=1,OR(AQ18=4.4,AQ18=4)),((AQ18-DT18)-2*0.33),"- - -"))</f>
        <v>- - -</v>
      </c>
      <c r="DV18" s="175" t="str">
        <f t="shared" ref="DV18:DV31" si="44">IF(CF18="Hưu",12*(CL18-AJ18)+(CK18-AH18),"---")</f>
        <v>---</v>
      </c>
    </row>
    <row r="19" spans="1:126" s="175" customFormat="1" ht="48" customHeight="1" x14ac:dyDescent="0.25">
      <c r="A19" s="237"/>
      <c r="B19" s="595"/>
      <c r="C19" s="315"/>
      <c r="D19" s="556" t="s">
        <v>171</v>
      </c>
      <c r="E19" s="557"/>
      <c r="F19" s="557"/>
      <c r="G19" s="557"/>
      <c r="H19" s="557"/>
      <c r="I19" s="557"/>
      <c r="J19" s="557"/>
      <c r="K19" s="557"/>
      <c r="L19" s="557"/>
      <c r="M19" s="557"/>
      <c r="N19" s="557"/>
      <c r="O19" s="557"/>
      <c r="P19" s="557"/>
      <c r="Q19" s="557"/>
      <c r="R19" s="557"/>
      <c r="S19" s="557"/>
      <c r="T19" s="557"/>
      <c r="U19" s="557"/>
      <c r="V19" s="557"/>
      <c r="W19" s="557"/>
      <c r="X19" s="557"/>
      <c r="Y19" s="557"/>
      <c r="Z19" s="557"/>
      <c r="AA19" s="557"/>
      <c r="AB19" s="557"/>
      <c r="AC19" s="557"/>
      <c r="AD19" s="557"/>
      <c r="AE19" s="557"/>
      <c r="AF19" s="557"/>
      <c r="AG19" s="557"/>
      <c r="AH19" s="557"/>
      <c r="AI19" s="557"/>
      <c r="AJ19" s="557"/>
      <c r="AK19" s="557"/>
      <c r="AL19" s="557"/>
      <c r="AM19" s="557"/>
      <c r="AN19" s="557"/>
      <c r="AO19" s="557"/>
      <c r="AP19" s="557"/>
      <c r="AQ19" s="557"/>
      <c r="AR19" s="557"/>
      <c r="AS19" s="557"/>
      <c r="AT19" s="557"/>
      <c r="AU19" s="557"/>
      <c r="AV19" s="557"/>
      <c r="AW19" s="557"/>
      <c r="AX19" s="557"/>
      <c r="AY19" s="557"/>
      <c r="AZ19" s="557"/>
      <c r="BA19" s="557"/>
      <c r="BB19" s="515"/>
      <c r="BC19" s="515"/>
      <c r="BD19" s="558"/>
      <c r="BE19" s="515"/>
      <c r="BF19" s="558"/>
      <c r="BG19" s="559"/>
      <c r="BH19" s="515"/>
      <c r="BI19" s="596"/>
      <c r="BJ19" s="401"/>
      <c r="BK19" s="401"/>
      <c r="BL19" s="407"/>
      <c r="BM19" s="405"/>
      <c r="BN19" s="407"/>
      <c r="BO19" s="401"/>
      <c r="BP19" s="407"/>
      <c r="BQ19" s="411"/>
      <c r="BR19" s="411"/>
      <c r="BS19" s="583"/>
      <c r="BT19" s="400"/>
      <c r="BU19" s="400"/>
      <c r="BV19" s="400"/>
      <c r="BW19" s="400"/>
      <c r="BX19" s="400"/>
      <c r="BY19" s="400"/>
      <c r="BZ19" s="411"/>
      <c r="CA19" s="407"/>
      <c r="CB19" s="407"/>
      <c r="CC19" s="413"/>
      <c r="CD19" s="413"/>
      <c r="CE19" s="400"/>
      <c r="CF19" s="407"/>
      <c r="CG19" s="407"/>
      <c r="CH19" s="407"/>
      <c r="CI19" s="400"/>
      <c r="CJ19" s="400"/>
      <c r="CK19" s="401"/>
      <c r="CL19" s="407"/>
      <c r="CM19" s="407"/>
      <c r="CN19" s="407"/>
      <c r="CO19" s="407"/>
      <c r="CP19" s="405"/>
      <c r="CQ19" s="405"/>
      <c r="CR19" s="407"/>
      <c r="CS19" s="405"/>
      <c r="CT19" s="400"/>
      <c r="CU19" s="400"/>
      <c r="CV19" s="400"/>
      <c r="CW19" s="400"/>
      <c r="CX19" s="400"/>
      <c r="CY19" s="400"/>
      <c r="CZ19" s="400"/>
      <c r="DA19" s="400"/>
      <c r="DB19" s="400"/>
      <c r="DC19" s="400"/>
      <c r="DD19" s="400"/>
      <c r="DE19" s="400"/>
      <c r="DF19" s="400"/>
      <c r="DG19" s="400"/>
      <c r="DH19" s="400"/>
      <c r="DI19" s="400"/>
      <c r="DJ19" s="400"/>
      <c r="DK19" s="400"/>
      <c r="DL19" s="400"/>
      <c r="DM19" s="582"/>
    </row>
    <row r="20" spans="1:126" s="175" customFormat="1" ht="35.25" customHeight="1" x14ac:dyDescent="0.25">
      <c r="A20" s="237">
        <v>54</v>
      </c>
      <c r="B20" s="591">
        <v>2</v>
      </c>
      <c r="C20" s="171" t="str">
        <f t="shared" si="0"/>
        <v>Bà</v>
      </c>
      <c r="D20" s="560" t="s">
        <v>172</v>
      </c>
      <c r="E20" s="171" t="s">
        <v>40</v>
      </c>
      <c r="F20" s="561" t="s">
        <v>173</v>
      </c>
      <c r="G20" s="561" t="s">
        <v>15</v>
      </c>
      <c r="H20" s="561" t="s">
        <v>174</v>
      </c>
      <c r="I20" s="561" t="s">
        <v>15</v>
      </c>
      <c r="J20" s="171" t="s">
        <v>175</v>
      </c>
      <c r="K20" s="171" t="str">
        <f>IF(AND((M20+0)&gt;0.3,(M20+0)&lt;1.5),"CVụ","- -")</f>
        <v>CVụ</v>
      </c>
      <c r="L20" s="171" t="s">
        <v>176</v>
      </c>
      <c r="M20" s="176" t="str">
        <f>VLOOKUP(L20,'[1]- DLiêu Gốc -'!$B$2:$G$121,2,0)</f>
        <v>0,6</v>
      </c>
      <c r="N20" s="562" t="s">
        <v>177</v>
      </c>
      <c r="O20" s="563" t="s">
        <v>178</v>
      </c>
      <c r="P20" s="254" t="str">
        <f>VLOOKUP(U20,'[1]- DLiêu Gốc -'!$B$2:$G$56,5,0)</f>
        <v>A2</v>
      </c>
      <c r="Q20" s="254" t="str">
        <f>VLOOKUP(U20,'[1]- DLiêu Gốc -'!$B$2:$G$56,6,0)</f>
        <v>A2.1</v>
      </c>
      <c r="R20" s="171" t="s">
        <v>43</v>
      </c>
      <c r="S20" s="564" t="str">
        <f t="shared" si="1"/>
        <v>Giảng viên chính (hạng II)</v>
      </c>
      <c r="T20" s="565" t="str">
        <f t="shared" si="2"/>
        <v>V.07.01.02</v>
      </c>
      <c r="U20" s="271" t="s">
        <v>86</v>
      </c>
      <c r="V20" s="174" t="str">
        <f>VLOOKUP(U20,'[1]- DLiêu Gốc -'!$B$1:$G$121,2,0)</f>
        <v>V.07.01.02</v>
      </c>
      <c r="W20" s="539" t="str">
        <f t="shared" si="3"/>
        <v>Lương</v>
      </c>
      <c r="X20" s="539">
        <v>1</v>
      </c>
      <c r="Y20" s="539" t="str">
        <f t="shared" si="4"/>
        <v>/</v>
      </c>
      <c r="Z20" s="539">
        <f t="shared" si="5"/>
        <v>8</v>
      </c>
      <c r="AA20" s="539">
        <f t="shared" si="6"/>
        <v>4.4000000000000004</v>
      </c>
      <c r="AB20" s="539">
        <f t="shared" si="7"/>
        <v>2</v>
      </c>
      <c r="AC20" s="539" t="str">
        <f t="shared" si="8"/>
        <v>/</v>
      </c>
      <c r="AD20" s="539">
        <f t="shared" si="9"/>
        <v>8</v>
      </c>
      <c r="AE20" s="539">
        <f t="shared" si="10"/>
        <v>4.74</v>
      </c>
      <c r="AF20" s="539" t="s">
        <v>14</v>
      </c>
      <c r="AG20" s="539" t="s">
        <v>15</v>
      </c>
      <c r="AH20" s="539" t="s">
        <v>14</v>
      </c>
      <c r="AI20" s="539" t="s">
        <v>15</v>
      </c>
      <c r="AJ20" s="539">
        <v>2014</v>
      </c>
      <c r="AK20" s="180"/>
      <c r="AL20" s="174"/>
      <c r="AM20" s="539">
        <f t="shared" si="11"/>
        <v>3</v>
      </c>
      <c r="AN20" s="539">
        <f t="shared" si="12"/>
        <v>-24169</v>
      </c>
      <c r="AO20" s="271"/>
      <c r="AP20" s="271"/>
      <c r="AQ20" s="539">
        <f>VLOOKUP(U20,'[1]- DLiêu Gốc -'!$B$1:$E$56,3,0)</f>
        <v>4.4000000000000004</v>
      </c>
      <c r="AR20" s="539">
        <f>VLOOKUP(U20,'[1]- DLiêu Gốc -'!$B$1:$E$56,4,0)</f>
        <v>0.34</v>
      </c>
      <c r="AT20" s="539" t="str">
        <f t="shared" si="13"/>
        <v>PCTN</v>
      </c>
      <c r="AU20" s="566">
        <v>17</v>
      </c>
      <c r="AV20" s="567" t="s">
        <v>47</v>
      </c>
      <c r="AW20" s="566">
        <f t="shared" si="14"/>
        <v>18</v>
      </c>
      <c r="AX20" s="568" t="s">
        <v>47</v>
      </c>
      <c r="AY20" s="569" t="s">
        <v>46</v>
      </c>
      <c r="AZ20" s="259" t="s">
        <v>15</v>
      </c>
      <c r="BA20" s="570">
        <v>2015</v>
      </c>
      <c r="BB20" s="515"/>
      <c r="BC20" s="515"/>
      <c r="BD20" s="271"/>
      <c r="BE20" s="515">
        <v>2</v>
      </c>
      <c r="BF20" s="271">
        <f t="shared" si="15"/>
        <v>-24182</v>
      </c>
      <c r="BG20" s="172" t="str">
        <f t="shared" si="16"/>
        <v>- - -</v>
      </c>
      <c r="BH20" s="515" t="str">
        <f t="shared" si="17"/>
        <v>CC,VC</v>
      </c>
      <c r="BI20" s="597"/>
      <c r="BJ20" s="401"/>
      <c r="BK20" s="401" t="s">
        <v>13</v>
      </c>
      <c r="BL20" s="407" t="str">
        <f t="shared" si="18"/>
        <v>A</v>
      </c>
      <c r="BM20" s="405" t="str">
        <f t="shared" si="19"/>
        <v>=&gt; s</v>
      </c>
      <c r="BN20" s="407">
        <f t="shared" si="20"/>
        <v>24193</v>
      </c>
      <c r="BO20" s="401" t="str">
        <f t="shared" si="21"/>
        <v>S</v>
      </c>
      <c r="BP20" s="407">
        <v>2008</v>
      </c>
      <c r="BQ20" s="411" t="s">
        <v>45</v>
      </c>
      <c r="BR20" s="411"/>
      <c r="BS20" s="583"/>
      <c r="BT20" s="400" t="str">
        <f t="shared" si="22"/>
        <v>- - -</v>
      </c>
      <c r="BU20" s="400" t="str">
        <f t="shared" si="23"/>
        <v>NN</v>
      </c>
      <c r="BV20" s="400">
        <v>1</v>
      </c>
      <c r="BW20" s="400" t="s">
        <v>36</v>
      </c>
      <c r="BX20" s="400"/>
      <c r="BY20" s="400"/>
      <c r="BZ20" s="411" t="str">
        <f t="shared" si="24"/>
        <v>- - -</v>
      </c>
      <c r="CA20" s="407"/>
      <c r="CB20" s="407"/>
      <c r="CC20" s="413"/>
      <c r="CD20" s="413"/>
      <c r="CE20" s="400" t="str">
        <f t="shared" si="25"/>
        <v>---</v>
      </c>
      <c r="CF20" s="407" t="str">
        <f t="shared" si="26"/>
        <v>/-/ /-/</v>
      </c>
      <c r="CG20" s="407">
        <f t="shared" si="27"/>
        <v>10</v>
      </c>
      <c r="CH20" s="407">
        <f t="shared" si="28"/>
        <v>2026</v>
      </c>
      <c r="CI20" s="400">
        <f t="shared" si="29"/>
        <v>7</v>
      </c>
      <c r="CJ20" s="400">
        <f t="shared" si="30"/>
        <v>2026</v>
      </c>
      <c r="CK20" s="401">
        <f t="shared" si="31"/>
        <v>4</v>
      </c>
      <c r="CL20" s="407">
        <f t="shared" si="32"/>
        <v>2026</v>
      </c>
      <c r="CM20" s="407" t="str">
        <f t="shared" si="33"/>
        <v>- - -</v>
      </c>
      <c r="CN20" s="407" t="str">
        <f t="shared" si="34"/>
        <v>. .</v>
      </c>
      <c r="CO20" s="407"/>
      <c r="CP20" s="405">
        <f t="shared" si="35"/>
        <v>660</v>
      </c>
      <c r="CQ20" s="405">
        <f t="shared" si="36"/>
        <v>-23649</v>
      </c>
      <c r="CR20" s="407">
        <f t="shared" si="37"/>
        <v>-1971</v>
      </c>
      <c r="CS20" s="405" t="str">
        <f t="shared" si="38"/>
        <v>Nữ dưới 30</v>
      </c>
      <c r="CT20" s="400"/>
      <c r="CU20" s="400"/>
      <c r="CV20" s="400" t="str">
        <f t="shared" si="39"/>
        <v>Đến 30</v>
      </c>
      <c r="CW20" s="400" t="str">
        <f t="shared" si="40"/>
        <v>--</v>
      </c>
      <c r="CX20" s="400"/>
      <c r="CY20" s="400"/>
      <c r="CZ20" s="400"/>
      <c r="DA20" s="400"/>
      <c r="DB20" s="400"/>
      <c r="DC20" s="400"/>
      <c r="DD20" s="400"/>
      <c r="DE20" s="400"/>
      <c r="DF20" s="400"/>
      <c r="DG20" s="400" t="s">
        <v>177</v>
      </c>
      <c r="DH20" s="400" t="s">
        <v>14</v>
      </c>
      <c r="DI20" s="400" t="s">
        <v>15</v>
      </c>
      <c r="DJ20" s="400" t="s">
        <v>14</v>
      </c>
      <c r="DK20" s="400" t="s">
        <v>15</v>
      </c>
      <c r="DL20" s="400">
        <v>2014</v>
      </c>
      <c r="DM20" s="582">
        <f t="shared" si="41"/>
        <v>0</v>
      </c>
      <c r="DN20" s="175" t="str">
        <f t="shared" si="42"/>
        <v>- - -</v>
      </c>
      <c r="DO20" s="175" t="s">
        <v>14</v>
      </c>
      <c r="DP20" s="175" t="s">
        <v>15</v>
      </c>
      <c r="DQ20" s="175" t="s">
        <v>14</v>
      </c>
      <c r="DR20" s="175" t="s">
        <v>15</v>
      </c>
      <c r="DS20" s="175">
        <v>2014</v>
      </c>
      <c r="DT20" s="175">
        <v>3.66</v>
      </c>
      <c r="DU20" s="175" t="str">
        <f t="shared" si="43"/>
        <v>- - -</v>
      </c>
      <c r="DV20" s="175" t="str">
        <f t="shared" si="44"/>
        <v>---</v>
      </c>
    </row>
    <row r="21" spans="1:126" s="175" customFormat="1" ht="35.25" customHeight="1" x14ac:dyDescent="0.25">
      <c r="A21" s="237">
        <v>111</v>
      </c>
      <c r="B21" s="591">
        <v>3</v>
      </c>
      <c r="C21" s="171" t="str">
        <f t="shared" si="0"/>
        <v>Ông</v>
      </c>
      <c r="D21" s="560" t="s">
        <v>179</v>
      </c>
      <c r="E21" s="171" t="s">
        <v>52</v>
      </c>
      <c r="F21" s="561" t="s">
        <v>180</v>
      </c>
      <c r="G21" s="561" t="s">
        <v>15</v>
      </c>
      <c r="H21" s="561" t="s">
        <v>14</v>
      </c>
      <c r="I21" s="561" t="s">
        <v>15</v>
      </c>
      <c r="J21" s="171" t="s">
        <v>181</v>
      </c>
      <c r="K21" s="171" t="str">
        <f>IF(AND((M21+0)&gt;0.3,(M21+0)&lt;1.5),"CVụ","- -")</f>
        <v>CVụ</v>
      </c>
      <c r="L21" s="171" t="s">
        <v>182</v>
      </c>
      <c r="M21" s="176" t="str">
        <f>VLOOKUP(L21,'[1]- DLiêu Gốc -'!$B$2:$G$121,2,0)</f>
        <v>1,0</v>
      </c>
      <c r="N21" s="562"/>
      <c r="O21" s="563" t="s">
        <v>183</v>
      </c>
      <c r="P21" s="254" t="str">
        <f>VLOOKUP(U21,'[1]- DLiêu Gốc -'!$B$2:$G$56,5,0)</f>
        <v>A3</v>
      </c>
      <c r="Q21" s="254" t="str">
        <f>VLOOKUP(U21,'[1]- DLiêu Gốc -'!$B$2:$G$56,6,0)</f>
        <v>A3.1</v>
      </c>
      <c r="R21" s="171" t="s">
        <v>43</v>
      </c>
      <c r="S21" s="564" t="str">
        <f t="shared" si="1"/>
        <v>Giảng viên cao cấp (hạng I)</v>
      </c>
      <c r="T21" s="565" t="str">
        <f t="shared" si="2"/>
        <v>V.07.01.01</v>
      </c>
      <c r="U21" s="271" t="s">
        <v>184</v>
      </c>
      <c r="V21" s="174" t="str">
        <f>VLOOKUP(U21,'[1]- DLiêu Gốc -'!$B$1:$G$121,2,0)</f>
        <v>V.07.01.01</v>
      </c>
      <c r="W21" s="539" t="str">
        <f t="shared" si="3"/>
        <v>Lương</v>
      </c>
      <c r="X21" s="539">
        <v>3</v>
      </c>
      <c r="Y21" s="539" t="str">
        <f t="shared" si="4"/>
        <v>/</v>
      </c>
      <c r="Z21" s="539">
        <f t="shared" si="5"/>
        <v>6</v>
      </c>
      <c r="AA21" s="539">
        <f t="shared" si="6"/>
        <v>6.92</v>
      </c>
      <c r="AB21" s="539">
        <f t="shared" si="7"/>
        <v>4</v>
      </c>
      <c r="AC21" s="539" t="str">
        <f t="shared" si="8"/>
        <v>/</v>
      </c>
      <c r="AD21" s="539">
        <f t="shared" si="9"/>
        <v>6</v>
      </c>
      <c r="AE21" s="539">
        <f t="shared" si="10"/>
        <v>7.28</v>
      </c>
      <c r="AF21" s="539" t="s">
        <v>14</v>
      </c>
      <c r="AG21" s="539" t="s">
        <v>15</v>
      </c>
      <c r="AH21" s="539" t="s">
        <v>91</v>
      </c>
      <c r="AI21" s="539" t="s">
        <v>15</v>
      </c>
      <c r="AJ21" s="539">
        <v>2014</v>
      </c>
      <c r="AK21" s="180"/>
      <c r="AL21" s="174"/>
      <c r="AM21" s="539">
        <f t="shared" si="11"/>
        <v>3</v>
      </c>
      <c r="AN21" s="539">
        <f t="shared" si="12"/>
        <v>-24178</v>
      </c>
      <c r="AO21" s="271"/>
      <c r="AP21" s="271"/>
      <c r="AQ21" s="539">
        <f>VLOOKUP(U21,'[1]- DLiêu Gốc -'!$B$1:$E$56,3,0)</f>
        <v>6.2</v>
      </c>
      <c r="AR21" s="539">
        <f>VLOOKUP(U21,'[1]- DLiêu Gốc -'!$B$1:$E$56,4,0)</f>
        <v>0.36</v>
      </c>
      <c r="AT21" s="539" t="str">
        <f t="shared" si="13"/>
        <v>PCTN</v>
      </c>
      <c r="AU21" s="566">
        <v>39</v>
      </c>
      <c r="AV21" s="567" t="s">
        <v>47</v>
      </c>
      <c r="AW21" s="566">
        <f t="shared" si="14"/>
        <v>40</v>
      </c>
      <c r="AX21" s="568" t="s">
        <v>47</v>
      </c>
      <c r="AY21" s="569" t="s">
        <v>46</v>
      </c>
      <c r="AZ21" s="259" t="s">
        <v>15</v>
      </c>
      <c r="BA21" s="570">
        <v>2015</v>
      </c>
      <c r="BB21" s="515"/>
      <c r="BC21" s="515"/>
      <c r="BD21" s="271"/>
      <c r="BE21" s="515">
        <v>2</v>
      </c>
      <c r="BF21" s="271">
        <f t="shared" si="15"/>
        <v>-24182</v>
      </c>
      <c r="BG21" s="172" t="str">
        <f t="shared" si="16"/>
        <v>- - -</v>
      </c>
      <c r="BH21" s="515" t="str">
        <f t="shared" si="17"/>
        <v>CC,VC</v>
      </c>
      <c r="BI21" s="597"/>
      <c r="BJ21" s="401"/>
      <c r="BK21" s="401" t="s">
        <v>13</v>
      </c>
      <c r="BL21" s="407" t="str">
        <f t="shared" si="18"/>
        <v>A</v>
      </c>
      <c r="BM21" s="405" t="str">
        <f t="shared" si="19"/>
        <v>=&gt; s</v>
      </c>
      <c r="BN21" s="407">
        <f t="shared" si="20"/>
        <v>24202</v>
      </c>
      <c r="BO21" s="401" t="str">
        <f t="shared" si="21"/>
        <v>S</v>
      </c>
      <c r="BP21" s="407">
        <v>2009</v>
      </c>
      <c r="BQ21" s="411" t="s">
        <v>87</v>
      </c>
      <c r="BR21" s="411"/>
      <c r="BS21" s="583"/>
      <c r="BT21" s="400" t="str">
        <f t="shared" si="22"/>
        <v>- - -</v>
      </c>
      <c r="BU21" s="400" t="str">
        <f t="shared" si="23"/>
        <v>NN</v>
      </c>
      <c r="BV21" s="400">
        <v>5</v>
      </c>
      <c r="BW21" s="400">
        <v>2012</v>
      </c>
      <c r="BX21" s="400"/>
      <c r="BY21" s="400"/>
      <c r="BZ21" s="411" t="str">
        <f t="shared" si="24"/>
        <v>- - -</v>
      </c>
      <c r="CA21" s="407"/>
      <c r="CB21" s="407"/>
      <c r="CC21" s="413"/>
      <c r="CD21" s="413"/>
      <c r="CE21" s="400" t="str">
        <f t="shared" si="25"/>
        <v>---</v>
      </c>
      <c r="CF21" s="407" t="str">
        <f t="shared" si="26"/>
        <v>/-/ /-/</v>
      </c>
      <c r="CG21" s="407">
        <f t="shared" si="27"/>
        <v>2</v>
      </c>
      <c r="CH21" s="407">
        <f t="shared" si="28"/>
        <v>2018</v>
      </c>
      <c r="CI21" s="400">
        <f t="shared" si="29"/>
        <v>11</v>
      </c>
      <c r="CJ21" s="400">
        <f t="shared" si="30"/>
        <v>2017</v>
      </c>
      <c r="CK21" s="401">
        <f t="shared" si="31"/>
        <v>8</v>
      </c>
      <c r="CL21" s="407">
        <f t="shared" si="32"/>
        <v>2017</v>
      </c>
      <c r="CM21" s="407" t="str">
        <f t="shared" si="33"/>
        <v>- - -</v>
      </c>
      <c r="CN21" s="407" t="str">
        <f t="shared" si="34"/>
        <v>. .</v>
      </c>
      <c r="CO21" s="407"/>
      <c r="CP21" s="405">
        <f t="shared" si="35"/>
        <v>720</v>
      </c>
      <c r="CQ21" s="405">
        <f t="shared" si="36"/>
        <v>-23485</v>
      </c>
      <c r="CR21" s="407">
        <f t="shared" si="37"/>
        <v>-1958</v>
      </c>
      <c r="CS21" s="405" t="str">
        <f t="shared" si="38"/>
        <v>Nam dưới 35</v>
      </c>
      <c r="CT21" s="400"/>
      <c r="CU21" s="400"/>
      <c r="CV21" s="400" t="str">
        <f t="shared" si="39"/>
        <v>Đến 30</v>
      </c>
      <c r="CW21" s="400" t="str">
        <f t="shared" si="40"/>
        <v>--</v>
      </c>
      <c r="CX21" s="400"/>
      <c r="CY21" s="400"/>
      <c r="CZ21" s="400"/>
      <c r="DA21" s="400"/>
      <c r="DB21" s="400"/>
      <c r="DC21" s="400"/>
      <c r="DD21" s="400"/>
      <c r="DE21" s="400"/>
      <c r="DF21" s="400"/>
      <c r="DG21" s="400"/>
      <c r="DH21" s="400" t="s">
        <v>14</v>
      </c>
      <c r="DI21" s="400" t="s">
        <v>15</v>
      </c>
      <c r="DJ21" s="400" t="s">
        <v>91</v>
      </c>
      <c r="DK21" s="400" t="s">
        <v>15</v>
      </c>
      <c r="DL21" s="400">
        <v>2011</v>
      </c>
      <c r="DM21" s="582">
        <f t="shared" si="41"/>
        <v>0</v>
      </c>
      <c r="DN21" s="175" t="str">
        <f t="shared" si="42"/>
        <v>- - -</v>
      </c>
      <c r="DO21" s="175" t="s">
        <v>14</v>
      </c>
      <c r="DP21" s="175" t="s">
        <v>15</v>
      </c>
      <c r="DQ21" s="175" t="s">
        <v>91</v>
      </c>
      <c r="DR21" s="175" t="s">
        <v>15</v>
      </c>
      <c r="DS21" s="175">
        <v>2011</v>
      </c>
      <c r="DT21" s="175">
        <v>6.78</v>
      </c>
      <c r="DU21" s="175" t="str">
        <f t="shared" si="43"/>
        <v>- - -</v>
      </c>
      <c r="DV21" s="175" t="str">
        <f t="shared" si="44"/>
        <v>---</v>
      </c>
    </row>
    <row r="22" spans="1:126" s="175" customFormat="1" ht="35.25" customHeight="1" x14ac:dyDescent="0.25">
      <c r="A22" s="237">
        <v>146</v>
      </c>
      <c r="B22" s="591">
        <v>4</v>
      </c>
      <c r="C22" s="171" t="str">
        <f t="shared" si="0"/>
        <v>Ông</v>
      </c>
      <c r="D22" s="560" t="s">
        <v>185</v>
      </c>
      <c r="E22" s="171" t="s">
        <v>52</v>
      </c>
      <c r="F22" s="561" t="s">
        <v>46</v>
      </c>
      <c r="G22" s="561" t="s">
        <v>15</v>
      </c>
      <c r="H22" s="561" t="s">
        <v>174</v>
      </c>
      <c r="I22" s="561" t="s">
        <v>15</v>
      </c>
      <c r="J22" s="171" t="s">
        <v>186</v>
      </c>
      <c r="K22" s="171"/>
      <c r="L22" s="171"/>
      <c r="M22" s="176" t="e">
        <f>VLOOKUP(L22,'[1]- DLiêu Gốc -'!$B$2:$G$121,2,0)</f>
        <v>#N/A</v>
      </c>
      <c r="N22" s="562" t="s">
        <v>187</v>
      </c>
      <c r="O22" s="563" t="s">
        <v>75</v>
      </c>
      <c r="P22" s="254" t="str">
        <f>VLOOKUP(U22,'[1]- DLiêu Gốc -'!$B$2:$G$56,5,0)</f>
        <v>A2</v>
      </c>
      <c r="Q22" s="254" t="str">
        <f>VLOOKUP(U22,'[1]- DLiêu Gốc -'!$B$2:$G$56,6,0)</f>
        <v>A2.1</v>
      </c>
      <c r="R22" s="171" t="s">
        <v>43</v>
      </c>
      <c r="S22" s="564" t="str">
        <f t="shared" si="1"/>
        <v>Giảng viên chính (hạng II)</v>
      </c>
      <c r="T22" s="565" t="str">
        <f t="shared" si="2"/>
        <v>V.07.01.02</v>
      </c>
      <c r="U22" s="271" t="s">
        <v>86</v>
      </c>
      <c r="V22" s="174" t="str">
        <f>VLOOKUP(U22,'[1]- DLiêu Gốc -'!$B$1:$G$121,2,0)</f>
        <v>V.07.01.02</v>
      </c>
      <c r="W22" s="539" t="str">
        <f t="shared" si="3"/>
        <v>Lương</v>
      </c>
      <c r="X22" s="539">
        <v>1</v>
      </c>
      <c r="Y22" s="539" t="str">
        <f t="shared" si="4"/>
        <v>/</v>
      </c>
      <c r="Z22" s="539">
        <f t="shared" si="5"/>
        <v>8</v>
      </c>
      <c r="AA22" s="539">
        <f t="shared" si="6"/>
        <v>4.4000000000000004</v>
      </c>
      <c r="AB22" s="539">
        <f t="shared" si="7"/>
        <v>2</v>
      </c>
      <c r="AC22" s="539" t="str">
        <f t="shared" si="8"/>
        <v>/</v>
      </c>
      <c r="AD22" s="539">
        <f t="shared" si="9"/>
        <v>8</v>
      </c>
      <c r="AE22" s="539">
        <f t="shared" si="10"/>
        <v>4.74</v>
      </c>
      <c r="AF22" s="539" t="s">
        <v>14</v>
      </c>
      <c r="AG22" s="539" t="s">
        <v>15</v>
      </c>
      <c r="AH22" s="539" t="s">
        <v>14</v>
      </c>
      <c r="AI22" s="539" t="s">
        <v>15</v>
      </c>
      <c r="AJ22" s="539">
        <v>2014</v>
      </c>
      <c r="AK22" s="180"/>
      <c r="AL22" s="174"/>
      <c r="AM22" s="539">
        <f t="shared" si="11"/>
        <v>3</v>
      </c>
      <c r="AN22" s="539">
        <f t="shared" si="12"/>
        <v>-24169</v>
      </c>
      <c r="AO22" s="271"/>
      <c r="AP22" s="271"/>
      <c r="AQ22" s="539">
        <f>VLOOKUP(U22,'[1]- DLiêu Gốc -'!$B$1:$E$56,3,0)</f>
        <v>4.4000000000000004</v>
      </c>
      <c r="AR22" s="539">
        <f>VLOOKUP(U22,'[1]- DLiêu Gốc -'!$B$1:$E$56,4,0)</f>
        <v>0.34</v>
      </c>
      <c r="AT22" s="539" t="str">
        <f t="shared" si="13"/>
        <v>PCTN</v>
      </c>
      <c r="AU22" s="566">
        <v>17</v>
      </c>
      <c r="AV22" s="567" t="s">
        <v>47</v>
      </c>
      <c r="AW22" s="566">
        <f t="shared" si="14"/>
        <v>18</v>
      </c>
      <c r="AX22" s="568" t="s">
        <v>47</v>
      </c>
      <c r="AY22" s="569" t="s">
        <v>46</v>
      </c>
      <c r="AZ22" s="259" t="s">
        <v>15</v>
      </c>
      <c r="BA22" s="570">
        <v>2015</v>
      </c>
      <c r="BB22" s="515"/>
      <c r="BC22" s="515"/>
      <c r="BD22" s="271"/>
      <c r="BE22" s="515">
        <v>2</v>
      </c>
      <c r="BF22" s="271">
        <f t="shared" si="15"/>
        <v>-24182</v>
      </c>
      <c r="BG22" s="172" t="str">
        <f t="shared" si="16"/>
        <v>- - -</v>
      </c>
      <c r="BH22" s="515" t="str">
        <f t="shared" si="17"/>
        <v>CC,VC</v>
      </c>
      <c r="BI22" s="597"/>
      <c r="BJ22" s="401"/>
      <c r="BK22" s="401" t="s">
        <v>13</v>
      </c>
      <c r="BL22" s="407" t="str">
        <f t="shared" si="18"/>
        <v>A</v>
      </c>
      <c r="BM22" s="405" t="str">
        <f t="shared" si="19"/>
        <v>=&gt; s</v>
      </c>
      <c r="BN22" s="407">
        <f t="shared" si="20"/>
        <v>24193</v>
      </c>
      <c r="BO22" s="401" t="str">
        <f t="shared" si="21"/>
        <v>S</v>
      </c>
      <c r="BP22" s="407">
        <v>2008</v>
      </c>
      <c r="BQ22" s="411" t="s">
        <v>45</v>
      </c>
      <c r="BR22" s="411"/>
      <c r="BS22" s="583"/>
      <c r="BT22" s="400" t="str">
        <f t="shared" si="22"/>
        <v>- - -</v>
      </c>
      <c r="BU22" s="400" t="str">
        <f t="shared" si="23"/>
        <v>NN</v>
      </c>
      <c r="BV22" s="400">
        <v>1</v>
      </c>
      <c r="BW22" s="400" t="s">
        <v>36</v>
      </c>
      <c r="BX22" s="400"/>
      <c r="BY22" s="400"/>
      <c r="BZ22" s="411" t="str">
        <f t="shared" si="24"/>
        <v>- - -</v>
      </c>
      <c r="CA22" s="407"/>
      <c r="CB22" s="407"/>
      <c r="CC22" s="413"/>
      <c r="CD22" s="413"/>
      <c r="CE22" s="400" t="str">
        <f t="shared" si="25"/>
        <v>---</v>
      </c>
      <c r="CF22" s="407" t="str">
        <f t="shared" si="26"/>
        <v>/-/ /-/</v>
      </c>
      <c r="CG22" s="407">
        <f t="shared" si="27"/>
        <v>10</v>
      </c>
      <c r="CH22" s="407">
        <f t="shared" si="28"/>
        <v>2029</v>
      </c>
      <c r="CI22" s="400">
        <f t="shared" si="29"/>
        <v>7</v>
      </c>
      <c r="CJ22" s="400">
        <f t="shared" si="30"/>
        <v>2029</v>
      </c>
      <c r="CK22" s="401">
        <f t="shared" si="31"/>
        <v>4</v>
      </c>
      <c r="CL22" s="407">
        <f t="shared" si="32"/>
        <v>2029</v>
      </c>
      <c r="CM22" s="407" t="str">
        <f t="shared" si="33"/>
        <v>- - -</v>
      </c>
      <c r="CN22" s="407" t="str">
        <f t="shared" si="34"/>
        <v>. .</v>
      </c>
      <c r="CO22" s="407"/>
      <c r="CP22" s="405">
        <f t="shared" si="35"/>
        <v>720</v>
      </c>
      <c r="CQ22" s="405">
        <f t="shared" si="36"/>
        <v>-23625</v>
      </c>
      <c r="CR22" s="407">
        <f t="shared" si="37"/>
        <v>-1969</v>
      </c>
      <c r="CS22" s="405" t="str">
        <f t="shared" si="38"/>
        <v>Nam dưới 35</v>
      </c>
      <c r="CT22" s="400"/>
      <c r="CU22" s="400"/>
      <c r="CV22" s="400" t="str">
        <f t="shared" si="39"/>
        <v>Đến 30</v>
      </c>
      <c r="CW22" s="400" t="str">
        <f t="shared" si="40"/>
        <v>--</v>
      </c>
      <c r="CX22" s="400"/>
      <c r="CY22" s="400"/>
      <c r="CZ22" s="400"/>
      <c r="DA22" s="400"/>
      <c r="DB22" s="400"/>
      <c r="DC22" s="400"/>
      <c r="DD22" s="400"/>
      <c r="DE22" s="400"/>
      <c r="DF22" s="400"/>
      <c r="DG22" s="400" t="s">
        <v>187</v>
      </c>
      <c r="DH22" s="400" t="s">
        <v>14</v>
      </c>
      <c r="DI22" s="400" t="s">
        <v>15</v>
      </c>
      <c r="DJ22" s="400" t="s">
        <v>14</v>
      </c>
      <c r="DK22" s="400" t="s">
        <v>15</v>
      </c>
      <c r="DL22" s="400">
        <v>2014</v>
      </c>
      <c r="DM22" s="582">
        <f t="shared" si="41"/>
        <v>0</v>
      </c>
      <c r="DN22" s="175" t="str">
        <f t="shared" si="42"/>
        <v>- - -</v>
      </c>
      <c r="DO22" s="175" t="s">
        <v>14</v>
      </c>
      <c r="DP22" s="175" t="s">
        <v>15</v>
      </c>
      <c r="DQ22" s="175" t="s">
        <v>14</v>
      </c>
      <c r="DR22" s="175" t="s">
        <v>15</v>
      </c>
      <c r="DS22" s="175">
        <v>2014</v>
      </c>
      <c r="DT22" s="175">
        <v>3.66</v>
      </c>
      <c r="DU22" s="175" t="str">
        <f t="shared" si="43"/>
        <v>- - -</v>
      </c>
      <c r="DV22" s="175" t="str">
        <f t="shared" si="44"/>
        <v>---</v>
      </c>
    </row>
    <row r="23" spans="1:126" s="175" customFormat="1" ht="35.25" customHeight="1" x14ac:dyDescent="0.25">
      <c r="A23" s="237">
        <v>153</v>
      </c>
      <c r="B23" s="591">
        <v>5</v>
      </c>
      <c r="C23" s="171" t="str">
        <f t="shared" si="0"/>
        <v>Bà</v>
      </c>
      <c r="D23" s="560" t="s">
        <v>188</v>
      </c>
      <c r="E23" s="171" t="s">
        <v>40</v>
      </c>
      <c r="F23" s="561" t="s">
        <v>180</v>
      </c>
      <c r="G23" s="561" t="s">
        <v>15</v>
      </c>
      <c r="H23" s="561" t="s">
        <v>69</v>
      </c>
      <c r="I23" s="561" t="s">
        <v>15</v>
      </c>
      <c r="J23" s="171">
        <v>1983</v>
      </c>
      <c r="K23" s="171"/>
      <c r="L23" s="171"/>
      <c r="M23" s="176" t="e">
        <f>VLOOKUP(L23,'[1]- DLiêu Gốc -'!$B$2:$G$121,2,0)</f>
        <v>#N/A</v>
      </c>
      <c r="N23" s="562" t="s">
        <v>34</v>
      </c>
      <c r="O23" s="563" t="s">
        <v>75</v>
      </c>
      <c r="P23" s="254" t="str">
        <f>VLOOKUP(U23,'[1]- DLiêu Gốc -'!$B$2:$G$56,5,0)</f>
        <v>A1</v>
      </c>
      <c r="Q23" s="254" t="str">
        <f>VLOOKUP(U23,'[1]- DLiêu Gốc -'!$B$2:$G$56,6,0)</f>
        <v>- - -</v>
      </c>
      <c r="R23" s="171" t="s">
        <v>43</v>
      </c>
      <c r="S23" s="564" t="str">
        <f t="shared" si="1"/>
        <v>Giảng viên (hạng III)</v>
      </c>
      <c r="T23" s="565" t="str">
        <f t="shared" si="2"/>
        <v>V.07.01.03</v>
      </c>
      <c r="U23" s="271" t="s">
        <v>44</v>
      </c>
      <c r="V23" s="174" t="str">
        <f>VLOOKUP(U23,'[1]- DLiêu Gốc -'!$B$1:$G$121,2,0)</f>
        <v>V.07.01.03</v>
      </c>
      <c r="W23" s="539" t="str">
        <f t="shared" si="3"/>
        <v>Lương</v>
      </c>
      <c r="X23" s="539">
        <v>2</v>
      </c>
      <c r="Y23" s="539" t="str">
        <f t="shared" si="4"/>
        <v>/</v>
      </c>
      <c r="Z23" s="539">
        <f t="shared" si="5"/>
        <v>9</v>
      </c>
      <c r="AA23" s="539">
        <f t="shared" si="6"/>
        <v>2.67</v>
      </c>
      <c r="AB23" s="539">
        <f t="shared" si="7"/>
        <v>3</v>
      </c>
      <c r="AC23" s="539" t="str">
        <f t="shared" si="8"/>
        <v>/</v>
      </c>
      <c r="AD23" s="539">
        <f t="shared" si="9"/>
        <v>9</v>
      </c>
      <c r="AE23" s="539">
        <f t="shared" si="10"/>
        <v>3</v>
      </c>
      <c r="AF23" s="539" t="s">
        <v>14</v>
      </c>
      <c r="AG23" s="539" t="s">
        <v>15</v>
      </c>
      <c r="AH23" s="539" t="s">
        <v>46</v>
      </c>
      <c r="AI23" s="539" t="s">
        <v>15</v>
      </c>
      <c r="AJ23" s="539">
        <v>2013</v>
      </c>
      <c r="AK23" s="180"/>
      <c r="AL23" s="174"/>
      <c r="AM23" s="539">
        <f t="shared" si="11"/>
        <v>3</v>
      </c>
      <c r="AN23" s="539">
        <f t="shared" si="12"/>
        <v>-24158</v>
      </c>
      <c r="AO23" s="271"/>
      <c r="AP23" s="271"/>
      <c r="AQ23" s="539">
        <f>VLOOKUP(U23,'[1]- DLiêu Gốc -'!$B$1:$E$56,3,0)</f>
        <v>2.34</v>
      </c>
      <c r="AR23" s="539">
        <f>VLOOKUP(U23,'[1]- DLiêu Gốc -'!$B$1:$E$56,4,0)</f>
        <v>0.33</v>
      </c>
      <c r="AT23" s="539" t="str">
        <f t="shared" si="13"/>
        <v>PCTN</v>
      </c>
      <c r="AU23" s="566">
        <v>7</v>
      </c>
      <c r="AV23" s="567" t="s">
        <v>47</v>
      </c>
      <c r="AW23" s="566">
        <f t="shared" si="14"/>
        <v>8</v>
      </c>
      <c r="AX23" s="568" t="s">
        <v>47</v>
      </c>
      <c r="AY23" s="569" t="s">
        <v>46</v>
      </c>
      <c r="AZ23" s="259" t="s">
        <v>15</v>
      </c>
      <c r="BA23" s="570">
        <v>2015</v>
      </c>
      <c r="BB23" s="515"/>
      <c r="BC23" s="515"/>
      <c r="BD23" s="271"/>
      <c r="BE23" s="515">
        <v>2</v>
      </c>
      <c r="BF23" s="271">
        <f t="shared" si="15"/>
        <v>-24182</v>
      </c>
      <c r="BG23" s="172" t="str">
        <f t="shared" si="16"/>
        <v>- - -</v>
      </c>
      <c r="BH23" s="515" t="str">
        <f t="shared" si="17"/>
        <v>CC,VC</v>
      </c>
      <c r="BI23" s="597"/>
      <c r="BJ23" s="401"/>
      <c r="BK23" s="401" t="s">
        <v>13</v>
      </c>
      <c r="BL23" s="407" t="str">
        <f t="shared" si="18"/>
        <v>A</v>
      </c>
      <c r="BM23" s="405" t="str">
        <f t="shared" si="19"/>
        <v>=&gt; s</v>
      </c>
      <c r="BN23" s="407">
        <f t="shared" si="20"/>
        <v>24182</v>
      </c>
      <c r="BO23" s="401" t="str">
        <f t="shared" si="21"/>
        <v>---</v>
      </c>
      <c r="BP23" s="407"/>
      <c r="BQ23" s="411"/>
      <c r="BR23" s="411"/>
      <c r="BS23" s="583"/>
      <c r="BT23" s="400" t="str">
        <f t="shared" si="22"/>
        <v>- - -</v>
      </c>
      <c r="BU23" s="400" t="str">
        <f t="shared" si="23"/>
        <v>- - -</v>
      </c>
      <c r="BV23" s="400"/>
      <c r="BW23" s="400"/>
      <c r="BX23" s="400"/>
      <c r="BY23" s="400"/>
      <c r="BZ23" s="411" t="str">
        <f t="shared" si="24"/>
        <v>- - -</v>
      </c>
      <c r="CA23" s="407"/>
      <c r="CB23" s="407"/>
      <c r="CC23" s="413"/>
      <c r="CD23" s="413"/>
      <c r="CE23" s="400" t="str">
        <f t="shared" si="25"/>
        <v>---</v>
      </c>
      <c r="CF23" s="407" t="str">
        <f t="shared" si="26"/>
        <v>/-/ /-/</v>
      </c>
      <c r="CG23" s="407">
        <f t="shared" si="27"/>
        <v>1</v>
      </c>
      <c r="CH23" s="407">
        <f t="shared" si="28"/>
        <v>2039</v>
      </c>
      <c r="CI23" s="400">
        <f t="shared" si="29"/>
        <v>10</v>
      </c>
      <c r="CJ23" s="400">
        <f t="shared" si="30"/>
        <v>2038</v>
      </c>
      <c r="CK23" s="401">
        <f t="shared" si="31"/>
        <v>7</v>
      </c>
      <c r="CL23" s="407">
        <f t="shared" si="32"/>
        <v>2038</v>
      </c>
      <c r="CM23" s="407" t="str">
        <f t="shared" si="33"/>
        <v>- - -</v>
      </c>
      <c r="CN23" s="407" t="str">
        <f t="shared" si="34"/>
        <v>. .</v>
      </c>
      <c r="CO23" s="407"/>
      <c r="CP23" s="405">
        <f t="shared" si="35"/>
        <v>660</v>
      </c>
      <c r="CQ23" s="405">
        <f t="shared" si="36"/>
        <v>-23796</v>
      </c>
      <c r="CR23" s="407">
        <f t="shared" si="37"/>
        <v>-1983</v>
      </c>
      <c r="CS23" s="405" t="str">
        <f t="shared" si="38"/>
        <v>Nữ dưới 30</v>
      </c>
      <c r="CT23" s="400"/>
      <c r="CU23" s="400"/>
      <c r="CV23" s="400" t="str">
        <f t="shared" si="39"/>
        <v>Đến 30</v>
      </c>
      <c r="CW23" s="400" t="str">
        <f t="shared" si="40"/>
        <v>TD</v>
      </c>
      <c r="CX23" s="400">
        <v>2012</v>
      </c>
      <c r="CY23" s="400"/>
      <c r="CZ23" s="400"/>
      <c r="DA23" s="400"/>
      <c r="DB23" s="400"/>
      <c r="DC23" s="400"/>
      <c r="DD23" s="400"/>
      <c r="DE23" s="400"/>
      <c r="DF23" s="400"/>
      <c r="DG23" s="400" t="s">
        <v>34</v>
      </c>
      <c r="DH23" s="400" t="s">
        <v>14</v>
      </c>
      <c r="DI23" s="400" t="s">
        <v>15</v>
      </c>
      <c r="DJ23" s="400" t="s">
        <v>46</v>
      </c>
      <c r="DK23" s="400" t="s">
        <v>15</v>
      </c>
      <c r="DL23" s="400">
        <v>2013</v>
      </c>
      <c r="DM23" s="582">
        <f t="shared" si="41"/>
        <v>0</v>
      </c>
      <c r="DN23" s="175" t="str">
        <f t="shared" si="42"/>
        <v>- - -</v>
      </c>
      <c r="DO23" s="175" t="s">
        <v>14</v>
      </c>
      <c r="DP23" s="175" t="s">
        <v>15</v>
      </c>
      <c r="DQ23" s="175" t="s">
        <v>46</v>
      </c>
      <c r="DR23" s="175" t="s">
        <v>15</v>
      </c>
      <c r="DS23" s="175">
        <v>2013</v>
      </c>
      <c r="DU23" s="175" t="str">
        <f t="shared" si="43"/>
        <v>- - -</v>
      </c>
      <c r="DV23" s="175" t="str">
        <f t="shared" si="44"/>
        <v>---</v>
      </c>
    </row>
    <row r="24" spans="1:126" s="175" customFormat="1" ht="35.25" customHeight="1" x14ac:dyDescent="0.25">
      <c r="A24" s="237">
        <v>191</v>
      </c>
      <c r="B24" s="591">
        <v>6</v>
      </c>
      <c r="C24" s="171" t="str">
        <f t="shared" si="0"/>
        <v>Bà</v>
      </c>
      <c r="D24" s="560" t="s">
        <v>189</v>
      </c>
      <c r="E24" s="171" t="s">
        <v>40</v>
      </c>
      <c r="F24" s="561" t="s">
        <v>53</v>
      </c>
      <c r="G24" s="561" t="s">
        <v>15</v>
      </c>
      <c r="H24" s="561" t="s">
        <v>112</v>
      </c>
      <c r="I24" s="561" t="s">
        <v>15</v>
      </c>
      <c r="J24" s="171">
        <v>1979</v>
      </c>
      <c r="K24" s="171"/>
      <c r="L24" s="171"/>
      <c r="M24" s="176" t="e">
        <f>VLOOKUP(L24,'[1]- DLiêu Gốc -'!$B$2:$G$121,2,0)</f>
        <v>#N/A</v>
      </c>
      <c r="N24" s="562" t="s">
        <v>190</v>
      </c>
      <c r="O24" s="563" t="s">
        <v>191</v>
      </c>
      <c r="P24" s="254" t="str">
        <f>VLOOKUP(U24,'[1]- DLiêu Gốc -'!$B$2:$G$56,5,0)</f>
        <v>A1</v>
      </c>
      <c r="Q24" s="254" t="str">
        <f>VLOOKUP(U24,'[1]- DLiêu Gốc -'!$B$2:$G$56,6,0)</f>
        <v>- - -</v>
      </c>
      <c r="R24" s="171" t="s">
        <v>43</v>
      </c>
      <c r="S24" s="564" t="str">
        <f t="shared" si="1"/>
        <v>Giảng viên (hạng III)</v>
      </c>
      <c r="T24" s="565" t="str">
        <f t="shared" si="2"/>
        <v>V.07.01.03</v>
      </c>
      <c r="U24" s="271" t="s">
        <v>44</v>
      </c>
      <c r="V24" s="174" t="str">
        <f>VLOOKUP(U24,'[1]- DLiêu Gốc -'!$B$1:$G$121,2,0)</f>
        <v>V.07.01.03</v>
      </c>
      <c r="W24" s="539" t="str">
        <f t="shared" si="3"/>
        <v>Lương</v>
      </c>
      <c r="X24" s="539">
        <v>4</v>
      </c>
      <c r="Y24" s="539" t="str">
        <f t="shared" si="4"/>
        <v>/</v>
      </c>
      <c r="Z24" s="539">
        <f t="shared" si="5"/>
        <v>9</v>
      </c>
      <c r="AA24" s="539">
        <f t="shared" si="6"/>
        <v>3.33</v>
      </c>
      <c r="AB24" s="539">
        <f t="shared" si="7"/>
        <v>5</v>
      </c>
      <c r="AC24" s="539" t="str">
        <f t="shared" si="8"/>
        <v>/</v>
      </c>
      <c r="AD24" s="539">
        <f t="shared" si="9"/>
        <v>9</v>
      </c>
      <c r="AE24" s="539">
        <f t="shared" si="10"/>
        <v>3.66</v>
      </c>
      <c r="AF24" s="539" t="s">
        <v>14</v>
      </c>
      <c r="AG24" s="539" t="s">
        <v>15</v>
      </c>
      <c r="AH24" s="539" t="s">
        <v>14</v>
      </c>
      <c r="AI24" s="539" t="s">
        <v>15</v>
      </c>
      <c r="AJ24" s="539">
        <v>2015</v>
      </c>
      <c r="AK24" s="180"/>
      <c r="AL24" s="174"/>
      <c r="AM24" s="539">
        <f t="shared" si="11"/>
        <v>3</v>
      </c>
      <c r="AN24" s="539">
        <f t="shared" si="12"/>
        <v>-24181</v>
      </c>
      <c r="AO24" s="271"/>
      <c r="AP24" s="271"/>
      <c r="AQ24" s="539">
        <f>VLOOKUP(U24,'[1]- DLiêu Gốc -'!$B$1:$E$56,3,0)</f>
        <v>2.34</v>
      </c>
      <c r="AR24" s="539">
        <f>VLOOKUP(U24,'[1]- DLiêu Gốc -'!$B$1:$E$56,4,0)</f>
        <v>0.33</v>
      </c>
      <c r="AT24" s="539" t="str">
        <f t="shared" si="13"/>
        <v>PCTN</v>
      </c>
      <c r="AU24" s="566">
        <v>10</v>
      </c>
      <c r="AV24" s="567" t="s">
        <v>47</v>
      </c>
      <c r="AW24" s="566">
        <f t="shared" si="14"/>
        <v>11</v>
      </c>
      <c r="AX24" s="568" t="s">
        <v>47</v>
      </c>
      <c r="AY24" s="569" t="s">
        <v>46</v>
      </c>
      <c r="AZ24" s="259" t="s">
        <v>15</v>
      </c>
      <c r="BA24" s="570">
        <v>2015</v>
      </c>
      <c r="BB24" s="515"/>
      <c r="BC24" s="515"/>
      <c r="BD24" s="271"/>
      <c r="BE24" s="515">
        <v>2</v>
      </c>
      <c r="BF24" s="271">
        <f t="shared" si="15"/>
        <v>-24182</v>
      </c>
      <c r="BG24" s="172" t="str">
        <f t="shared" si="16"/>
        <v>- - -</v>
      </c>
      <c r="BH24" s="515" t="str">
        <f t="shared" si="17"/>
        <v>CC,VC</v>
      </c>
      <c r="BI24" s="597"/>
      <c r="BJ24" s="401"/>
      <c r="BK24" s="401" t="s">
        <v>13</v>
      </c>
      <c r="BL24" s="407" t="str">
        <f t="shared" si="18"/>
        <v>A</v>
      </c>
      <c r="BM24" s="405" t="str">
        <f t="shared" si="19"/>
        <v>=&gt; s</v>
      </c>
      <c r="BN24" s="407">
        <f t="shared" si="20"/>
        <v>24205</v>
      </c>
      <c r="BO24" s="401" t="str">
        <f t="shared" si="21"/>
        <v>S</v>
      </c>
      <c r="BP24" s="407">
        <v>2012</v>
      </c>
      <c r="BQ24" s="411" t="s">
        <v>45</v>
      </c>
      <c r="BR24" s="411"/>
      <c r="BS24" s="583"/>
      <c r="BT24" s="400" t="str">
        <f t="shared" si="22"/>
        <v>Cùg Ng</v>
      </c>
      <c r="BU24" s="400" t="str">
        <f t="shared" si="23"/>
        <v>- - -</v>
      </c>
      <c r="BV24" s="400"/>
      <c r="BW24" s="400"/>
      <c r="BX24" s="400"/>
      <c r="BY24" s="400"/>
      <c r="BZ24" s="411" t="str">
        <f t="shared" si="24"/>
        <v>- - -</v>
      </c>
      <c r="CA24" s="407"/>
      <c r="CB24" s="407"/>
      <c r="CC24" s="413"/>
      <c r="CD24" s="413"/>
      <c r="CE24" s="400" t="str">
        <f t="shared" si="25"/>
        <v>---</v>
      </c>
      <c r="CF24" s="407" t="str">
        <f t="shared" si="26"/>
        <v>/-/ /-/</v>
      </c>
      <c r="CG24" s="407">
        <f t="shared" si="27"/>
        <v>5</v>
      </c>
      <c r="CH24" s="407">
        <f t="shared" si="28"/>
        <v>2034</v>
      </c>
      <c r="CI24" s="400">
        <f t="shared" si="29"/>
        <v>2</v>
      </c>
      <c r="CJ24" s="400">
        <f t="shared" si="30"/>
        <v>2034</v>
      </c>
      <c r="CK24" s="401">
        <f t="shared" si="31"/>
        <v>11</v>
      </c>
      <c r="CL24" s="407">
        <f t="shared" si="32"/>
        <v>2033</v>
      </c>
      <c r="CM24" s="407" t="str">
        <f t="shared" si="33"/>
        <v>- - -</v>
      </c>
      <c r="CN24" s="407" t="str">
        <f t="shared" si="34"/>
        <v>. .</v>
      </c>
      <c r="CO24" s="407"/>
      <c r="CP24" s="405">
        <f t="shared" si="35"/>
        <v>660</v>
      </c>
      <c r="CQ24" s="405">
        <f t="shared" si="36"/>
        <v>-23740</v>
      </c>
      <c r="CR24" s="407">
        <f t="shared" si="37"/>
        <v>-1979</v>
      </c>
      <c r="CS24" s="405" t="str">
        <f t="shared" si="38"/>
        <v>Nữ dưới 30</v>
      </c>
      <c r="CT24" s="400"/>
      <c r="CU24" s="400"/>
      <c r="CV24" s="400" t="str">
        <f t="shared" si="39"/>
        <v>Đến 30</v>
      </c>
      <c r="CW24" s="400" t="str">
        <f t="shared" si="40"/>
        <v>TD</v>
      </c>
      <c r="CX24" s="400">
        <v>2012</v>
      </c>
      <c r="CY24" s="400"/>
      <c r="CZ24" s="400"/>
      <c r="DA24" s="400"/>
      <c r="DB24" s="400"/>
      <c r="DC24" s="400"/>
      <c r="DD24" s="400"/>
      <c r="DE24" s="400"/>
      <c r="DF24" s="400"/>
      <c r="DG24" s="400" t="s">
        <v>190</v>
      </c>
      <c r="DH24" s="400" t="s">
        <v>14</v>
      </c>
      <c r="DI24" s="400" t="s">
        <v>15</v>
      </c>
      <c r="DJ24" s="400" t="s">
        <v>14</v>
      </c>
      <c r="DK24" s="400" t="s">
        <v>15</v>
      </c>
      <c r="DL24" s="400">
        <v>2012</v>
      </c>
      <c r="DM24" s="582">
        <f t="shared" si="41"/>
        <v>0</v>
      </c>
      <c r="DN24" s="175" t="str">
        <f t="shared" si="42"/>
        <v>- - -</v>
      </c>
      <c r="DO24" s="175" t="s">
        <v>14</v>
      </c>
      <c r="DP24" s="175" t="s">
        <v>15</v>
      </c>
      <c r="DQ24" s="175" t="s">
        <v>14</v>
      </c>
      <c r="DR24" s="175" t="s">
        <v>15</v>
      </c>
      <c r="DS24" s="175">
        <v>2012</v>
      </c>
      <c r="DU24" s="175" t="str">
        <f t="shared" si="43"/>
        <v>- - -</v>
      </c>
      <c r="DV24" s="175" t="str">
        <f t="shared" si="44"/>
        <v>---</v>
      </c>
    </row>
    <row r="25" spans="1:126" s="175" customFormat="1" ht="35.25" customHeight="1" x14ac:dyDescent="0.25">
      <c r="A25" s="237">
        <v>197</v>
      </c>
      <c r="B25" s="591">
        <v>7</v>
      </c>
      <c r="C25" s="171" t="str">
        <f t="shared" si="0"/>
        <v>Ông</v>
      </c>
      <c r="D25" s="560" t="s">
        <v>192</v>
      </c>
      <c r="E25" s="171" t="s">
        <v>52</v>
      </c>
      <c r="F25" s="561" t="s">
        <v>193</v>
      </c>
      <c r="G25" s="561" t="s">
        <v>15</v>
      </c>
      <c r="H25" s="561" t="s">
        <v>35</v>
      </c>
      <c r="I25" s="561" t="s">
        <v>15</v>
      </c>
      <c r="J25" s="171" t="s">
        <v>175</v>
      </c>
      <c r="K25" s="171"/>
      <c r="L25" s="171"/>
      <c r="M25" s="176" t="e">
        <f>VLOOKUP(L25,'[1]- DLiêu Gốc -'!$B$2:$G$121,2,0)</f>
        <v>#N/A</v>
      </c>
      <c r="N25" s="562"/>
      <c r="O25" s="563" t="s">
        <v>80</v>
      </c>
      <c r="P25" s="254" t="str">
        <f>VLOOKUP(U25,'[1]- DLiêu Gốc -'!$B$2:$G$56,5,0)</f>
        <v>A2</v>
      </c>
      <c r="Q25" s="254" t="str">
        <f>VLOOKUP(U25,'[1]- DLiêu Gốc -'!$B$2:$G$56,6,0)</f>
        <v>A2.1</v>
      </c>
      <c r="R25" s="171" t="s">
        <v>43</v>
      </c>
      <c r="S25" s="564" t="str">
        <f t="shared" si="1"/>
        <v>Giảng viên chính (hạng II)</v>
      </c>
      <c r="T25" s="565" t="str">
        <f t="shared" si="2"/>
        <v>V.07.01.02</v>
      </c>
      <c r="U25" s="271" t="s">
        <v>86</v>
      </c>
      <c r="V25" s="174" t="str">
        <f>VLOOKUP(U25,'[1]- DLiêu Gốc -'!$B$1:$G$121,2,0)</f>
        <v>V.07.01.02</v>
      </c>
      <c r="W25" s="539" t="str">
        <f t="shared" si="3"/>
        <v>Lương</v>
      </c>
      <c r="X25" s="539">
        <v>2</v>
      </c>
      <c r="Y25" s="539" t="str">
        <f t="shared" si="4"/>
        <v>/</v>
      </c>
      <c r="Z25" s="539">
        <f t="shared" si="5"/>
        <v>8</v>
      </c>
      <c r="AA25" s="539">
        <f t="shared" si="6"/>
        <v>4.74</v>
      </c>
      <c r="AB25" s="539">
        <f t="shared" si="7"/>
        <v>3</v>
      </c>
      <c r="AC25" s="539" t="str">
        <f t="shared" si="8"/>
        <v>/</v>
      </c>
      <c r="AD25" s="539">
        <f t="shared" si="9"/>
        <v>8</v>
      </c>
      <c r="AE25" s="539">
        <f t="shared" si="10"/>
        <v>5.08</v>
      </c>
      <c r="AF25" s="539" t="s">
        <v>14</v>
      </c>
      <c r="AG25" s="539" t="s">
        <v>15</v>
      </c>
      <c r="AH25" s="539" t="s">
        <v>14</v>
      </c>
      <c r="AI25" s="539" t="s">
        <v>15</v>
      </c>
      <c r="AJ25" s="539">
        <v>2014</v>
      </c>
      <c r="AK25" s="180" t="s">
        <v>194</v>
      </c>
      <c r="AL25" s="174"/>
      <c r="AM25" s="539">
        <f t="shared" si="11"/>
        <v>3</v>
      </c>
      <c r="AN25" s="539">
        <f t="shared" si="12"/>
        <v>-24169</v>
      </c>
      <c r="AO25" s="271"/>
      <c r="AP25" s="271"/>
      <c r="AQ25" s="539">
        <f>VLOOKUP(U25,'[1]- DLiêu Gốc -'!$B$1:$E$56,3,0)</f>
        <v>4.4000000000000004</v>
      </c>
      <c r="AR25" s="539">
        <f>VLOOKUP(U25,'[1]- DLiêu Gốc -'!$B$1:$E$56,4,0)</f>
        <v>0.34</v>
      </c>
      <c r="AT25" s="539" t="str">
        <f t="shared" si="13"/>
        <v>PCTN</v>
      </c>
      <c r="AU25" s="566">
        <v>17</v>
      </c>
      <c r="AV25" s="567" t="s">
        <v>47</v>
      </c>
      <c r="AW25" s="566">
        <f t="shared" si="14"/>
        <v>18</v>
      </c>
      <c r="AX25" s="568" t="s">
        <v>47</v>
      </c>
      <c r="AY25" s="569" t="s">
        <v>46</v>
      </c>
      <c r="AZ25" s="259" t="s">
        <v>15</v>
      </c>
      <c r="BA25" s="570">
        <v>2015</v>
      </c>
      <c r="BB25" s="515"/>
      <c r="BC25" s="515"/>
      <c r="BD25" s="271"/>
      <c r="BE25" s="515">
        <v>2</v>
      </c>
      <c r="BF25" s="271">
        <f t="shared" si="15"/>
        <v>-24182</v>
      </c>
      <c r="BG25" s="172" t="str">
        <f t="shared" si="16"/>
        <v>- - -</v>
      </c>
      <c r="BH25" s="515" t="str">
        <f t="shared" si="17"/>
        <v>CC,VC</v>
      </c>
      <c r="BI25" s="597"/>
      <c r="BJ25" s="401"/>
      <c r="BK25" s="401" t="s">
        <v>13</v>
      </c>
      <c r="BL25" s="407" t="str">
        <f t="shared" si="18"/>
        <v>A</v>
      </c>
      <c r="BM25" s="405" t="str">
        <f t="shared" si="19"/>
        <v>=&gt; s</v>
      </c>
      <c r="BN25" s="407">
        <f t="shared" si="20"/>
        <v>24193</v>
      </c>
      <c r="BO25" s="401" t="str">
        <f t="shared" si="21"/>
        <v>---</v>
      </c>
      <c r="BP25" s="407"/>
      <c r="BQ25" s="411"/>
      <c r="BR25" s="411"/>
      <c r="BS25" s="583"/>
      <c r="BT25" s="400" t="str">
        <f t="shared" si="22"/>
        <v>- - -</v>
      </c>
      <c r="BU25" s="400" t="str">
        <f t="shared" si="23"/>
        <v>NN</v>
      </c>
      <c r="BV25" s="400">
        <v>1</v>
      </c>
      <c r="BW25" s="400" t="s">
        <v>36</v>
      </c>
      <c r="BX25" s="400"/>
      <c r="BY25" s="400"/>
      <c r="BZ25" s="411" t="str">
        <f t="shared" si="24"/>
        <v>- - -</v>
      </c>
      <c r="CA25" s="407"/>
      <c r="CB25" s="407"/>
      <c r="CC25" s="413"/>
      <c r="CD25" s="413"/>
      <c r="CE25" s="400" t="str">
        <f t="shared" si="25"/>
        <v>---</v>
      </c>
      <c r="CF25" s="407" t="str">
        <f t="shared" si="26"/>
        <v>/-/ /-/</v>
      </c>
      <c r="CG25" s="407">
        <f t="shared" si="27"/>
        <v>9</v>
      </c>
      <c r="CH25" s="407">
        <f t="shared" si="28"/>
        <v>2031</v>
      </c>
      <c r="CI25" s="400">
        <f t="shared" si="29"/>
        <v>6</v>
      </c>
      <c r="CJ25" s="400">
        <f t="shared" si="30"/>
        <v>2031</v>
      </c>
      <c r="CK25" s="401">
        <f t="shared" si="31"/>
        <v>3</v>
      </c>
      <c r="CL25" s="407">
        <f t="shared" si="32"/>
        <v>2031</v>
      </c>
      <c r="CM25" s="407" t="str">
        <f t="shared" si="33"/>
        <v>- - -</v>
      </c>
      <c r="CN25" s="407" t="str">
        <f t="shared" si="34"/>
        <v>. .</v>
      </c>
      <c r="CO25" s="407"/>
      <c r="CP25" s="405">
        <f t="shared" si="35"/>
        <v>720</v>
      </c>
      <c r="CQ25" s="405">
        <f t="shared" si="36"/>
        <v>-23648</v>
      </c>
      <c r="CR25" s="407">
        <f t="shared" si="37"/>
        <v>-1971</v>
      </c>
      <c r="CS25" s="405" t="str">
        <f t="shared" si="38"/>
        <v>Nam dưới 35</v>
      </c>
      <c r="CT25" s="400"/>
      <c r="CU25" s="400"/>
      <c r="CV25" s="400" t="str">
        <f t="shared" si="39"/>
        <v>Đến 30</v>
      </c>
      <c r="CW25" s="400" t="str">
        <f t="shared" si="40"/>
        <v>--</v>
      </c>
      <c r="CX25" s="400"/>
      <c r="CY25" s="400"/>
      <c r="CZ25" s="400"/>
      <c r="DA25" s="400"/>
      <c r="DB25" s="400"/>
      <c r="DC25" s="400"/>
      <c r="DD25" s="400"/>
      <c r="DE25" s="400"/>
      <c r="DF25" s="400"/>
      <c r="DG25" s="400"/>
      <c r="DH25" s="400" t="s">
        <v>14</v>
      </c>
      <c r="DI25" s="400" t="s">
        <v>15</v>
      </c>
      <c r="DJ25" s="400" t="s">
        <v>14</v>
      </c>
      <c r="DK25" s="400" t="s">
        <v>15</v>
      </c>
      <c r="DL25" s="400">
        <v>2014</v>
      </c>
      <c r="DM25" s="582">
        <f t="shared" si="41"/>
        <v>0</v>
      </c>
      <c r="DN25" s="175" t="str">
        <f t="shared" si="42"/>
        <v>- - -</v>
      </c>
      <c r="DO25" s="175" t="s">
        <v>14</v>
      </c>
      <c r="DP25" s="175" t="s">
        <v>15</v>
      </c>
      <c r="DQ25" s="175" t="s">
        <v>14</v>
      </c>
      <c r="DR25" s="175" t="s">
        <v>15</v>
      </c>
      <c r="DS25" s="175">
        <v>2014</v>
      </c>
      <c r="DT25" s="175">
        <v>3.66</v>
      </c>
      <c r="DU25" s="175" t="str">
        <f t="shared" si="43"/>
        <v>- - -</v>
      </c>
      <c r="DV25" s="175" t="str">
        <f t="shared" si="44"/>
        <v>---</v>
      </c>
    </row>
    <row r="26" spans="1:126" s="175" customFormat="1" ht="35.25" customHeight="1" x14ac:dyDescent="0.25">
      <c r="A26" s="237">
        <v>247</v>
      </c>
      <c r="B26" s="591">
        <v>8</v>
      </c>
      <c r="C26" s="171" t="str">
        <f t="shared" si="0"/>
        <v>Ông</v>
      </c>
      <c r="D26" s="560" t="s">
        <v>195</v>
      </c>
      <c r="E26" s="171" t="s">
        <v>52</v>
      </c>
      <c r="F26" s="561" t="s">
        <v>196</v>
      </c>
      <c r="G26" s="561" t="s">
        <v>15</v>
      </c>
      <c r="H26" s="561" t="s">
        <v>16</v>
      </c>
      <c r="I26" s="561" t="s">
        <v>15</v>
      </c>
      <c r="J26" s="171">
        <v>1953</v>
      </c>
      <c r="K26" s="171" t="str">
        <f>IF(AND((M26+0)&gt;0.3,(M26+0)&lt;1.5),"CVụ","- -")</f>
        <v>CVụ</v>
      </c>
      <c r="L26" s="171" t="s">
        <v>197</v>
      </c>
      <c r="M26" s="176" t="str">
        <f>VLOOKUP(L26,'[1]- DLiêu Gốc -'!$B$2:$G$121,2,0)</f>
        <v>1,0</v>
      </c>
      <c r="N26" s="562"/>
      <c r="O26" s="563" t="s">
        <v>198</v>
      </c>
      <c r="P26" s="254" t="str">
        <f>VLOOKUP(U26,'[1]- DLiêu Gốc -'!$B$2:$G$56,5,0)</f>
        <v>A3</v>
      </c>
      <c r="Q26" s="254" t="str">
        <f>VLOOKUP(U26,'[1]- DLiêu Gốc -'!$B$2:$G$56,6,0)</f>
        <v>A3.1</v>
      </c>
      <c r="R26" s="171" t="s">
        <v>43</v>
      </c>
      <c r="S26" s="564" t="str">
        <f t="shared" si="1"/>
        <v>Giảng viên cao cấp (hạng I)</v>
      </c>
      <c r="T26" s="565" t="str">
        <f t="shared" si="2"/>
        <v>V.07.01.01</v>
      </c>
      <c r="U26" s="271" t="s">
        <v>184</v>
      </c>
      <c r="V26" s="174" t="str">
        <f>VLOOKUP(U26,'[1]- DLiêu Gốc -'!$B$1:$G$121,2,0)</f>
        <v>V.07.01.01</v>
      </c>
      <c r="W26" s="539" t="str">
        <f t="shared" si="3"/>
        <v>Lương</v>
      </c>
      <c r="X26" s="539">
        <v>4</v>
      </c>
      <c r="Y26" s="539" t="str">
        <f t="shared" si="4"/>
        <v>/</v>
      </c>
      <c r="Z26" s="539">
        <f t="shared" si="5"/>
        <v>6</v>
      </c>
      <c r="AA26" s="539">
        <f t="shared" si="6"/>
        <v>7.28</v>
      </c>
      <c r="AB26" s="539">
        <f t="shared" si="7"/>
        <v>5</v>
      </c>
      <c r="AC26" s="539" t="str">
        <f t="shared" si="8"/>
        <v>/</v>
      </c>
      <c r="AD26" s="539">
        <f t="shared" si="9"/>
        <v>6</v>
      </c>
      <c r="AE26" s="539">
        <f t="shared" si="10"/>
        <v>7.6400000000000006</v>
      </c>
      <c r="AF26" s="539" t="s">
        <v>14</v>
      </c>
      <c r="AG26" s="539" t="s">
        <v>15</v>
      </c>
      <c r="AH26" s="539" t="s">
        <v>46</v>
      </c>
      <c r="AI26" s="539" t="s">
        <v>15</v>
      </c>
      <c r="AJ26" s="539">
        <v>2013</v>
      </c>
      <c r="AK26" s="180"/>
      <c r="AL26" s="174"/>
      <c r="AM26" s="539">
        <f t="shared" si="11"/>
        <v>3</v>
      </c>
      <c r="AN26" s="539">
        <f t="shared" si="12"/>
        <v>-24158</v>
      </c>
      <c r="AO26" s="271"/>
      <c r="AP26" s="271"/>
      <c r="AQ26" s="539">
        <f>VLOOKUP(U26,'[1]- DLiêu Gốc -'!$B$1:$E$56,3,0)</f>
        <v>6.2</v>
      </c>
      <c r="AR26" s="539">
        <f>VLOOKUP(U26,'[1]- DLiêu Gốc -'!$B$1:$E$56,4,0)</f>
        <v>0.36</v>
      </c>
      <c r="AT26" s="539" t="str">
        <f t="shared" si="13"/>
        <v>PCTN</v>
      </c>
      <c r="AU26" s="566">
        <v>27</v>
      </c>
      <c r="AV26" s="567" t="s">
        <v>47</v>
      </c>
      <c r="AW26" s="566">
        <f t="shared" si="14"/>
        <v>28</v>
      </c>
      <c r="AX26" s="568" t="s">
        <v>47</v>
      </c>
      <c r="AY26" s="569" t="s">
        <v>46</v>
      </c>
      <c r="AZ26" s="259" t="s">
        <v>15</v>
      </c>
      <c r="BA26" s="570">
        <v>2015</v>
      </c>
      <c r="BB26" s="515"/>
      <c r="BC26" s="515"/>
      <c r="BD26" s="271"/>
      <c r="BE26" s="515">
        <v>2</v>
      </c>
      <c r="BF26" s="271">
        <f t="shared" si="15"/>
        <v>-24182</v>
      </c>
      <c r="BG26" s="172" t="str">
        <f t="shared" si="16"/>
        <v>- - -</v>
      </c>
      <c r="BH26" s="515" t="str">
        <f t="shared" si="17"/>
        <v>CC,VC</v>
      </c>
      <c r="BI26" s="597"/>
      <c r="BJ26" s="401"/>
      <c r="BK26" s="401" t="s">
        <v>13</v>
      </c>
      <c r="BL26" s="407" t="str">
        <f t="shared" si="18"/>
        <v>A</v>
      </c>
      <c r="BM26" s="405" t="str">
        <f t="shared" si="19"/>
        <v>=&gt; s</v>
      </c>
      <c r="BN26" s="407">
        <f t="shared" si="20"/>
        <v>24182</v>
      </c>
      <c r="BO26" s="401" t="str">
        <f t="shared" si="21"/>
        <v>S</v>
      </c>
      <c r="BP26" s="407">
        <v>2013</v>
      </c>
      <c r="BQ26" s="411" t="s">
        <v>199</v>
      </c>
      <c r="BR26" s="411">
        <v>2007</v>
      </c>
      <c r="BS26" s="583" t="s">
        <v>200</v>
      </c>
      <c r="BT26" s="400" t="str">
        <f t="shared" si="22"/>
        <v>Cùg Ng</v>
      </c>
      <c r="BU26" s="400" t="str">
        <f t="shared" si="23"/>
        <v>- - -</v>
      </c>
      <c r="BV26" s="400"/>
      <c r="BW26" s="400"/>
      <c r="BX26" s="400"/>
      <c r="BY26" s="400"/>
      <c r="BZ26" s="411" t="str">
        <f t="shared" si="24"/>
        <v>- - -</v>
      </c>
      <c r="CA26" s="407"/>
      <c r="CB26" s="407"/>
      <c r="CC26" s="413"/>
      <c r="CD26" s="413"/>
      <c r="CE26" s="400" t="str">
        <f t="shared" si="25"/>
        <v>---</v>
      </c>
      <c r="CF26" s="407" t="str">
        <f t="shared" si="26"/>
        <v>/-/ /-/</v>
      </c>
      <c r="CG26" s="407">
        <f t="shared" si="27"/>
        <v>8</v>
      </c>
      <c r="CH26" s="407">
        <f t="shared" si="28"/>
        <v>2020</v>
      </c>
      <c r="CI26" s="400">
        <f t="shared" si="29"/>
        <v>5</v>
      </c>
      <c r="CJ26" s="400">
        <f t="shared" si="30"/>
        <v>2020</v>
      </c>
      <c r="CK26" s="401">
        <f t="shared" si="31"/>
        <v>2</v>
      </c>
      <c r="CL26" s="407">
        <f t="shared" si="32"/>
        <v>2020</v>
      </c>
      <c r="CM26" s="407" t="str">
        <f t="shared" si="33"/>
        <v>- - -</v>
      </c>
      <c r="CN26" s="407" t="str">
        <f t="shared" si="34"/>
        <v>K.Dài</v>
      </c>
      <c r="CO26" s="407">
        <v>7</v>
      </c>
      <c r="CP26" s="405">
        <f t="shared" si="35"/>
        <v>804</v>
      </c>
      <c r="CQ26" s="405">
        <f t="shared" si="36"/>
        <v>-23431</v>
      </c>
      <c r="CR26" s="407">
        <f t="shared" si="37"/>
        <v>-1953</v>
      </c>
      <c r="CS26" s="405" t="str">
        <f t="shared" si="38"/>
        <v>Nam dưới 35</v>
      </c>
      <c r="CT26" s="400"/>
      <c r="CU26" s="400"/>
      <c r="CV26" s="400" t="str">
        <f t="shared" si="39"/>
        <v>Đến 30</v>
      </c>
      <c r="CW26" s="400" t="str">
        <f t="shared" si="40"/>
        <v>--</v>
      </c>
      <c r="CX26" s="400"/>
      <c r="CY26" s="400"/>
      <c r="CZ26" s="400"/>
      <c r="DA26" s="400"/>
      <c r="DB26" s="400" t="s">
        <v>201</v>
      </c>
      <c r="DC26" s="400"/>
      <c r="DD26" s="400"/>
      <c r="DE26" s="400"/>
      <c r="DF26" s="400"/>
      <c r="DG26" s="400"/>
      <c r="DH26" s="400" t="s">
        <v>14</v>
      </c>
      <c r="DI26" s="400" t="s">
        <v>15</v>
      </c>
      <c r="DJ26" s="400" t="s">
        <v>46</v>
      </c>
      <c r="DK26" s="400" t="s">
        <v>15</v>
      </c>
      <c r="DL26" s="400">
        <v>2013</v>
      </c>
      <c r="DM26" s="582">
        <f t="shared" si="41"/>
        <v>0</v>
      </c>
      <c r="DN26" s="175" t="str">
        <f t="shared" si="42"/>
        <v>- - -</v>
      </c>
      <c r="DO26" s="175" t="s">
        <v>14</v>
      </c>
      <c r="DP26" s="175" t="s">
        <v>15</v>
      </c>
      <c r="DQ26" s="175" t="s">
        <v>46</v>
      </c>
      <c r="DR26" s="175" t="s">
        <v>15</v>
      </c>
      <c r="DS26" s="175">
        <v>2013</v>
      </c>
      <c r="DU26" s="175" t="str">
        <f t="shared" si="43"/>
        <v>- - -</v>
      </c>
      <c r="DV26" s="175" t="str">
        <f t="shared" si="44"/>
        <v>---</v>
      </c>
    </row>
    <row r="27" spans="1:126" s="175" customFormat="1" ht="35.25" customHeight="1" x14ac:dyDescent="0.25">
      <c r="A27" s="237">
        <v>265</v>
      </c>
      <c r="B27" s="591">
        <v>9</v>
      </c>
      <c r="C27" s="171" t="str">
        <f t="shared" si="0"/>
        <v>Ông</v>
      </c>
      <c r="D27" s="560" t="s">
        <v>202</v>
      </c>
      <c r="E27" s="171" t="s">
        <v>52</v>
      </c>
      <c r="F27" s="561" t="s">
        <v>102</v>
      </c>
      <c r="G27" s="561" t="s">
        <v>15</v>
      </c>
      <c r="H27" s="561" t="s">
        <v>16</v>
      </c>
      <c r="I27" s="561" t="s">
        <v>15</v>
      </c>
      <c r="J27" s="171">
        <v>1978</v>
      </c>
      <c r="K27" s="171"/>
      <c r="L27" s="171"/>
      <c r="M27" s="176" t="e">
        <f>VLOOKUP(L27,'[1]- DLiêu Gốc -'!$B$2:$G$121,2,0)</f>
        <v>#N/A</v>
      </c>
      <c r="N27" s="562" t="s">
        <v>203</v>
      </c>
      <c r="O27" s="563" t="s">
        <v>204</v>
      </c>
      <c r="P27" s="254" t="str">
        <f>VLOOKUP(U27,'[1]- DLiêu Gốc -'!$B$2:$G$56,5,0)</f>
        <v>A1</v>
      </c>
      <c r="Q27" s="254" t="str">
        <f>VLOOKUP(U27,'[1]- DLiêu Gốc -'!$B$2:$G$56,6,0)</f>
        <v>- - -</v>
      </c>
      <c r="R27" s="171" t="s">
        <v>43</v>
      </c>
      <c r="S27" s="564" t="str">
        <f t="shared" si="1"/>
        <v>Giảng viên (hạng III)</v>
      </c>
      <c r="T27" s="565" t="str">
        <f t="shared" si="2"/>
        <v>V.07.01.03</v>
      </c>
      <c r="U27" s="271" t="s">
        <v>44</v>
      </c>
      <c r="V27" s="174" t="str">
        <f>VLOOKUP(U27,'[1]- DLiêu Gốc -'!$B$1:$G$121,2,0)</f>
        <v>V.07.01.03</v>
      </c>
      <c r="W27" s="539" t="str">
        <f t="shared" si="3"/>
        <v>Lương</v>
      </c>
      <c r="X27" s="539">
        <v>2</v>
      </c>
      <c r="Y27" s="539" t="str">
        <f t="shared" si="4"/>
        <v>/</v>
      </c>
      <c r="Z27" s="539">
        <f t="shared" si="5"/>
        <v>9</v>
      </c>
      <c r="AA27" s="539">
        <f t="shared" si="6"/>
        <v>2.67</v>
      </c>
      <c r="AB27" s="539">
        <f t="shared" si="7"/>
        <v>3</v>
      </c>
      <c r="AC27" s="539" t="str">
        <f t="shared" si="8"/>
        <v>/</v>
      </c>
      <c r="AD27" s="539">
        <f t="shared" si="9"/>
        <v>9</v>
      </c>
      <c r="AE27" s="539">
        <f t="shared" si="10"/>
        <v>3</v>
      </c>
      <c r="AF27" s="539" t="s">
        <v>14</v>
      </c>
      <c r="AG27" s="539" t="s">
        <v>15</v>
      </c>
      <c r="AH27" s="539" t="s">
        <v>205</v>
      </c>
      <c r="AI27" s="539" t="s">
        <v>15</v>
      </c>
      <c r="AJ27" s="539" t="s">
        <v>65</v>
      </c>
      <c r="AK27" s="180"/>
      <c r="AL27" s="174"/>
      <c r="AM27" s="539">
        <f t="shared" si="11"/>
        <v>3</v>
      </c>
      <c r="AN27" s="539">
        <f t="shared" si="12"/>
        <v>-24147</v>
      </c>
      <c r="AO27" s="271"/>
      <c r="AP27" s="271"/>
      <c r="AQ27" s="539">
        <f>VLOOKUP(U27,'[1]- DLiêu Gốc -'!$B$1:$E$56,3,0)</f>
        <v>2.34</v>
      </c>
      <c r="AR27" s="539">
        <f>VLOOKUP(U27,'[1]- DLiêu Gốc -'!$B$1:$E$56,4,0)</f>
        <v>0.33</v>
      </c>
      <c r="AT27" s="539" t="str">
        <f t="shared" si="13"/>
        <v>PCTN</v>
      </c>
      <c r="AU27" s="566">
        <v>7</v>
      </c>
      <c r="AV27" s="567" t="s">
        <v>47</v>
      </c>
      <c r="AW27" s="566">
        <f t="shared" si="14"/>
        <v>8</v>
      </c>
      <c r="AX27" s="568" t="s">
        <v>47</v>
      </c>
      <c r="AY27" s="569" t="s">
        <v>46</v>
      </c>
      <c r="AZ27" s="259" t="s">
        <v>15</v>
      </c>
      <c r="BA27" s="570">
        <v>2015</v>
      </c>
      <c r="BB27" s="515"/>
      <c r="BC27" s="515"/>
      <c r="BD27" s="271"/>
      <c r="BE27" s="515">
        <v>2</v>
      </c>
      <c r="BF27" s="271">
        <f t="shared" si="15"/>
        <v>-24182</v>
      </c>
      <c r="BG27" s="172" t="str">
        <f t="shared" si="16"/>
        <v>- - -</v>
      </c>
      <c r="BH27" s="515" t="str">
        <f t="shared" si="17"/>
        <v>CC,VC</v>
      </c>
      <c r="BI27" s="597"/>
      <c r="BJ27" s="401"/>
      <c r="BK27" s="401" t="s">
        <v>13</v>
      </c>
      <c r="BL27" s="407" t="str">
        <f t="shared" si="18"/>
        <v>A</v>
      </c>
      <c r="BM27" s="405" t="str">
        <f t="shared" si="19"/>
        <v>=&gt; s</v>
      </c>
      <c r="BN27" s="407">
        <f t="shared" si="20"/>
        <v>24171</v>
      </c>
      <c r="BO27" s="401" t="str">
        <f t="shared" si="21"/>
        <v>---</v>
      </c>
      <c r="BP27" s="407"/>
      <c r="BQ27" s="411"/>
      <c r="BR27" s="411"/>
      <c r="BS27" s="583"/>
      <c r="BT27" s="400" t="str">
        <f t="shared" si="22"/>
        <v>- - -</v>
      </c>
      <c r="BU27" s="400" t="str">
        <f t="shared" si="23"/>
        <v>- - -</v>
      </c>
      <c r="BV27" s="400"/>
      <c r="BW27" s="400"/>
      <c r="BX27" s="400"/>
      <c r="BY27" s="400"/>
      <c r="BZ27" s="411" t="str">
        <f t="shared" si="24"/>
        <v>- - -</v>
      </c>
      <c r="CA27" s="407"/>
      <c r="CB27" s="407"/>
      <c r="CC27" s="413"/>
      <c r="CD27" s="413"/>
      <c r="CE27" s="400" t="str">
        <f t="shared" si="25"/>
        <v>---</v>
      </c>
      <c r="CF27" s="407" t="str">
        <f t="shared" si="26"/>
        <v>/-/ /-/</v>
      </c>
      <c r="CG27" s="407">
        <f t="shared" si="27"/>
        <v>8</v>
      </c>
      <c r="CH27" s="407">
        <f t="shared" si="28"/>
        <v>2038</v>
      </c>
      <c r="CI27" s="400">
        <f t="shared" si="29"/>
        <v>5</v>
      </c>
      <c r="CJ27" s="400">
        <f t="shared" si="30"/>
        <v>2038</v>
      </c>
      <c r="CK27" s="401">
        <f t="shared" si="31"/>
        <v>2</v>
      </c>
      <c r="CL27" s="407">
        <f t="shared" si="32"/>
        <v>2038</v>
      </c>
      <c r="CM27" s="407" t="str">
        <f t="shared" si="33"/>
        <v>- - -</v>
      </c>
      <c r="CN27" s="407" t="str">
        <f t="shared" si="34"/>
        <v>. .</v>
      </c>
      <c r="CO27" s="407"/>
      <c r="CP27" s="405">
        <f t="shared" si="35"/>
        <v>720</v>
      </c>
      <c r="CQ27" s="405">
        <f t="shared" si="36"/>
        <v>-23731</v>
      </c>
      <c r="CR27" s="407">
        <f t="shared" si="37"/>
        <v>-1978</v>
      </c>
      <c r="CS27" s="405" t="str">
        <f t="shared" si="38"/>
        <v>Nam dưới 35</v>
      </c>
      <c r="CT27" s="400"/>
      <c r="CU27" s="400"/>
      <c r="CV27" s="400" t="str">
        <f t="shared" si="39"/>
        <v>Đến 30</v>
      </c>
      <c r="CW27" s="400" t="str">
        <f t="shared" si="40"/>
        <v>TD</v>
      </c>
      <c r="CX27" s="400">
        <v>2012</v>
      </c>
      <c r="CY27" s="400"/>
      <c r="CZ27" s="400"/>
      <c r="DA27" s="400"/>
      <c r="DB27" s="400"/>
      <c r="DC27" s="400"/>
      <c r="DD27" s="400"/>
      <c r="DE27" s="400"/>
      <c r="DF27" s="400"/>
      <c r="DG27" s="400" t="s">
        <v>203</v>
      </c>
      <c r="DH27" s="400" t="s">
        <v>14</v>
      </c>
      <c r="DI27" s="400" t="s">
        <v>15</v>
      </c>
      <c r="DJ27" s="400" t="s">
        <v>205</v>
      </c>
      <c r="DK27" s="400" t="s">
        <v>15</v>
      </c>
      <c r="DL27" s="400" t="s">
        <v>65</v>
      </c>
      <c r="DM27" s="582">
        <f t="shared" si="41"/>
        <v>0</v>
      </c>
      <c r="DN27" s="175" t="str">
        <f t="shared" si="42"/>
        <v>- - -</v>
      </c>
      <c r="DO27" s="175" t="s">
        <v>14</v>
      </c>
      <c r="DP27" s="175" t="s">
        <v>15</v>
      </c>
      <c r="DQ27" s="175" t="s">
        <v>205</v>
      </c>
      <c r="DR27" s="175" t="s">
        <v>15</v>
      </c>
      <c r="DS27" s="175" t="s">
        <v>65</v>
      </c>
      <c r="DU27" s="175" t="str">
        <f t="shared" si="43"/>
        <v>- - -</v>
      </c>
      <c r="DV27" s="175" t="str">
        <f t="shared" si="44"/>
        <v>---</v>
      </c>
    </row>
    <row r="28" spans="1:126" s="175" customFormat="1" ht="35.25" customHeight="1" x14ac:dyDescent="0.25">
      <c r="A28" s="237">
        <v>279</v>
      </c>
      <c r="B28" s="591">
        <v>10</v>
      </c>
      <c r="C28" s="171" t="str">
        <f t="shared" si="0"/>
        <v>Bà</v>
      </c>
      <c r="D28" s="560" t="s">
        <v>206</v>
      </c>
      <c r="E28" s="171" t="s">
        <v>40</v>
      </c>
      <c r="F28" s="561" t="s">
        <v>207</v>
      </c>
      <c r="G28" s="561" t="s">
        <v>15</v>
      </c>
      <c r="H28" s="561" t="s">
        <v>174</v>
      </c>
      <c r="I28" s="561" t="s">
        <v>15</v>
      </c>
      <c r="J28" s="171" t="s">
        <v>186</v>
      </c>
      <c r="K28" s="171" t="str">
        <f>IF(AND((M28+0)&gt;0.3,(M28+0)&lt;1.5),"CVụ","- -")</f>
        <v>CVụ</v>
      </c>
      <c r="L28" s="171" t="s">
        <v>85</v>
      </c>
      <c r="M28" s="176" t="str">
        <f>VLOOKUP(L28,'[1]- DLiêu Gốc -'!$B$2:$G$121,2,0)</f>
        <v>0,6</v>
      </c>
      <c r="N28" s="562" t="s">
        <v>208</v>
      </c>
      <c r="O28" s="563" t="s">
        <v>209</v>
      </c>
      <c r="P28" s="254" t="str">
        <f>VLOOKUP(U28,'[1]- DLiêu Gốc -'!$B$2:$G$56,5,0)</f>
        <v>A2</v>
      </c>
      <c r="Q28" s="254" t="str">
        <f>VLOOKUP(U28,'[1]- DLiêu Gốc -'!$B$2:$G$56,6,0)</f>
        <v>A2.1</v>
      </c>
      <c r="R28" s="171" t="s">
        <v>43</v>
      </c>
      <c r="S28" s="564" t="str">
        <f t="shared" si="1"/>
        <v>Giảng viên chính (hạng II)</v>
      </c>
      <c r="T28" s="565" t="str">
        <f t="shared" si="2"/>
        <v>V.07.01.02</v>
      </c>
      <c r="U28" s="271" t="s">
        <v>86</v>
      </c>
      <c r="V28" s="174" t="str">
        <f>VLOOKUP(U28,'[1]- DLiêu Gốc -'!$B$1:$G$121,2,0)</f>
        <v>V.07.01.02</v>
      </c>
      <c r="W28" s="539" t="str">
        <f t="shared" si="3"/>
        <v>Lương</v>
      </c>
      <c r="X28" s="539">
        <v>1</v>
      </c>
      <c r="Y28" s="539" t="str">
        <f t="shared" si="4"/>
        <v>/</v>
      </c>
      <c r="Z28" s="539">
        <f t="shared" si="5"/>
        <v>8</v>
      </c>
      <c r="AA28" s="539">
        <f t="shared" si="6"/>
        <v>4.4000000000000004</v>
      </c>
      <c r="AB28" s="539">
        <f t="shared" si="7"/>
        <v>2</v>
      </c>
      <c r="AC28" s="539" t="str">
        <f t="shared" si="8"/>
        <v>/</v>
      </c>
      <c r="AD28" s="539">
        <f t="shared" si="9"/>
        <v>8</v>
      </c>
      <c r="AE28" s="539">
        <f t="shared" si="10"/>
        <v>4.74</v>
      </c>
      <c r="AF28" s="539" t="s">
        <v>14</v>
      </c>
      <c r="AG28" s="539" t="s">
        <v>15</v>
      </c>
      <c r="AH28" s="539">
        <v>4</v>
      </c>
      <c r="AI28" s="539" t="s">
        <v>15</v>
      </c>
      <c r="AJ28" s="539">
        <v>2013</v>
      </c>
      <c r="AK28" s="180"/>
      <c r="AL28" s="174"/>
      <c r="AM28" s="539">
        <f t="shared" si="11"/>
        <v>3</v>
      </c>
      <c r="AN28" s="539">
        <f t="shared" si="12"/>
        <v>-24160</v>
      </c>
      <c r="AO28" s="271"/>
      <c r="AP28" s="271"/>
      <c r="AQ28" s="539">
        <f>VLOOKUP(U28,'[1]- DLiêu Gốc -'!$B$1:$E$56,3,0)</f>
        <v>4.4000000000000004</v>
      </c>
      <c r="AR28" s="539">
        <f>VLOOKUP(U28,'[1]- DLiêu Gốc -'!$B$1:$E$56,4,0)</f>
        <v>0.34</v>
      </c>
      <c r="AT28" s="539" t="str">
        <f t="shared" si="13"/>
        <v>PCTN</v>
      </c>
      <c r="AU28" s="566">
        <v>17</v>
      </c>
      <c r="AV28" s="567" t="s">
        <v>47</v>
      </c>
      <c r="AW28" s="566">
        <f t="shared" si="14"/>
        <v>18</v>
      </c>
      <c r="AX28" s="568" t="s">
        <v>47</v>
      </c>
      <c r="AY28" s="569" t="s">
        <v>46</v>
      </c>
      <c r="AZ28" s="259" t="s">
        <v>15</v>
      </c>
      <c r="BA28" s="570">
        <v>2015</v>
      </c>
      <c r="BB28" s="515"/>
      <c r="BC28" s="515"/>
      <c r="BD28" s="271"/>
      <c r="BE28" s="515">
        <v>2</v>
      </c>
      <c r="BF28" s="271">
        <f t="shared" si="15"/>
        <v>-24182</v>
      </c>
      <c r="BG28" s="172" t="str">
        <f t="shared" si="16"/>
        <v>- - -</v>
      </c>
      <c r="BH28" s="515" t="str">
        <f t="shared" si="17"/>
        <v>CC,VC</v>
      </c>
      <c r="BI28" s="597"/>
      <c r="BJ28" s="401"/>
      <c r="BK28" s="401" t="s">
        <v>13</v>
      </c>
      <c r="BL28" s="407" t="str">
        <f t="shared" si="18"/>
        <v>A</v>
      </c>
      <c r="BM28" s="405" t="str">
        <f t="shared" si="19"/>
        <v>=&gt; s</v>
      </c>
      <c r="BN28" s="407">
        <f t="shared" si="20"/>
        <v>24184</v>
      </c>
      <c r="BO28" s="401" t="str">
        <f t="shared" si="21"/>
        <v>S</v>
      </c>
      <c r="BP28" s="407">
        <v>2013</v>
      </c>
      <c r="BQ28" s="411" t="s">
        <v>87</v>
      </c>
      <c r="BR28" s="411"/>
      <c r="BS28" s="583"/>
      <c r="BT28" s="400" t="str">
        <f t="shared" si="22"/>
        <v>Cùg Ng</v>
      </c>
      <c r="BU28" s="400" t="str">
        <f t="shared" si="23"/>
        <v>NN</v>
      </c>
      <c r="BV28" s="400">
        <v>1</v>
      </c>
      <c r="BW28" s="400" t="s">
        <v>36</v>
      </c>
      <c r="BX28" s="400"/>
      <c r="BY28" s="400"/>
      <c r="BZ28" s="411" t="str">
        <f t="shared" si="24"/>
        <v>- - -</v>
      </c>
      <c r="CA28" s="407"/>
      <c r="CB28" s="407"/>
      <c r="CC28" s="413"/>
      <c r="CD28" s="413"/>
      <c r="CE28" s="400" t="str">
        <f t="shared" si="25"/>
        <v>---</v>
      </c>
      <c r="CF28" s="407" t="str">
        <f t="shared" si="26"/>
        <v>/-/ /-/</v>
      </c>
      <c r="CG28" s="407">
        <f t="shared" si="27"/>
        <v>10</v>
      </c>
      <c r="CH28" s="407">
        <f t="shared" si="28"/>
        <v>2024</v>
      </c>
      <c r="CI28" s="400">
        <f t="shared" si="29"/>
        <v>7</v>
      </c>
      <c r="CJ28" s="400">
        <f t="shared" si="30"/>
        <v>2024</v>
      </c>
      <c r="CK28" s="401">
        <f t="shared" si="31"/>
        <v>4</v>
      </c>
      <c r="CL28" s="407">
        <f t="shared" si="32"/>
        <v>2024</v>
      </c>
      <c r="CM28" s="407" t="str">
        <f t="shared" si="33"/>
        <v>- - -</v>
      </c>
      <c r="CN28" s="407" t="str">
        <f t="shared" si="34"/>
        <v>. .</v>
      </c>
      <c r="CO28" s="407"/>
      <c r="CP28" s="405">
        <f t="shared" si="35"/>
        <v>660</v>
      </c>
      <c r="CQ28" s="405">
        <f t="shared" si="36"/>
        <v>-23625</v>
      </c>
      <c r="CR28" s="407">
        <f t="shared" si="37"/>
        <v>-1969</v>
      </c>
      <c r="CS28" s="405" t="str">
        <f t="shared" si="38"/>
        <v>Nữ dưới 30</v>
      </c>
      <c r="CT28" s="400"/>
      <c r="CU28" s="400"/>
      <c r="CV28" s="400" t="str">
        <f t="shared" si="39"/>
        <v>Đến 30</v>
      </c>
      <c r="CW28" s="400" t="str">
        <f t="shared" si="40"/>
        <v>--</v>
      </c>
      <c r="CX28" s="400"/>
      <c r="CY28" s="400"/>
      <c r="CZ28" s="400"/>
      <c r="DA28" s="400"/>
      <c r="DB28" s="400"/>
      <c r="DC28" s="400"/>
      <c r="DD28" s="400"/>
      <c r="DE28" s="400"/>
      <c r="DF28" s="400"/>
      <c r="DG28" s="400" t="s">
        <v>208</v>
      </c>
      <c r="DH28" s="400" t="s">
        <v>14</v>
      </c>
      <c r="DI28" s="400" t="s">
        <v>15</v>
      </c>
      <c r="DJ28" s="400">
        <v>4</v>
      </c>
      <c r="DK28" s="400" t="s">
        <v>15</v>
      </c>
      <c r="DL28" s="400">
        <v>2013</v>
      </c>
      <c r="DM28" s="582">
        <f t="shared" si="41"/>
        <v>0</v>
      </c>
      <c r="DN28" s="175" t="str">
        <f t="shared" si="42"/>
        <v>- - -</v>
      </c>
      <c r="DO28" s="175" t="s">
        <v>14</v>
      </c>
      <c r="DP28" s="175" t="s">
        <v>15</v>
      </c>
      <c r="DQ28" s="175">
        <v>4</v>
      </c>
      <c r="DR28" s="175" t="s">
        <v>15</v>
      </c>
      <c r="DS28" s="175">
        <v>2013</v>
      </c>
      <c r="DT28" s="175">
        <v>3.66</v>
      </c>
      <c r="DU28" s="175" t="str">
        <f t="shared" si="43"/>
        <v>- - -</v>
      </c>
      <c r="DV28" s="175" t="str">
        <f t="shared" si="44"/>
        <v>---</v>
      </c>
    </row>
    <row r="29" spans="1:126" s="175" customFormat="1" ht="35.25" customHeight="1" x14ac:dyDescent="0.25">
      <c r="A29" s="237">
        <v>286</v>
      </c>
      <c r="B29" s="591">
        <v>11</v>
      </c>
      <c r="C29" s="171" t="str">
        <f t="shared" si="0"/>
        <v>Bà</v>
      </c>
      <c r="D29" s="560" t="s">
        <v>210</v>
      </c>
      <c r="E29" s="171" t="s">
        <v>40</v>
      </c>
      <c r="F29" s="561" t="s">
        <v>14</v>
      </c>
      <c r="G29" s="561" t="s">
        <v>15</v>
      </c>
      <c r="H29" s="561" t="s">
        <v>53</v>
      </c>
      <c r="I29" s="561" t="s">
        <v>15</v>
      </c>
      <c r="J29" s="171">
        <v>1975</v>
      </c>
      <c r="K29" s="171"/>
      <c r="L29" s="171"/>
      <c r="M29" s="176" t="e">
        <f>VLOOKUP(L29,'[1]- DLiêu Gốc -'!$B$2:$G$121,2,0)</f>
        <v>#N/A</v>
      </c>
      <c r="N29" s="562" t="s">
        <v>211</v>
      </c>
      <c r="O29" s="563" t="s">
        <v>209</v>
      </c>
      <c r="P29" s="254" t="str">
        <f>VLOOKUP(U29,'[1]- DLiêu Gốc -'!$B$2:$G$56,5,0)</f>
        <v>A1</v>
      </c>
      <c r="Q29" s="254" t="str">
        <f>VLOOKUP(U29,'[1]- DLiêu Gốc -'!$B$2:$G$56,6,0)</f>
        <v>- - -</v>
      </c>
      <c r="R29" s="171" t="s">
        <v>43</v>
      </c>
      <c r="S29" s="564" t="str">
        <f t="shared" si="1"/>
        <v>Giảng viên (hạng III)</v>
      </c>
      <c r="T29" s="565" t="str">
        <f t="shared" si="2"/>
        <v>V.07.01.03</v>
      </c>
      <c r="U29" s="271" t="s">
        <v>44</v>
      </c>
      <c r="V29" s="174" t="str">
        <f>VLOOKUP(U29,'[1]- DLiêu Gốc -'!$B$1:$G$121,2,0)</f>
        <v>V.07.01.03</v>
      </c>
      <c r="W29" s="539" t="str">
        <f t="shared" si="3"/>
        <v>Lương</v>
      </c>
      <c r="X29" s="539">
        <v>3</v>
      </c>
      <c r="Y29" s="539" t="str">
        <f t="shared" si="4"/>
        <v>/</v>
      </c>
      <c r="Z29" s="539">
        <f t="shared" si="5"/>
        <v>9</v>
      </c>
      <c r="AA29" s="539">
        <f t="shared" si="6"/>
        <v>3</v>
      </c>
      <c r="AB29" s="539">
        <f t="shared" si="7"/>
        <v>4</v>
      </c>
      <c r="AC29" s="539" t="str">
        <f t="shared" si="8"/>
        <v>/</v>
      </c>
      <c r="AD29" s="539">
        <f t="shared" si="9"/>
        <v>9</v>
      </c>
      <c r="AE29" s="539">
        <f t="shared" si="10"/>
        <v>3.33</v>
      </c>
      <c r="AF29" s="539" t="s">
        <v>14</v>
      </c>
      <c r="AG29" s="539" t="s">
        <v>15</v>
      </c>
      <c r="AH29" s="539">
        <v>5</v>
      </c>
      <c r="AI29" s="539" t="s">
        <v>15</v>
      </c>
      <c r="AJ29" s="539">
        <v>2013</v>
      </c>
      <c r="AK29" s="180"/>
      <c r="AL29" s="174"/>
      <c r="AM29" s="539">
        <f t="shared" si="11"/>
        <v>3</v>
      </c>
      <c r="AN29" s="539">
        <f t="shared" si="12"/>
        <v>-24161</v>
      </c>
      <c r="AO29" s="271"/>
      <c r="AP29" s="271"/>
      <c r="AQ29" s="539">
        <f>VLOOKUP(U29,'[1]- DLiêu Gốc -'!$B$1:$E$56,3,0)</f>
        <v>2.34</v>
      </c>
      <c r="AR29" s="539">
        <f>VLOOKUP(U29,'[1]- DLiêu Gốc -'!$B$1:$E$56,4,0)</f>
        <v>0.33</v>
      </c>
      <c r="AT29" s="539" t="str">
        <f t="shared" si="13"/>
        <v>PCTN</v>
      </c>
      <c r="AU29" s="566">
        <v>11</v>
      </c>
      <c r="AV29" s="567" t="s">
        <v>47</v>
      </c>
      <c r="AW29" s="566">
        <f t="shared" si="14"/>
        <v>12</v>
      </c>
      <c r="AX29" s="568" t="s">
        <v>47</v>
      </c>
      <c r="AY29" s="569" t="s">
        <v>46</v>
      </c>
      <c r="AZ29" s="259" t="s">
        <v>15</v>
      </c>
      <c r="BA29" s="570">
        <v>2015</v>
      </c>
      <c r="BB29" s="515"/>
      <c r="BC29" s="515"/>
      <c r="BD29" s="271"/>
      <c r="BE29" s="515">
        <v>2</v>
      </c>
      <c r="BF29" s="271">
        <f t="shared" si="15"/>
        <v>-24182</v>
      </c>
      <c r="BG29" s="172" t="str">
        <f t="shared" si="16"/>
        <v>- - -</v>
      </c>
      <c r="BH29" s="515" t="str">
        <f t="shared" si="17"/>
        <v>CC,VC</v>
      </c>
      <c r="BI29" s="597"/>
      <c r="BJ29" s="401"/>
      <c r="BK29" s="401" t="s">
        <v>13</v>
      </c>
      <c r="BL29" s="407" t="str">
        <f t="shared" si="18"/>
        <v>A</v>
      </c>
      <c r="BM29" s="405" t="str">
        <f t="shared" si="19"/>
        <v>=&gt; s</v>
      </c>
      <c r="BN29" s="407">
        <f t="shared" si="20"/>
        <v>24185</v>
      </c>
      <c r="BO29" s="401" t="str">
        <f t="shared" si="21"/>
        <v>S</v>
      </c>
      <c r="BP29" s="407">
        <v>2013</v>
      </c>
      <c r="BQ29" s="411" t="s">
        <v>45</v>
      </c>
      <c r="BR29" s="411"/>
      <c r="BS29" s="583"/>
      <c r="BT29" s="400" t="str">
        <f t="shared" si="22"/>
        <v>Cùg Ng</v>
      </c>
      <c r="BU29" s="400" t="str">
        <f t="shared" si="23"/>
        <v>- - -</v>
      </c>
      <c r="BV29" s="400"/>
      <c r="BW29" s="400"/>
      <c r="BX29" s="400"/>
      <c r="BY29" s="400"/>
      <c r="BZ29" s="411" t="str">
        <f t="shared" si="24"/>
        <v>- - -</v>
      </c>
      <c r="CA29" s="407"/>
      <c r="CB29" s="407"/>
      <c r="CC29" s="413"/>
      <c r="CD29" s="413"/>
      <c r="CE29" s="400" t="str">
        <f t="shared" si="25"/>
        <v>---</v>
      </c>
      <c r="CF29" s="407" t="str">
        <f t="shared" si="26"/>
        <v>/-/ /-/</v>
      </c>
      <c r="CG29" s="407">
        <f t="shared" si="27"/>
        <v>12</v>
      </c>
      <c r="CH29" s="407">
        <f t="shared" si="28"/>
        <v>2030</v>
      </c>
      <c r="CI29" s="400">
        <f t="shared" si="29"/>
        <v>9</v>
      </c>
      <c r="CJ29" s="400">
        <f t="shared" si="30"/>
        <v>2030</v>
      </c>
      <c r="CK29" s="401">
        <f t="shared" si="31"/>
        <v>6</v>
      </c>
      <c r="CL29" s="407">
        <f t="shared" si="32"/>
        <v>2030</v>
      </c>
      <c r="CM29" s="407" t="str">
        <f t="shared" si="33"/>
        <v>- - -</v>
      </c>
      <c r="CN29" s="407" t="str">
        <f t="shared" si="34"/>
        <v>. .</v>
      </c>
      <c r="CO29" s="407"/>
      <c r="CP29" s="405">
        <f t="shared" si="35"/>
        <v>660</v>
      </c>
      <c r="CQ29" s="405">
        <f t="shared" si="36"/>
        <v>-23699</v>
      </c>
      <c r="CR29" s="407">
        <f t="shared" si="37"/>
        <v>-1975</v>
      </c>
      <c r="CS29" s="405" t="str">
        <f t="shared" si="38"/>
        <v>Nữ dưới 30</v>
      </c>
      <c r="CT29" s="400"/>
      <c r="CU29" s="400"/>
      <c r="CV29" s="400" t="str">
        <f t="shared" si="39"/>
        <v>Đến 30</v>
      </c>
      <c r="CW29" s="400" t="str">
        <f t="shared" si="40"/>
        <v>--</v>
      </c>
      <c r="CX29" s="400"/>
      <c r="CY29" s="400"/>
      <c r="CZ29" s="400"/>
      <c r="DA29" s="400"/>
      <c r="DB29" s="400"/>
      <c r="DC29" s="400"/>
      <c r="DD29" s="400"/>
      <c r="DE29" s="400"/>
      <c r="DF29" s="400"/>
      <c r="DG29" s="400" t="s">
        <v>211</v>
      </c>
      <c r="DH29" s="400" t="s">
        <v>14</v>
      </c>
      <c r="DI29" s="400" t="s">
        <v>15</v>
      </c>
      <c r="DJ29" s="400">
        <v>5</v>
      </c>
      <c r="DK29" s="400" t="s">
        <v>15</v>
      </c>
      <c r="DL29" s="400">
        <v>2013</v>
      </c>
      <c r="DM29" s="582">
        <f t="shared" si="41"/>
        <v>0</v>
      </c>
      <c r="DN29" s="175" t="str">
        <f t="shared" si="42"/>
        <v>- - -</v>
      </c>
      <c r="DO29" s="175" t="s">
        <v>14</v>
      </c>
      <c r="DP29" s="175" t="s">
        <v>15</v>
      </c>
      <c r="DQ29" s="175">
        <v>5</v>
      </c>
      <c r="DR29" s="175" t="s">
        <v>15</v>
      </c>
      <c r="DS29" s="175">
        <v>2013</v>
      </c>
      <c r="DU29" s="175" t="str">
        <f t="shared" si="43"/>
        <v>- - -</v>
      </c>
      <c r="DV29" s="175" t="str">
        <f t="shared" si="44"/>
        <v>---</v>
      </c>
    </row>
    <row r="30" spans="1:126" s="175" customFormat="1" ht="35.25" customHeight="1" x14ac:dyDescent="0.25">
      <c r="A30" s="237">
        <v>387</v>
      </c>
      <c r="B30" s="591">
        <v>12</v>
      </c>
      <c r="C30" s="171" t="str">
        <f t="shared" si="0"/>
        <v>Bà</v>
      </c>
      <c r="D30" s="560" t="s">
        <v>39</v>
      </c>
      <c r="E30" s="171" t="s">
        <v>40</v>
      </c>
      <c r="F30" s="561" t="s">
        <v>41</v>
      </c>
      <c r="G30" s="561" t="s">
        <v>15</v>
      </c>
      <c r="H30" s="561">
        <v>7</v>
      </c>
      <c r="I30" s="561" t="s">
        <v>15</v>
      </c>
      <c r="J30" s="171">
        <v>1976</v>
      </c>
      <c r="K30" s="171"/>
      <c r="L30" s="171"/>
      <c r="M30" s="176" t="e">
        <f>VLOOKUP(L30,'[1]- DLiêu Gốc -'!$B$2:$G$121,2,0)</f>
        <v>#N/A</v>
      </c>
      <c r="N30" s="562" t="s">
        <v>48</v>
      </c>
      <c r="O30" s="563" t="s">
        <v>42</v>
      </c>
      <c r="P30" s="254" t="str">
        <f>VLOOKUP(U30,'[1]- DLiêu Gốc -'!$B$2:$G$56,5,0)</f>
        <v>A1</v>
      </c>
      <c r="Q30" s="254" t="str">
        <f>VLOOKUP(U30,'[1]- DLiêu Gốc -'!$B$2:$G$56,6,0)</f>
        <v>- - -</v>
      </c>
      <c r="R30" s="171" t="s">
        <v>43</v>
      </c>
      <c r="S30" s="564" t="str">
        <f t="shared" si="1"/>
        <v>Giảng viên (hạng III)</v>
      </c>
      <c r="T30" s="565" t="str">
        <f t="shared" si="2"/>
        <v>V.07.01.03</v>
      </c>
      <c r="U30" s="271" t="s">
        <v>44</v>
      </c>
      <c r="V30" s="174" t="str">
        <f>VLOOKUP(U30,'[1]- DLiêu Gốc -'!$B$1:$G$121,2,0)</f>
        <v>V.07.01.03</v>
      </c>
      <c r="W30" s="539" t="str">
        <f t="shared" si="3"/>
        <v>Lương</v>
      </c>
      <c r="X30" s="539">
        <v>3</v>
      </c>
      <c r="Y30" s="539" t="str">
        <f t="shared" si="4"/>
        <v>/</v>
      </c>
      <c r="Z30" s="539">
        <f t="shared" si="5"/>
        <v>9</v>
      </c>
      <c r="AA30" s="539">
        <f t="shared" si="6"/>
        <v>3</v>
      </c>
      <c r="AB30" s="539">
        <f t="shared" si="7"/>
        <v>4</v>
      </c>
      <c r="AC30" s="539" t="str">
        <f t="shared" si="8"/>
        <v>/</v>
      </c>
      <c r="AD30" s="539">
        <f t="shared" si="9"/>
        <v>9</v>
      </c>
      <c r="AE30" s="539">
        <f t="shared" si="10"/>
        <v>3.33</v>
      </c>
      <c r="AF30" s="539" t="s">
        <v>14</v>
      </c>
      <c r="AG30" s="539" t="s">
        <v>15</v>
      </c>
      <c r="AH30" s="539" t="s">
        <v>46</v>
      </c>
      <c r="AI30" s="539" t="s">
        <v>15</v>
      </c>
      <c r="AJ30" s="539">
        <v>2015</v>
      </c>
      <c r="AK30" s="180"/>
      <c r="AL30" s="174">
        <v>2</v>
      </c>
      <c r="AM30" s="539">
        <f t="shared" si="11"/>
        <v>3</v>
      </c>
      <c r="AN30" s="539">
        <f t="shared" si="12"/>
        <v>-24182</v>
      </c>
      <c r="AO30" s="271"/>
      <c r="AP30" s="271"/>
      <c r="AQ30" s="539">
        <f>VLOOKUP(U30,'[1]- DLiêu Gốc -'!$B$1:$E$56,3,0)</f>
        <v>2.34</v>
      </c>
      <c r="AR30" s="539">
        <f>VLOOKUP(U30,'[1]- DLiêu Gốc -'!$B$1:$E$56,4,0)</f>
        <v>0.33</v>
      </c>
      <c r="AT30" s="539" t="str">
        <f t="shared" si="13"/>
        <v>PCTN</v>
      </c>
      <c r="AU30" s="566">
        <v>7</v>
      </c>
      <c r="AV30" s="567" t="s">
        <v>47</v>
      </c>
      <c r="AW30" s="566">
        <f t="shared" si="14"/>
        <v>8</v>
      </c>
      <c r="AX30" s="568" t="s">
        <v>47</v>
      </c>
      <c r="AY30" s="569" t="s">
        <v>46</v>
      </c>
      <c r="AZ30" s="259" t="s">
        <v>15</v>
      </c>
      <c r="BA30" s="570">
        <v>2015</v>
      </c>
      <c r="BB30" s="515"/>
      <c r="BC30" s="515"/>
      <c r="BD30" s="271"/>
      <c r="BE30" s="515">
        <v>2</v>
      </c>
      <c r="BF30" s="271">
        <f t="shared" si="15"/>
        <v>-24182</v>
      </c>
      <c r="BG30" s="172" t="str">
        <f t="shared" si="16"/>
        <v>- - -</v>
      </c>
      <c r="BH30" s="515" t="str">
        <f t="shared" si="17"/>
        <v>CC,VC</v>
      </c>
      <c r="BI30" s="597"/>
      <c r="BJ30" s="401"/>
      <c r="BK30" s="401" t="s">
        <v>13</v>
      </c>
      <c r="BL30" s="407" t="str">
        <f t="shared" si="18"/>
        <v>A</v>
      </c>
      <c r="BM30" s="405" t="str">
        <f t="shared" si="19"/>
        <v>=&gt; s</v>
      </c>
      <c r="BN30" s="407">
        <f t="shared" si="20"/>
        <v>24206</v>
      </c>
      <c r="BO30" s="401" t="str">
        <f t="shared" si="21"/>
        <v>S</v>
      </c>
      <c r="BP30" s="407">
        <v>2012</v>
      </c>
      <c r="BQ30" s="411" t="s">
        <v>45</v>
      </c>
      <c r="BR30" s="411"/>
      <c r="BS30" s="583"/>
      <c r="BT30" s="400" t="str">
        <f t="shared" si="22"/>
        <v>Cùg Ng</v>
      </c>
      <c r="BU30" s="400" t="str">
        <f t="shared" si="23"/>
        <v>- - -</v>
      </c>
      <c r="BV30" s="400"/>
      <c r="BW30" s="400"/>
      <c r="BX30" s="400"/>
      <c r="BY30" s="400"/>
      <c r="BZ30" s="411" t="str">
        <f t="shared" si="24"/>
        <v>- - -</v>
      </c>
      <c r="CA30" s="407"/>
      <c r="CB30" s="407"/>
      <c r="CC30" s="413"/>
      <c r="CD30" s="413"/>
      <c r="CE30" s="400" t="str">
        <f t="shared" si="25"/>
        <v>---</v>
      </c>
      <c r="CF30" s="407" t="str">
        <f t="shared" si="26"/>
        <v>/-/ /-/</v>
      </c>
      <c r="CG30" s="407">
        <f t="shared" si="27"/>
        <v>8</v>
      </c>
      <c r="CH30" s="407">
        <f t="shared" si="28"/>
        <v>2031</v>
      </c>
      <c r="CI30" s="400">
        <f t="shared" si="29"/>
        <v>5</v>
      </c>
      <c r="CJ30" s="400">
        <f t="shared" si="30"/>
        <v>2031</v>
      </c>
      <c r="CK30" s="401">
        <f t="shared" si="31"/>
        <v>2</v>
      </c>
      <c r="CL30" s="407">
        <f t="shared" si="32"/>
        <v>2031</v>
      </c>
      <c r="CM30" s="407" t="str">
        <f t="shared" si="33"/>
        <v>- - -</v>
      </c>
      <c r="CN30" s="407" t="str">
        <f t="shared" si="34"/>
        <v>. .</v>
      </c>
      <c r="CO30" s="407"/>
      <c r="CP30" s="405">
        <f t="shared" si="35"/>
        <v>660</v>
      </c>
      <c r="CQ30" s="405">
        <f t="shared" si="36"/>
        <v>-23707</v>
      </c>
      <c r="CR30" s="407">
        <f t="shared" si="37"/>
        <v>-1976</v>
      </c>
      <c r="CS30" s="405" t="str">
        <f t="shared" si="38"/>
        <v>Nữ dưới 30</v>
      </c>
      <c r="CT30" s="400"/>
      <c r="CU30" s="400"/>
      <c r="CV30" s="400" t="str">
        <f t="shared" si="39"/>
        <v>Đến 30</v>
      </c>
      <c r="CW30" s="400" t="str">
        <f t="shared" si="40"/>
        <v>TD</v>
      </c>
      <c r="CX30" s="400">
        <v>2008</v>
      </c>
      <c r="CY30" s="400"/>
      <c r="CZ30" s="400"/>
      <c r="DA30" s="400"/>
      <c r="DB30" s="400"/>
      <c r="DC30" s="400"/>
      <c r="DD30" s="400"/>
      <c r="DE30" s="400"/>
      <c r="DF30" s="400"/>
      <c r="DG30" s="400" t="s">
        <v>48</v>
      </c>
      <c r="DH30" s="400" t="s">
        <v>14</v>
      </c>
      <c r="DI30" s="400" t="s">
        <v>15</v>
      </c>
      <c r="DJ30" s="400" t="s">
        <v>46</v>
      </c>
      <c r="DK30" s="400" t="s">
        <v>15</v>
      </c>
      <c r="DL30" s="400">
        <v>2012</v>
      </c>
      <c r="DM30" s="582">
        <f t="shared" si="41"/>
        <v>0</v>
      </c>
      <c r="DN30" s="175" t="str">
        <f t="shared" si="42"/>
        <v>- - -</v>
      </c>
      <c r="DO30" s="175" t="s">
        <v>14</v>
      </c>
      <c r="DP30" s="175" t="s">
        <v>15</v>
      </c>
      <c r="DQ30" s="175" t="s">
        <v>46</v>
      </c>
      <c r="DR30" s="175" t="s">
        <v>15</v>
      </c>
      <c r="DS30" s="175">
        <v>2012</v>
      </c>
      <c r="DU30" s="175" t="str">
        <f t="shared" si="43"/>
        <v>- - -</v>
      </c>
      <c r="DV30" s="175" t="str">
        <f t="shared" si="44"/>
        <v>---</v>
      </c>
    </row>
    <row r="31" spans="1:126" s="175" customFormat="1" ht="35.25" customHeight="1" thickBot="1" x14ac:dyDescent="0.3">
      <c r="A31" s="237">
        <v>421</v>
      </c>
      <c r="B31" s="598">
        <v>13</v>
      </c>
      <c r="C31" s="475" t="str">
        <f t="shared" si="0"/>
        <v>Ông</v>
      </c>
      <c r="D31" s="599" t="s">
        <v>212</v>
      </c>
      <c r="E31" s="475" t="s">
        <v>52</v>
      </c>
      <c r="F31" s="600" t="s">
        <v>53</v>
      </c>
      <c r="G31" s="600" t="s">
        <v>15</v>
      </c>
      <c r="H31" s="600" t="s">
        <v>174</v>
      </c>
      <c r="I31" s="600" t="s">
        <v>15</v>
      </c>
      <c r="J31" s="475" t="s">
        <v>213</v>
      </c>
      <c r="K31" s="475" t="str">
        <f>IF(AND((M31+0)&gt;0.3,(M31+0)&lt;1.5),"CVụ","- -")</f>
        <v>CVụ</v>
      </c>
      <c r="L31" s="475" t="s">
        <v>214</v>
      </c>
      <c r="M31" s="601" t="str">
        <f>VLOOKUP(L31,'[1]- DLiêu Gốc -'!$B$2:$G$121,2,0)</f>
        <v>1,0</v>
      </c>
      <c r="N31" s="602"/>
      <c r="O31" s="603" t="s">
        <v>215</v>
      </c>
      <c r="P31" s="464" t="str">
        <f>VLOOKUP(U31,'[1]- DLiêu Gốc -'!$B$2:$G$56,5,0)</f>
        <v>A3</v>
      </c>
      <c r="Q31" s="464" t="str">
        <f>VLOOKUP(U31,'[1]- DLiêu Gốc -'!$B$2:$G$56,6,0)</f>
        <v>A3.1</v>
      </c>
      <c r="R31" s="475" t="s">
        <v>43</v>
      </c>
      <c r="S31" s="604" t="str">
        <f t="shared" si="1"/>
        <v>Giảng viên cao cấp (hạng I)</v>
      </c>
      <c r="T31" s="605" t="str">
        <f t="shared" si="2"/>
        <v>V.07.01.01</v>
      </c>
      <c r="U31" s="606" t="s">
        <v>184</v>
      </c>
      <c r="V31" s="478" t="str">
        <f>VLOOKUP(U31,'[1]- DLiêu Gốc -'!$B$1:$G$121,2,0)</f>
        <v>V.07.01.01</v>
      </c>
      <c r="W31" s="607" t="str">
        <f t="shared" si="3"/>
        <v>Lương</v>
      </c>
      <c r="X31" s="607">
        <v>0</v>
      </c>
      <c r="Y31" s="607" t="str">
        <f t="shared" si="4"/>
        <v>/</v>
      </c>
      <c r="Z31" s="607">
        <f t="shared" si="5"/>
        <v>6</v>
      </c>
      <c r="AA31" s="607">
        <f t="shared" si="6"/>
        <v>5.84</v>
      </c>
      <c r="AB31" s="607">
        <f t="shared" si="7"/>
        <v>1</v>
      </c>
      <c r="AC31" s="607" t="str">
        <f t="shared" si="8"/>
        <v>/</v>
      </c>
      <c r="AD31" s="607">
        <f t="shared" si="9"/>
        <v>6</v>
      </c>
      <c r="AE31" s="607">
        <f t="shared" si="10"/>
        <v>6.2</v>
      </c>
      <c r="AF31" s="607" t="s">
        <v>14</v>
      </c>
      <c r="AG31" s="607" t="s">
        <v>15</v>
      </c>
      <c r="AH31" s="607" t="s">
        <v>216</v>
      </c>
      <c r="AI31" s="607" t="s">
        <v>15</v>
      </c>
      <c r="AJ31" s="607">
        <v>2012</v>
      </c>
      <c r="AK31" s="477"/>
      <c r="AL31" s="478"/>
      <c r="AM31" s="607">
        <f t="shared" si="11"/>
        <v>3</v>
      </c>
      <c r="AN31" s="607">
        <f t="shared" si="12"/>
        <v>-24149</v>
      </c>
      <c r="AO31" s="606"/>
      <c r="AP31" s="606"/>
      <c r="AQ31" s="607">
        <f>VLOOKUP(U31,'[1]- DLiêu Gốc -'!$B$1:$E$56,3,0)</f>
        <v>6.2</v>
      </c>
      <c r="AR31" s="607">
        <f>VLOOKUP(U31,'[1]- DLiêu Gốc -'!$B$1:$E$56,4,0)</f>
        <v>0.36</v>
      </c>
      <c r="AS31" s="447"/>
      <c r="AT31" s="607" t="str">
        <f t="shared" si="13"/>
        <v>PCTN</v>
      </c>
      <c r="AU31" s="608">
        <v>27</v>
      </c>
      <c r="AV31" s="609" t="s">
        <v>47</v>
      </c>
      <c r="AW31" s="608">
        <f t="shared" si="14"/>
        <v>28</v>
      </c>
      <c r="AX31" s="610" t="s">
        <v>47</v>
      </c>
      <c r="AY31" s="611" t="s">
        <v>46</v>
      </c>
      <c r="AZ31" s="469" t="s">
        <v>15</v>
      </c>
      <c r="BA31" s="612">
        <v>2015</v>
      </c>
      <c r="BB31" s="613"/>
      <c r="BC31" s="613"/>
      <c r="BD31" s="606"/>
      <c r="BE31" s="613">
        <v>2</v>
      </c>
      <c r="BF31" s="606">
        <f t="shared" si="15"/>
        <v>-24182</v>
      </c>
      <c r="BG31" s="614" t="str">
        <f t="shared" si="16"/>
        <v>- - -</v>
      </c>
      <c r="BH31" s="613" t="str">
        <f t="shared" si="17"/>
        <v>CC,VC</v>
      </c>
      <c r="BI31" s="615"/>
      <c r="BJ31" s="401"/>
      <c r="BK31" s="401" t="s">
        <v>13</v>
      </c>
      <c r="BL31" s="407" t="str">
        <f t="shared" si="18"/>
        <v>A</v>
      </c>
      <c r="BM31" s="405" t="str">
        <f t="shared" si="19"/>
        <v>=&gt; s</v>
      </c>
      <c r="BN31" s="407">
        <f t="shared" si="20"/>
        <v>24173</v>
      </c>
      <c r="BO31" s="401" t="str">
        <f t="shared" si="21"/>
        <v>---</v>
      </c>
      <c r="BP31" s="407"/>
      <c r="BQ31" s="411"/>
      <c r="BR31" s="411"/>
      <c r="BS31" s="583"/>
      <c r="BT31" s="400" t="str">
        <f t="shared" si="22"/>
        <v>- - -</v>
      </c>
      <c r="BU31" s="400" t="str">
        <f t="shared" si="23"/>
        <v>NN</v>
      </c>
      <c r="BV31" s="400">
        <v>5</v>
      </c>
      <c r="BW31" s="400">
        <v>2012</v>
      </c>
      <c r="BX31" s="400"/>
      <c r="BY31" s="400"/>
      <c r="BZ31" s="411" t="str">
        <f t="shared" si="24"/>
        <v>- - -</v>
      </c>
      <c r="CA31" s="407"/>
      <c r="CB31" s="407"/>
      <c r="CC31" s="413"/>
      <c r="CD31" s="413"/>
      <c r="CE31" s="400" t="str">
        <f t="shared" si="25"/>
        <v>---</v>
      </c>
      <c r="CF31" s="407" t="str">
        <f t="shared" si="26"/>
        <v>/-/ /-/</v>
      </c>
      <c r="CG31" s="407">
        <f t="shared" si="27"/>
        <v>10</v>
      </c>
      <c r="CH31" s="407">
        <f t="shared" si="28"/>
        <v>2019</v>
      </c>
      <c r="CI31" s="400">
        <f t="shared" si="29"/>
        <v>7</v>
      </c>
      <c r="CJ31" s="400">
        <f t="shared" si="30"/>
        <v>2019</v>
      </c>
      <c r="CK31" s="401">
        <f t="shared" si="31"/>
        <v>4</v>
      </c>
      <c r="CL31" s="407">
        <f t="shared" si="32"/>
        <v>2019</v>
      </c>
      <c r="CM31" s="407" t="str">
        <f t="shared" si="33"/>
        <v>- - -</v>
      </c>
      <c r="CN31" s="407" t="str">
        <f t="shared" si="34"/>
        <v>. .</v>
      </c>
      <c r="CO31" s="407"/>
      <c r="CP31" s="405">
        <f t="shared" si="35"/>
        <v>720</v>
      </c>
      <c r="CQ31" s="405">
        <f t="shared" si="36"/>
        <v>-23505</v>
      </c>
      <c r="CR31" s="407">
        <f t="shared" si="37"/>
        <v>-1959</v>
      </c>
      <c r="CS31" s="405" t="str">
        <f t="shared" si="38"/>
        <v>Nam dưới 35</v>
      </c>
      <c r="CT31" s="400"/>
      <c r="CU31" s="400"/>
      <c r="CV31" s="400" t="str">
        <f t="shared" si="39"/>
        <v>Đến 30</v>
      </c>
      <c r="CW31" s="400" t="str">
        <f t="shared" si="40"/>
        <v>--</v>
      </c>
      <c r="CX31" s="400"/>
      <c r="CY31" s="400"/>
      <c r="CZ31" s="400"/>
      <c r="DA31" s="400"/>
      <c r="DB31" s="400"/>
      <c r="DC31" s="400"/>
      <c r="DD31" s="400"/>
      <c r="DE31" s="400"/>
      <c r="DF31" s="400"/>
      <c r="DG31" s="400"/>
      <c r="DH31" s="400" t="s">
        <v>14</v>
      </c>
      <c r="DI31" s="400" t="s">
        <v>15</v>
      </c>
      <c r="DJ31" s="400" t="s">
        <v>216</v>
      </c>
      <c r="DK31" s="400" t="s">
        <v>15</v>
      </c>
      <c r="DL31" s="400">
        <v>2012</v>
      </c>
      <c r="DM31" s="582">
        <f t="shared" si="41"/>
        <v>0</v>
      </c>
      <c r="DN31" s="175" t="str">
        <f t="shared" si="42"/>
        <v>- - -</v>
      </c>
      <c r="DO31" s="175" t="s">
        <v>14</v>
      </c>
      <c r="DP31" s="175" t="s">
        <v>15</v>
      </c>
      <c r="DQ31" s="175" t="s">
        <v>216</v>
      </c>
      <c r="DR31" s="175" t="s">
        <v>15</v>
      </c>
      <c r="DS31" s="175">
        <v>2012</v>
      </c>
      <c r="DT31" s="175">
        <v>5.42</v>
      </c>
      <c r="DU31" s="175">
        <f t="shared" si="43"/>
        <v>0.1000000000000002</v>
      </c>
      <c r="DV31" s="175" t="str">
        <f t="shared" si="44"/>
        <v>---</v>
      </c>
    </row>
    <row r="32" spans="1:126" s="536" customFormat="1" ht="9.75" customHeight="1" x14ac:dyDescent="0.25">
      <c r="A32" s="498"/>
      <c r="B32" s="513"/>
      <c r="C32" s="498"/>
      <c r="D32" s="505"/>
      <c r="E32" s="498"/>
      <c r="F32" s="498"/>
      <c r="G32" s="498"/>
      <c r="H32" s="498"/>
      <c r="I32" s="498"/>
      <c r="J32" s="498"/>
      <c r="K32" s="498"/>
      <c r="L32" s="498"/>
      <c r="M32" s="498"/>
      <c r="N32" s="505"/>
      <c r="O32" s="505"/>
      <c r="P32" s="498"/>
      <c r="Q32" s="498"/>
      <c r="R32" s="498"/>
      <c r="S32" s="498"/>
      <c r="T32" s="513"/>
      <c r="U32" s="498"/>
      <c r="V32" s="498"/>
      <c r="W32" s="498"/>
      <c r="X32" s="498"/>
      <c r="Y32" s="498"/>
      <c r="Z32" s="498"/>
      <c r="AA32" s="498"/>
      <c r="AB32" s="498"/>
      <c r="AC32" s="498"/>
      <c r="AD32" s="498"/>
      <c r="AE32" s="498"/>
      <c r="AF32" s="498"/>
      <c r="AG32" s="501"/>
      <c r="AH32" s="498"/>
      <c r="AI32" s="498"/>
      <c r="AJ32" s="498"/>
      <c r="AV32" s="498"/>
      <c r="AX32" s="498"/>
      <c r="AZ32" s="498"/>
      <c r="BA32" s="498"/>
    </row>
    <row r="33" spans="1:61" s="498" customFormat="1" ht="15.75" customHeight="1" x14ac:dyDescent="0.2">
      <c r="B33" s="571" t="s">
        <v>123</v>
      </c>
      <c r="D33" s="505"/>
      <c r="F33" s="572"/>
      <c r="J33" s="573"/>
      <c r="K33" s="573"/>
      <c r="L33" s="573"/>
      <c r="M33" s="573"/>
      <c r="N33" s="505"/>
      <c r="O33" s="574"/>
      <c r="P33" s="574"/>
      <c r="Q33" s="574"/>
      <c r="R33" s="574"/>
      <c r="T33" s="490" t="s">
        <v>124</v>
      </c>
      <c r="U33" s="490"/>
      <c r="V33" s="490"/>
      <c r="W33" s="490"/>
      <c r="X33" s="490"/>
      <c r="Y33" s="490"/>
      <c r="Z33" s="490"/>
      <c r="AA33" s="490"/>
      <c r="AB33" s="490"/>
      <c r="AC33" s="490"/>
      <c r="AD33" s="490"/>
      <c r="AE33" s="490"/>
      <c r="AF33" s="490"/>
      <c r="AG33" s="490"/>
      <c r="AH33" s="490"/>
      <c r="AI33" s="490"/>
      <c r="AJ33" s="490"/>
      <c r="AK33" s="490"/>
      <c r="AL33" s="490"/>
      <c r="AM33" s="490"/>
      <c r="AN33" s="490"/>
      <c r="AO33" s="490"/>
      <c r="AP33" s="490"/>
      <c r="AQ33" s="490"/>
      <c r="AR33" s="490"/>
      <c r="AS33" s="490"/>
      <c r="AT33" s="490"/>
      <c r="AU33" s="490"/>
      <c r="AV33" s="490"/>
      <c r="AW33" s="490"/>
      <c r="AX33" s="490"/>
      <c r="AY33" s="490"/>
      <c r="AZ33" s="490"/>
      <c r="BA33" s="490"/>
      <c r="BB33" s="490"/>
      <c r="BC33" s="490"/>
      <c r="BD33" s="490"/>
      <c r="BE33" s="490"/>
      <c r="BF33" s="490"/>
      <c r="BG33" s="490"/>
      <c r="BH33" s="490"/>
      <c r="BI33" s="490"/>
    </row>
    <row r="34" spans="1:61" s="577" customFormat="1" ht="15.75" customHeight="1" x14ac:dyDescent="0.2">
      <c r="A34" s="498"/>
      <c r="B34" s="575" t="s">
        <v>125</v>
      </c>
      <c r="C34" s="576"/>
      <c r="D34" s="505"/>
      <c r="F34" s="578"/>
      <c r="G34" s="498"/>
      <c r="H34" s="498"/>
      <c r="J34" s="579"/>
      <c r="K34" s="579"/>
      <c r="L34" s="579"/>
      <c r="M34" s="579"/>
      <c r="N34" s="505"/>
      <c r="O34" s="580"/>
      <c r="P34" s="580"/>
      <c r="Q34" s="580"/>
      <c r="R34" s="580"/>
      <c r="T34" s="490" t="s">
        <v>126</v>
      </c>
      <c r="U34" s="490"/>
      <c r="V34" s="490"/>
      <c r="W34" s="490"/>
      <c r="X34" s="490"/>
      <c r="Y34" s="490"/>
      <c r="Z34" s="490"/>
      <c r="AA34" s="490"/>
      <c r="AB34" s="490"/>
      <c r="AC34" s="490"/>
      <c r="AD34" s="490"/>
      <c r="AE34" s="490"/>
      <c r="AF34" s="490"/>
      <c r="AG34" s="490"/>
      <c r="AH34" s="490"/>
      <c r="AI34" s="490"/>
      <c r="AJ34" s="490"/>
      <c r="AK34" s="490"/>
      <c r="AL34" s="490"/>
      <c r="AM34" s="490"/>
      <c r="AN34" s="490"/>
      <c r="AO34" s="490"/>
      <c r="AP34" s="490"/>
      <c r="AQ34" s="490"/>
      <c r="AR34" s="490"/>
      <c r="AS34" s="490"/>
      <c r="AT34" s="490"/>
      <c r="AU34" s="490"/>
      <c r="AV34" s="490"/>
      <c r="AW34" s="490"/>
      <c r="AX34" s="490"/>
      <c r="AY34" s="490"/>
      <c r="AZ34" s="490"/>
      <c r="BA34" s="490"/>
      <c r="BB34" s="490"/>
      <c r="BC34" s="490"/>
      <c r="BD34" s="490"/>
      <c r="BE34" s="490"/>
      <c r="BF34" s="490"/>
      <c r="BG34" s="490"/>
      <c r="BH34" s="490"/>
      <c r="BI34" s="490"/>
    </row>
    <row r="35" spans="1:61" s="577" customFormat="1" ht="15.75" customHeight="1" x14ac:dyDescent="0.2">
      <c r="A35" s="498"/>
      <c r="B35" s="575" t="s">
        <v>127</v>
      </c>
      <c r="C35" s="576"/>
      <c r="D35" s="505"/>
      <c r="F35" s="578"/>
      <c r="G35" s="498"/>
      <c r="H35" s="498"/>
      <c r="J35" s="498"/>
      <c r="K35" s="498"/>
      <c r="L35" s="498"/>
      <c r="M35" s="498"/>
      <c r="N35" s="505"/>
      <c r="O35" s="505"/>
      <c r="P35" s="498"/>
      <c r="Q35" s="498"/>
      <c r="R35" s="498"/>
      <c r="T35" s="490"/>
      <c r="U35" s="490"/>
      <c r="V35" s="490"/>
      <c r="W35" s="490"/>
      <c r="X35" s="490"/>
      <c r="Y35" s="490"/>
      <c r="Z35" s="490"/>
      <c r="AA35" s="490"/>
      <c r="AB35" s="490"/>
      <c r="AC35" s="490"/>
      <c r="AD35" s="490"/>
      <c r="AE35" s="490"/>
      <c r="AF35" s="490"/>
      <c r="AG35" s="490"/>
      <c r="AH35" s="490"/>
      <c r="AI35" s="490"/>
      <c r="AJ35" s="490"/>
      <c r="AK35" s="490"/>
      <c r="AL35" s="490"/>
      <c r="AM35" s="490"/>
      <c r="AN35" s="490"/>
      <c r="AO35" s="490"/>
      <c r="AP35" s="490"/>
      <c r="AQ35" s="490"/>
      <c r="AR35" s="490"/>
      <c r="AS35" s="490"/>
      <c r="AT35" s="490"/>
      <c r="AU35" s="490"/>
      <c r="AV35" s="490"/>
      <c r="AW35" s="490"/>
      <c r="AX35" s="490"/>
      <c r="AY35" s="490"/>
      <c r="AZ35" s="490"/>
      <c r="BA35" s="490"/>
      <c r="BB35" s="490"/>
      <c r="BC35" s="490"/>
      <c r="BD35" s="490"/>
      <c r="BE35" s="490"/>
      <c r="BF35" s="490"/>
      <c r="BG35" s="490"/>
      <c r="BH35" s="490"/>
      <c r="BI35" s="490"/>
    </row>
    <row r="36" spans="1:61" s="498" customFormat="1" ht="17.25" customHeight="1" x14ac:dyDescent="0.2">
      <c r="B36" s="575" t="s">
        <v>128</v>
      </c>
      <c r="D36" s="505"/>
      <c r="N36" s="505"/>
      <c r="O36" s="505"/>
      <c r="T36" s="616" t="s">
        <v>217</v>
      </c>
      <c r="U36" s="616"/>
      <c r="V36" s="616"/>
      <c r="W36" s="616"/>
      <c r="X36" s="616"/>
      <c r="Y36" s="616"/>
      <c r="Z36" s="616"/>
      <c r="AA36" s="616"/>
      <c r="AB36" s="616"/>
      <c r="AC36" s="616"/>
      <c r="AD36" s="616"/>
      <c r="AE36" s="616"/>
      <c r="AF36" s="616"/>
      <c r="AG36" s="616"/>
      <c r="AH36" s="616"/>
      <c r="AI36" s="616"/>
      <c r="AJ36" s="616"/>
      <c r="AK36" s="616"/>
      <c r="AL36" s="616"/>
      <c r="AM36" s="616"/>
      <c r="AN36" s="616"/>
      <c r="AO36" s="616"/>
      <c r="AP36" s="616"/>
      <c r="AQ36" s="616"/>
      <c r="AR36" s="616"/>
      <c r="AS36" s="616"/>
      <c r="AT36" s="616"/>
      <c r="AU36" s="616"/>
      <c r="AV36" s="616"/>
      <c r="AW36" s="616"/>
      <c r="AX36" s="616"/>
      <c r="AY36" s="616"/>
      <c r="AZ36" s="616"/>
      <c r="BA36" s="616"/>
      <c r="BB36" s="616"/>
      <c r="BC36" s="616"/>
      <c r="BD36" s="616"/>
      <c r="BE36" s="616"/>
      <c r="BF36" s="616"/>
      <c r="BG36" s="616"/>
      <c r="BH36" s="616"/>
      <c r="BI36" s="616"/>
    </row>
    <row r="37" spans="1:61" s="577" customFormat="1" ht="15.75" customHeight="1" x14ac:dyDescent="0.2">
      <c r="A37" s="498"/>
      <c r="B37" s="575" t="s">
        <v>130</v>
      </c>
      <c r="C37" s="576"/>
      <c r="D37" s="505"/>
      <c r="F37" s="578"/>
      <c r="G37" s="498"/>
      <c r="H37" s="498"/>
      <c r="J37" s="498"/>
      <c r="K37" s="498"/>
      <c r="L37" s="498"/>
      <c r="M37" s="498"/>
      <c r="N37" s="505"/>
      <c r="O37" s="505"/>
      <c r="P37" s="498"/>
      <c r="Q37" s="498"/>
      <c r="R37" s="498"/>
      <c r="T37" s="581"/>
    </row>
    <row r="38" spans="1:61" s="498" customFormat="1" ht="32.25" customHeight="1" x14ac:dyDescent="0.25">
      <c r="B38" s="513"/>
      <c r="D38" s="505"/>
      <c r="F38" s="572"/>
      <c r="N38" s="505"/>
      <c r="O38" s="505"/>
      <c r="T38" s="352" t="s">
        <v>131</v>
      </c>
      <c r="U38" s="352"/>
      <c r="V38" s="352"/>
      <c r="W38" s="352"/>
      <c r="X38" s="352"/>
      <c r="Y38" s="352"/>
      <c r="Z38" s="352"/>
      <c r="AA38" s="352"/>
      <c r="AB38" s="352"/>
      <c r="AC38" s="352"/>
      <c r="AD38" s="352"/>
      <c r="AE38" s="352"/>
      <c r="AF38" s="352"/>
      <c r="AG38" s="352"/>
      <c r="AH38" s="352"/>
      <c r="AI38" s="352"/>
      <c r="AJ38" s="352"/>
      <c r="AK38" s="352"/>
      <c r="AL38" s="352"/>
      <c r="AM38" s="352"/>
      <c r="AN38" s="352"/>
      <c r="AO38" s="352"/>
      <c r="AP38" s="352"/>
      <c r="AQ38" s="352"/>
      <c r="AR38" s="352"/>
      <c r="AS38" s="352"/>
      <c r="AT38" s="352"/>
      <c r="AU38" s="352"/>
      <c r="AV38" s="352"/>
      <c r="AW38" s="352"/>
      <c r="AX38" s="352"/>
      <c r="AY38" s="352"/>
      <c r="AZ38" s="352"/>
      <c r="BA38" s="352"/>
      <c r="BB38" s="352"/>
      <c r="BC38" s="352"/>
      <c r="BD38" s="352"/>
      <c r="BE38" s="352"/>
      <c r="BF38" s="352"/>
      <c r="BG38" s="352"/>
      <c r="BH38" s="352"/>
      <c r="BI38" s="352"/>
    </row>
  </sheetData>
  <mergeCells count="32">
    <mergeCell ref="D19:BA19"/>
    <mergeCell ref="T33:BI33"/>
    <mergeCell ref="T34:BI34"/>
    <mergeCell ref="T35:BI35"/>
    <mergeCell ref="T36:BI36"/>
    <mergeCell ref="T38:BI38"/>
    <mergeCell ref="BH14:BH15"/>
    <mergeCell ref="BI14:BI15"/>
    <mergeCell ref="AU15:AV15"/>
    <mergeCell ref="AW15:AX15"/>
    <mergeCell ref="AY15:BA15"/>
    <mergeCell ref="N17:O17"/>
    <mergeCell ref="R17:T17"/>
    <mergeCell ref="AU17:AV17"/>
    <mergeCell ref="AW17:AX17"/>
    <mergeCell ref="AY17:BA17"/>
    <mergeCell ref="D11:BI11"/>
    <mergeCell ref="B14:B15"/>
    <mergeCell ref="D14:D15"/>
    <mergeCell ref="E14:E15"/>
    <mergeCell ref="N14:O15"/>
    <mergeCell ref="R14:T15"/>
    <mergeCell ref="U14:U15"/>
    <mergeCell ref="AU14:BA14"/>
    <mergeCell ref="BC14:BC15"/>
    <mergeCell ref="BD14:BD15"/>
    <mergeCell ref="B1:N1"/>
    <mergeCell ref="O1:BA1"/>
    <mergeCell ref="B2:N2"/>
    <mergeCell ref="O2:BA2"/>
    <mergeCell ref="O3:BA3"/>
    <mergeCell ref="B4:BI4"/>
  </mergeCells>
  <conditionalFormatting sqref="BJ6:BJ9">
    <cfRule type="cellIs" dxfId="1" priority="1" stopIfTrue="1" operator="between">
      <formula>"720"</formula>
      <formula>"720"</formula>
    </cfRule>
    <cfRule type="cellIs" dxfId="0" priority="2" stopIfTrue="1" operator="between">
      <formula>"660"</formula>
      <formula>"660"</formula>
    </cfRule>
  </conditionalFormatting>
  <pageMargins left="0.45" right="0.2" top="0.25" bottom="0.2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DS nang luong thang 02.2015</vt:lpstr>
      <vt:lpstr>DS nang PCTN NG thang 02.2015</vt:lpstr>
      <vt:lpstr>'DS nang luong thang 02.2015'!Print_Titles</vt:lpstr>
      <vt:lpstr>'DS nang PCTN NG thang 02.2015'!Print_Titles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HVHC</dc:creator>
  <cp:lastModifiedBy>HVHC</cp:lastModifiedBy>
  <cp:lastPrinted>2015-03-03T07:13:50Z</cp:lastPrinted>
  <dcterms:created xsi:type="dcterms:W3CDTF">2015-03-03T06:48:17Z</dcterms:created>
  <dcterms:modified xsi:type="dcterms:W3CDTF">2015-03-03T07:14:21Z</dcterms:modified>
</cp:coreProperties>
</file>