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20115" windowHeight="7365" activeTab="1"/>
  </bookViews>
  <sheets>
    <sheet name="DS nang luong thang 3.2015" sheetId="1" r:id="rId1"/>
    <sheet name="DS nang PCTN NG thang 3.2015" sheetId="2" r:id="rId2"/>
  </sheets>
  <externalReferences>
    <externalReference r:id="rId3"/>
    <externalReference r:id="rId4"/>
  </externalReferences>
  <definedNames>
    <definedName name="_xlnm.Print_Titles" localSheetId="0">'DS nang luong thang 3.2015'!$14:$16</definedName>
    <definedName name="_xlnm.Print_Titles" localSheetId="1">'DS nang PCTN NG thang 3.2015'!$13:$16</definedName>
  </definedNames>
  <calcPr calcId="144525"/>
</workbook>
</file>

<file path=xl/calcChain.xml><?xml version="1.0" encoding="utf-8"?>
<calcChain xmlns="http://schemas.openxmlformats.org/spreadsheetml/2006/main">
  <c r="DT18" i="1" l="1"/>
  <c r="DL18" i="1"/>
  <c r="DM18" i="1" s="1"/>
  <c r="CV18" i="1"/>
  <c r="CQ18" i="1"/>
  <c r="CR18" i="1" s="1"/>
  <c r="CP18" i="1"/>
  <c r="CO18" i="1"/>
  <c r="CE18" i="1" s="1"/>
  <c r="CM18" i="1"/>
  <c r="CG18" i="1"/>
  <c r="CF18" i="1"/>
  <c r="CK18" i="1" s="1"/>
  <c r="BY18" i="1"/>
  <c r="BT18" i="1"/>
  <c r="BS18" i="1"/>
  <c r="BN18" i="1"/>
  <c r="BM18" i="1"/>
  <c r="BL18" i="1"/>
  <c r="BK18" i="1"/>
  <c r="DT17" i="1"/>
  <c r="DM17" i="1"/>
  <c r="DL17" i="1"/>
  <c r="CV17" i="1"/>
  <c r="CR17" i="1"/>
  <c r="CQ17" i="1"/>
  <c r="CU17" i="1" s="1"/>
  <c r="CP17" i="1"/>
  <c r="CO17" i="1"/>
  <c r="CM17" i="1"/>
  <c r="CK17" i="1"/>
  <c r="CG17" i="1"/>
  <c r="CF17" i="1"/>
  <c r="CJ17" i="1" s="1"/>
  <c r="CE17" i="1"/>
  <c r="CL17" i="1" s="1"/>
  <c r="BY17" i="1"/>
  <c r="BT17" i="1"/>
  <c r="BS17" i="1"/>
  <c r="BN17" i="1"/>
  <c r="BM17" i="1"/>
  <c r="BL17" i="1" s="1"/>
  <c r="BK17" i="1"/>
  <c r="DM38" i="2"/>
  <c r="DN38" i="2" s="1"/>
  <c r="CW38" i="2"/>
  <c r="CR38" i="2"/>
  <c r="CV38" i="2" s="1"/>
  <c r="CQ38" i="2"/>
  <c r="CP38" i="2"/>
  <c r="CN38" i="2"/>
  <c r="CH38" i="2"/>
  <c r="CL38" i="2" s="1"/>
  <c r="CG38" i="2"/>
  <c r="CK38" i="2" s="1"/>
  <c r="CF38" i="2"/>
  <c r="DV38" i="2" s="1"/>
  <c r="BZ38" i="2"/>
  <c r="BU38" i="2"/>
  <c r="BO38" i="2"/>
  <c r="BL38" i="2"/>
  <c r="BH38" i="2"/>
  <c r="BG38" i="2"/>
  <c r="BF38" i="2"/>
  <c r="AW38" i="2"/>
  <c r="AT38" i="2"/>
  <c r="AR38" i="2"/>
  <c r="AQ38" i="2"/>
  <c r="AN38" i="2"/>
  <c r="AB38" i="2"/>
  <c r="AA38" i="2"/>
  <c r="V38" i="2"/>
  <c r="S38" i="2"/>
  <c r="Q38" i="2"/>
  <c r="P38" i="2"/>
  <c r="M38" i="2"/>
  <c r="K38" i="2" s="1"/>
  <c r="C38" i="2"/>
  <c r="DM37" i="2"/>
  <c r="DN37" i="2" s="1"/>
  <c r="CW37" i="2"/>
  <c r="CS37" i="2"/>
  <c r="CR37" i="2"/>
  <c r="CV37" i="2" s="1"/>
  <c r="CQ37" i="2"/>
  <c r="CF37" i="2" s="1"/>
  <c r="CP37" i="2"/>
  <c r="CN37" i="2"/>
  <c r="CH37" i="2"/>
  <c r="CG37" i="2"/>
  <c r="CK37" i="2" s="1"/>
  <c r="BZ37" i="2"/>
  <c r="BU37" i="2"/>
  <c r="BO37" i="2"/>
  <c r="BL37" i="2"/>
  <c r="BH37" i="2"/>
  <c r="BF37" i="2"/>
  <c r="AW37" i="2"/>
  <c r="AT37" i="2"/>
  <c r="AR37" i="2"/>
  <c r="AQ37" i="2"/>
  <c r="AA37" i="2" s="1"/>
  <c r="AN37" i="2"/>
  <c r="AB37" i="2"/>
  <c r="V37" i="2"/>
  <c r="S37" i="2"/>
  <c r="Q37" i="2"/>
  <c r="P37" i="2"/>
  <c r="M37" i="2"/>
  <c r="K37" i="2" s="1"/>
  <c r="C37" i="2"/>
  <c r="DM36" i="2"/>
  <c r="DN36" i="2" s="1"/>
  <c r="CW36" i="2"/>
  <c r="CS36" i="2"/>
  <c r="CR36" i="2"/>
  <c r="CV36" i="2" s="1"/>
  <c r="CQ36" i="2"/>
  <c r="CF36" i="2" s="1"/>
  <c r="CP36" i="2"/>
  <c r="CN36" i="2"/>
  <c r="CH36" i="2"/>
  <c r="CG36" i="2"/>
  <c r="CK36" i="2" s="1"/>
  <c r="BZ36" i="2"/>
  <c r="BU36" i="2"/>
  <c r="BO36" i="2"/>
  <c r="BL36" i="2"/>
  <c r="BH36" i="2"/>
  <c r="BF36" i="2"/>
  <c r="AW36" i="2"/>
  <c r="AT36" i="2"/>
  <c r="AR36" i="2"/>
  <c r="AQ36" i="2"/>
  <c r="AA36" i="2" s="1"/>
  <c r="AN36" i="2"/>
  <c r="AB36" i="2"/>
  <c r="V36" i="2"/>
  <c r="S36" i="2"/>
  <c r="Q36" i="2"/>
  <c r="P36" i="2"/>
  <c r="M36" i="2"/>
  <c r="C36" i="2"/>
  <c r="DM35" i="2"/>
  <c r="DN35" i="2" s="1"/>
  <c r="CW35" i="2"/>
  <c r="CR35" i="2"/>
  <c r="CV35" i="2" s="1"/>
  <c r="CQ35" i="2"/>
  <c r="CP35" i="2"/>
  <c r="CH35" i="2" s="1"/>
  <c r="CN35" i="2"/>
  <c r="CG35" i="2"/>
  <c r="CK35" i="2" s="1"/>
  <c r="BZ35" i="2"/>
  <c r="BU35" i="2"/>
  <c r="BO35" i="2"/>
  <c r="BL35" i="2"/>
  <c r="BH35" i="2"/>
  <c r="BF35" i="2"/>
  <c r="AW35" i="2"/>
  <c r="AT35" i="2"/>
  <c r="AR35" i="2"/>
  <c r="AQ35" i="2"/>
  <c r="AA35" i="2" s="1"/>
  <c r="AN35" i="2"/>
  <c r="AB35" i="2"/>
  <c r="DU35" i="2" s="1"/>
  <c r="Z35" i="2"/>
  <c r="AM35" i="2" s="1"/>
  <c r="V35" i="2"/>
  <c r="S35" i="2"/>
  <c r="Q35" i="2"/>
  <c r="P35" i="2"/>
  <c r="M35" i="2"/>
  <c r="K35" i="2" s="1"/>
  <c r="C35" i="2"/>
  <c r="DM33" i="2"/>
  <c r="DN33" i="2" s="1"/>
  <c r="CW33" i="2"/>
  <c r="CR33" i="2"/>
  <c r="CV33" i="2" s="1"/>
  <c r="CQ33" i="2"/>
  <c r="CP33" i="2"/>
  <c r="CH33" i="2" s="1"/>
  <c r="CN33" i="2"/>
  <c r="CG33" i="2"/>
  <c r="CK33" i="2" s="1"/>
  <c r="BZ33" i="2"/>
  <c r="BU33" i="2"/>
  <c r="BO33" i="2"/>
  <c r="BL33" i="2"/>
  <c r="BH33" i="2"/>
  <c r="BF33" i="2"/>
  <c r="AW33" i="2"/>
  <c r="AT33" i="2"/>
  <c r="AR33" i="2"/>
  <c r="AQ33" i="2"/>
  <c r="AN33" i="2"/>
  <c r="AB33" i="2"/>
  <c r="Z33" i="2"/>
  <c r="AM33" i="2" s="1"/>
  <c r="V33" i="2"/>
  <c r="S33" i="2"/>
  <c r="T33" i="2" s="1"/>
  <c r="BT33" i="2" s="1"/>
  <c r="Q33" i="2"/>
  <c r="P33" i="2"/>
  <c r="M33" i="2"/>
  <c r="C33" i="2"/>
  <c r="DM32" i="2"/>
  <c r="DN32" i="2" s="1"/>
  <c r="CW32" i="2"/>
  <c r="CR32" i="2"/>
  <c r="CV32" i="2" s="1"/>
  <c r="CQ32" i="2"/>
  <c r="CP32" i="2"/>
  <c r="CN32" i="2"/>
  <c r="CH32" i="2"/>
  <c r="CL32" i="2" s="1"/>
  <c r="CG32" i="2"/>
  <c r="CK32" i="2" s="1"/>
  <c r="CF32" i="2"/>
  <c r="DV32" i="2" s="1"/>
  <c r="BZ32" i="2"/>
  <c r="BU32" i="2"/>
  <c r="BO32" i="2"/>
  <c r="BL32" i="2"/>
  <c r="BH32" i="2"/>
  <c r="BG32" i="2"/>
  <c r="BF32" i="2"/>
  <c r="AW32" i="2"/>
  <c r="AT32" i="2"/>
  <c r="AR32" i="2"/>
  <c r="DU32" i="2" s="1"/>
  <c r="AQ32" i="2"/>
  <c r="AN32" i="2"/>
  <c r="AB32" i="2"/>
  <c r="AA32" i="2"/>
  <c r="V32" i="2"/>
  <c r="S32" i="2"/>
  <c r="T32" i="2" s="1"/>
  <c r="BT32" i="2" s="1"/>
  <c r="Q32" i="2"/>
  <c r="P32" i="2"/>
  <c r="M32" i="2"/>
  <c r="K32" i="2"/>
  <c r="C32" i="2"/>
  <c r="DN31" i="2"/>
  <c r="DM31" i="2"/>
  <c r="CW31" i="2"/>
  <c r="CR31" i="2"/>
  <c r="CV31" i="2" s="1"/>
  <c r="CQ31" i="2"/>
  <c r="CF31" i="2" s="1"/>
  <c r="CP31" i="2"/>
  <c r="CN31" i="2"/>
  <c r="CH31" i="2"/>
  <c r="CG31" i="2"/>
  <c r="CK31" i="2" s="1"/>
  <c r="BZ31" i="2"/>
  <c r="BU31" i="2"/>
  <c r="BO31" i="2"/>
  <c r="BL31" i="2"/>
  <c r="BH31" i="2"/>
  <c r="BF31" i="2"/>
  <c r="AW31" i="2"/>
  <c r="AT31" i="2"/>
  <c r="AR31" i="2"/>
  <c r="AQ31" i="2"/>
  <c r="AN31" i="2"/>
  <c r="AB31" i="2"/>
  <c r="Z31" i="2"/>
  <c r="AM31" i="2" s="1"/>
  <c r="BN31" i="2" s="1"/>
  <c r="W31" i="2"/>
  <c r="V31" i="2"/>
  <c r="S31" i="2"/>
  <c r="T31" i="2" s="1"/>
  <c r="BT31" i="2" s="1"/>
  <c r="Q31" i="2"/>
  <c r="P31" i="2"/>
  <c r="M31" i="2"/>
  <c r="K31" i="2" s="1"/>
  <c r="C31" i="2"/>
  <c r="DM30" i="2"/>
  <c r="DN30" i="2" s="1"/>
  <c r="CW30" i="2"/>
  <c r="CS30" i="2"/>
  <c r="CR30" i="2"/>
  <c r="CV30" i="2" s="1"/>
  <c r="CQ30" i="2"/>
  <c r="CF30" i="2" s="1"/>
  <c r="CP30" i="2"/>
  <c r="CN30" i="2"/>
  <c r="CH30" i="2"/>
  <c r="CG30" i="2"/>
  <c r="CK30" i="2" s="1"/>
  <c r="BZ30" i="2"/>
  <c r="BU30" i="2"/>
  <c r="BO30" i="2"/>
  <c r="BL30" i="2"/>
  <c r="BH30" i="2"/>
  <c r="BF30" i="2"/>
  <c r="AW30" i="2"/>
  <c r="AT30" i="2"/>
  <c r="AR30" i="2"/>
  <c r="AQ30" i="2"/>
  <c r="AA30" i="2" s="1"/>
  <c r="AN30" i="2"/>
  <c r="AB30" i="2"/>
  <c r="V30" i="2"/>
  <c r="S30" i="2"/>
  <c r="Q30" i="2"/>
  <c r="P30" i="2"/>
  <c r="M30" i="2"/>
  <c r="C30" i="2"/>
  <c r="DM29" i="2"/>
  <c r="DN29" i="2" s="1"/>
  <c r="CW29" i="2"/>
  <c r="CR29" i="2"/>
  <c r="CV29" i="2" s="1"/>
  <c r="CQ29" i="2"/>
  <c r="CP29" i="2"/>
  <c r="CH29" i="2" s="1"/>
  <c r="CN29" i="2"/>
  <c r="CG29" i="2"/>
  <c r="CK29" i="2" s="1"/>
  <c r="BZ29" i="2"/>
  <c r="BU29" i="2"/>
  <c r="BO29" i="2"/>
  <c r="BL29" i="2"/>
  <c r="BH29" i="2"/>
  <c r="BF29" i="2"/>
  <c r="AW29" i="2"/>
  <c r="AT29" i="2"/>
  <c r="AR29" i="2"/>
  <c r="AQ29" i="2"/>
  <c r="AA29" i="2" s="1"/>
  <c r="AN29" i="2"/>
  <c r="AB29" i="2"/>
  <c r="DU29" i="2" s="1"/>
  <c r="Z29" i="2"/>
  <c r="AM29" i="2" s="1"/>
  <c r="V29" i="2"/>
  <c r="S29" i="2"/>
  <c r="Q29" i="2"/>
  <c r="P29" i="2"/>
  <c r="M29" i="2"/>
  <c r="C29" i="2"/>
  <c r="DM28" i="2"/>
  <c r="DN28" i="2" s="1"/>
  <c r="CW28" i="2"/>
  <c r="CS28" i="2"/>
  <c r="CR28" i="2"/>
  <c r="CV28" i="2" s="1"/>
  <c r="CQ28" i="2"/>
  <c r="CF28" i="2" s="1"/>
  <c r="CP28" i="2"/>
  <c r="CN28" i="2"/>
  <c r="CH28" i="2"/>
  <c r="CG28" i="2"/>
  <c r="CK28" i="2" s="1"/>
  <c r="BZ28" i="2"/>
  <c r="BU28" i="2"/>
  <c r="BO28" i="2"/>
  <c r="BL28" i="2"/>
  <c r="BH28" i="2"/>
  <c r="BF28" i="2"/>
  <c r="AW28" i="2"/>
  <c r="AT28" i="2"/>
  <c r="AR28" i="2"/>
  <c r="AQ28" i="2"/>
  <c r="AA28" i="2" s="1"/>
  <c r="AN28" i="2"/>
  <c r="AB28" i="2"/>
  <c r="V28" i="2"/>
  <c r="S28" i="2"/>
  <c r="Q28" i="2"/>
  <c r="P28" i="2"/>
  <c r="M28" i="2"/>
  <c r="C28" i="2"/>
  <c r="DM27" i="2"/>
  <c r="DN27" i="2" s="1"/>
  <c r="CW27" i="2"/>
  <c r="CR27" i="2"/>
  <c r="CV27" i="2" s="1"/>
  <c r="CQ27" i="2"/>
  <c r="CP27" i="2"/>
  <c r="CH27" i="2" s="1"/>
  <c r="CN27" i="2"/>
  <c r="CG27" i="2"/>
  <c r="CK27" i="2" s="1"/>
  <c r="BZ27" i="2"/>
  <c r="BU27" i="2"/>
  <c r="BO27" i="2"/>
  <c r="BL27" i="2"/>
  <c r="BH27" i="2"/>
  <c r="BF27" i="2"/>
  <c r="AW27" i="2"/>
  <c r="AT27" i="2"/>
  <c r="AR27" i="2"/>
  <c r="AQ27" i="2"/>
  <c r="AN27" i="2"/>
  <c r="AB27" i="2"/>
  <c r="Z27" i="2"/>
  <c r="AM27" i="2" s="1"/>
  <c r="V27" i="2"/>
  <c r="S27" i="2"/>
  <c r="T27" i="2" s="1"/>
  <c r="BT27" i="2" s="1"/>
  <c r="Q27" i="2"/>
  <c r="P27" i="2"/>
  <c r="M27" i="2"/>
  <c r="K27" i="2" s="1"/>
  <c r="C27" i="2"/>
  <c r="DM26" i="2"/>
  <c r="DN26" i="2" s="1"/>
  <c r="CW26" i="2"/>
  <c r="CR26" i="2"/>
  <c r="CV26" i="2" s="1"/>
  <c r="CQ26" i="2"/>
  <c r="CP26" i="2"/>
  <c r="CH26" i="2" s="1"/>
  <c r="CN26" i="2"/>
  <c r="CG26" i="2"/>
  <c r="CK26" i="2" s="1"/>
  <c r="BZ26" i="2"/>
  <c r="BU26" i="2"/>
  <c r="BO26" i="2"/>
  <c r="BL26" i="2"/>
  <c r="BH26" i="2"/>
  <c r="BF26" i="2"/>
  <c r="AW26" i="2"/>
  <c r="AT26" i="2"/>
  <c r="AR26" i="2"/>
  <c r="AQ26" i="2"/>
  <c r="AN26" i="2"/>
  <c r="AB26" i="2"/>
  <c r="Z26" i="2"/>
  <c r="AM26" i="2" s="1"/>
  <c r="V26" i="2"/>
  <c r="S26" i="2"/>
  <c r="T26" i="2" s="1"/>
  <c r="BT26" i="2" s="1"/>
  <c r="Q26" i="2"/>
  <c r="P26" i="2"/>
  <c r="M26" i="2"/>
  <c r="K26" i="2" s="1"/>
  <c r="C26" i="2"/>
  <c r="DM25" i="2"/>
  <c r="DN25" i="2" s="1"/>
  <c r="CW25" i="2"/>
  <c r="CR25" i="2"/>
  <c r="CV25" i="2" s="1"/>
  <c r="CQ25" i="2"/>
  <c r="CP25" i="2"/>
  <c r="CH25" i="2" s="1"/>
  <c r="CN25" i="2"/>
  <c r="CG25" i="2"/>
  <c r="CK25" i="2" s="1"/>
  <c r="BZ25" i="2"/>
  <c r="BU25" i="2"/>
  <c r="BO25" i="2"/>
  <c r="BL25" i="2"/>
  <c r="BH25" i="2"/>
  <c r="BF25" i="2"/>
  <c r="AW25" i="2"/>
  <c r="AT25" i="2"/>
  <c r="AR25" i="2"/>
  <c r="AQ25" i="2"/>
  <c r="AA25" i="2" s="1"/>
  <c r="AN25" i="2"/>
  <c r="AB25" i="2"/>
  <c r="DU25" i="2" s="1"/>
  <c r="Z25" i="2"/>
  <c r="AM25" i="2" s="1"/>
  <c r="V25" i="2"/>
  <c r="S25" i="2"/>
  <c r="Q25" i="2"/>
  <c r="P25" i="2"/>
  <c r="M25" i="2"/>
  <c r="K25" i="2" s="1"/>
  <c r="C25" i="2"/>
  <c r="DM23" i="2"/>
  <c r="DN23" i="2" s="1"/>
  <c r="CW23" i="2"/>
  <c r="CR23" i="2"/>
  <c r="CV23" i="2" s="1"/>
  <c r="CQ23" i="2"/>
  <c r="CP23" i="2"/>
  <c r="CH23" i="2" s="1"/>
  <c r="CN23" i="2"/>
  <c r="CG23" i="2"/>
  <c r="CK23" i="2" s="1"/>
  <c r="BZ23" i="2"/>
  <c r="BU23" i="2"/>
  <c r="BO23" i="2"/>
  <c r="BL23" i="2"/>
  <c r="BH23" i="2"/>
  <c r="BF23" i="2"/>
  <c r="AW23" i="2"/>
  <c r="AT23" i="2"/>
  <c r="AR23" i="2"/>
  <c r="AQ23" i="2"/>
  <c r="AN23" i="2"/>
  <c r="AB23" i="2"/>
  <c r="Z23" i="2"/>
  <c r="AM23" i="2" s="1"/>
  <c r="V23" i="2"/>
  <c r="S23" i="2"/>
  <c r="T23" i="2" s="1"/>
  <c r="BT23" i="2" s="1"/>
  <c r="Q23" i="2"/>
  <c r="P23" i="2"/>
  <c r="M23" i="2"/>
  <c r="K23" i="2" s="1"/>
  <c r="C23" i="2"/>
  <c r="DM22" i="2"/>
  <c r="DN22" i="2" s="1"/>
  <c r="CW22" i="2"/>
  <c r="CR22" i="2"/>
  <c r="CV22" i="2" s="1"/>
  <c r="CQ22" i="2"/>
  <c r="CP22" i="2"/>
  <c r="CH22" i="2" s="1"/>
  <c r="CN22" i="2"/>
  <c r="CG22" i="2"/>
  <c r="CK22" i="2" s="1"/>
  <c r="BZ22" i="2"/>
  <c r="BU22" i="2"/>
  <c r="BO22" i="2"/>
  <c r="BL22" i="2"/>
  <c r="BH22" i="2"/>
  <c r="BF22" i="2"/>
  <c r="AW22" i="2"/>
  <c r="AT22" i="2"/>
  <c r="AR22" i="2"/>
  <c r="AQ22" i="2"/>
  <c r="AN22" i="2"/>
  <c r="AB22" i="2"/>
  <c r="Z22" i="2"/>
  <c r="AM22" i="2" s="1"/>
  <c r="V22" i="2"/>
  <c r="S22" i="2"/>
  <c r="T22" i="2" s="1"/>
  <c r="BT22" i="2" s="1"/>
  <c r="Q22" i="2"/>
  <c r="P22" i="2"/>
  <c r="M22" i="2"/>
  <c r="K22" i="2" s="1"/>
  <c r="C22" i="2"/>
  <c r="DM21" i="2"/>
  <c r="DN21" i="2" s="1"/>
  <c r="CW21" i="2"/>
  <c r="CR21" i="2"/>
  <c r="CV21" i="2" s="1"/>
  <c r="CQ21" i="2"/>
  <c r="CP21" i="2"/>
  <c r="CH21" i="2" s="1"/>
  <c r="CN21" i="2"/>
  <c r="CG21" i="2"/>
  <c r="CI21" i="2" s="1"/>
  <c r="CJ21" i="2" s="1"/>
  <c r="BZ21" i="2"/>
  <c r="BU21" i="2"/>
  <c r="BO21" i="2"/>
  <c r="BL21" i="2"/>
  <c r="BH21" i="2"/>
  <c r="BF21" i="2"/>
  <c r="AW21" i="2"/>
  <c r="AT21" i="2"/>
  <c r="AR21" i="2"/>
  <c r="AQ21" i="2"/>
  <c r="AN21" i="2"/>
  <c r="AB21" i="2"/>
  <c r="Z21" i="2"/>
  <c r="AM21" i="2" s="1"/>
  <c r="V21" i="2"/>
  <c r="S21" i="2"/>
  <c r="T21" i="2" s="1"/>
  <c r="BT21" i="2" s="1"/>
  <c r="Q21" i="2"/>
  <c r="P21" i="2"/>
  <c r="M21" i="2"/>
  <c r="C21" i="2"/>
  <c r="DM20" i="2"/>
  <c r="DN20" i="2" s="1"/>
  <c r="CW20" i="2"/>
  <c r="CR20" i="2"/>
  <c r="CV20" i="2" s="1"/>
  <c r="CQ20" i="2"/>
  <c r="CP20" i="2"/>
  <c r="CN20" i="2"/>
  <c r="CH20" i="2"/>
  <c r="CG20" i="2"/>
  <c r="CK20" i="2" s="1"/>
  <c r="BZ20" i="2"/>
  <c r="BU20" i="2"/>
  <c r="BO20" i="2"/>
  <c r="BL20" i="2"/>
  <c r="BH20" i="2"/>
  <c r="BF20" i="2"/>
  <c r="AW20" i="2"/>
  <c r="AT20" i="2"/>
  <c r="AR20" i="2"/>
  <c r="AQ20" i="2"/>
  <c r="AN20" i="2"/>
  <c r="AB20" i="2"/>
  <c r="V20" i="2"/>
  <c r="S20" i="2"/>
  <c r="Q20" i="2"/>
  <c r="P20" i="2"/>
  <c r="M20" i="2"/>
  <c r="K20" i="2" s="1"/>
  <c r="C20" i="2"/>
  <c r="DM19" i="2"/>
  <c r="DN19" i="2" s="1"/>
  <c r="CW19" i="2"/>
  <c r="CS19" i="2"/>
  <c r="CR19" i="2"/>
  <c r="CV19" i="2" s="1"/>
  <c r="CQ19" i="2"/>
  <c r="CF19" i="2" s="1"/>
  <c r="CP19" i="2"/>
  <c r="CN19" i="2"/>
  <c r="CH19" i="2"/>
  <c r="CG19" i="2"/>
  <c r="CK19" i="2" s="1"/>
  <c r="BZ19" i="2"/>
  <c r="BU19" i="2"/>
  <c r="BO19" i="2"/>
  <c r="BL19" i="2"/>
  <c r="BH19" i="2"/>
  <c r="BF19" i="2"/>
  <c r="AW19" i="2"/>
  <c r="AT19" i="2"/>
  <c r="AR19" i="2"/>
  <c r="AQ19" i="2"/>
  <c r="AA19" i="2" s="1"/>
  <c r="AN19" i="2"/>
  <c r="AB19" i="2"/>
  <c r="V19" i="2"/>
  <c r="S19" i="2"/>
  <c r="Q19" i="2"/>
  <c r="P19" i="2"/>
  <c r="M19" i="2"/>
  <c r="K19" i="2" s="1"/>
  <c r="C19" i="2"/>
  <c r="DM18" i="2"/>
  <c r="DN18" i="2" s="1"/>
  <c r="CW18" i="2"/>
  <c r="CR18" i="2"/>
  <c r="CV18" i="2" s="1"/>
  <c r="CQ18" i="2"/>
  <c r="CP18" i="2"/>
  <c r="CN18" i="2"/>
  <c r="CH18" i="2"/>
  <c r="CG18" i="2"/>
  <c r="CK18" i="2" s="1"/>
  <c r="BZ18" i="2"/>
  <c r="BU18" i="2"/>
  <c r="BO18" i="2"/>
  <c r="BL18" i="2"/>
  <c r="BH18" i="2"/>
  <c r="BF18" i="2"/>
  <c r="AT18" i="2" s="1"/>
  <c r="AW18" i="2"/>
  <c r="AR18" i="2"/>
  <c r="AQ18" i="2"/>
  <c r="AA18" i="2" s="1"/>
  <c r="AN18" i="2"/>
  <c r="AB18" i="2"/>
  <c r="V18" i="2"/>
  <c r="S18" i="2"/>
  <c r="Q18" i="2"/>
  <c r="P18" i="2"/>
  <c r="M18" i="2"/>
  <c r="C18" i="2"/>
  <c r="DM17" i="2"/>
  <c r="DN17" i="2" s="1"/>
  <c r="CW17" i="2"/>
  <c r="CR17" i="2"/>
  <c r="CV17" i="2" s="1"/>
  <c r="CQ17" i="2"/>
  <c r="CP17" i="2"/>
  <c r="CH17" i="2" s="1"/>
  <c r="CN17" i="2"/>
  <c r="CG17" i="2"/>
  <c r="CK17" i="2" s="1"/>
  <c r="BZ17" i="2"/>
  <c r="BU17" i="2"/>
  <c r="BO17" i="2"/>
  <c r="BL17" i="2"/>
  <c r="BH17" i="2"/>
  <c r="BF17" i="2"/>
  <c r="AW17" i="2"/>
  <c r="AT17" i="2"/>
  <c r="AR17" i="2"/>
  <c r="AQ17" i="2"/>
  <c r="AN17" i="2"/>
  <c r="AB17" i="2"/>
  <c r="Z17" i="2"/>
  <c r="AM17" i="2" s="1"/>
  <c r="V17" i="2"/>
  <c r="S17" i="2"/>
  <c r="T17" i="2" s="1"/>
  <c r="BT17" i="2" s="1"/>
  <c r="Q17" i="2"/>
  <c r="P17" i="2"/>
  <c r="M17" i="2"/>
  <c r="K17" i="2" s="1"/>
  <c r="C17" i="2"/>
  <c r="DM41" i="1"/>
  <c r="DN41" i="1" s="1"/>
  <c r="CW41" i="1"/>
  <c r="CS41" i="1"/>
  <c r="CR41" i="1"/>
  <c r="CV41" i="1" s="1"/>
  <c r="CQ41" i="1"/>
  <c r="CF41" i="1" s="1"/>
  <c r="CP41" i="1"/>
  <c r="CN41" i="1"/>
  <c r="CH41" i="1"/>
  <c r="CG41" i="1"/>
  <c r="CK41" i="1" s="1"/>
  <c r="BZ41" i="1"/>
  <c r="BU41" i="1"/>
  <c r="BO41" i="1"/>
  <c r="BL41" i="1"/>
  <c r="BH41" i="1"/>
  <c r="BF41" i="1"/>
  <c r="AW41" i="1"/>
  <c r="AT41" i="1"/>
  <c r="AR41" i="1"/>
  <c r="AQ41" i="1"/>
  <c r="AA41" i="1" s="1"/>
  <c r="AN41" i="1"/>
  <c r="AB41" i="1"/>
  <c r="Z41" i="1"/>
  <c r="Y41" i="1" s="1"/>
  <c r="V41" i="1"/>
  <c r="S41" i="1"/>
  <c r="T41" i="1" s="1"/>
  <c r="BT41" i="1" s="1"/>
  <c r="Q41" i="1"/>
  <c r="P41" i="1"/>
  <c r="M41" i="1"/>
  <c r="C41" i="1"/>
  <c r="DM40" i="1"/>
  <c r="DN40" i="1" s="1"/>
  <c r="CW40" i="1"/>
  <c r="CR40" i="1"/>
  <c r="CV40" i="1" s="1"/>
  <c r="CQ40" i="1"/>
  <c r="CP40" i="1"/>
  <c r="CH40" i="1" s="1"/>
  <c r="CN40" i="1"/>
  <c r="CG40" i="1"/>
  <c r="CK40" i="1" s="1"/>
  <c r="BZ40" i="1"/>
  <c r="BU40" i="1"/>
  <c r="BO40" i="1"/>
  <c r="BL40" i="1"/>
  <c r="BH40" i="1"/>
  <c r="BF40" i="1"/>
  <c r="AW40" i="1"/>
  <c r="AT40" i="1"/>
  <c r="AR40" i="1"/>
  <c r="AQ40" i="1"/>
  <c r="AA40" i="1" s="1"/>
  <c r="AN40" i="1"/>
  <c r="AB40" i="1"/>
  <c r="Z40" i="1"/>
  <c r="AM40" i="1" s="1"/>
  <c r="V40" i="1"/>
  <c r="S40" i="1"/>
  <c r="Q40" i="1"/>
  <c r="P40" i="1"/>
  <c r="M40" i="1"/>
  <c r="C40" i="1"/>
  <c r="DM39" i="1"/>
  <c r="DN39" i="1" s="1"/>
  <c r="CW39" i="1"/>
  <c r="CR39" i="1"/>
  <c r="CS39" i="1" s="1"/>
  <c r="CQ39" i="1"/>
  <c r="CP39" i="1"/>
  <c r="CN39" i="1"/>
  <c r="CH39" i="1"/>
  <c r="CG39" i="1"/>
  <c r="CF39" i="1"/>
  <c r="DV39" i="1" s="1"/>
  <c r="BZ39" i="1"/>
  <c r="BU39" i="1"/>
  <c r="BO39" i="1"/>
  <c r="BL39" i="1"/>
  <c r="BH39" i="1"/>
  <c r="BG39" i="1"/>
  <c r="BF39" i="1"/>
  <c r="AW39" i="1"/>
  <c r="AT39" i="1"/>
  <c r="AR39" i="1"/>
  <c r="DU39" i="1" s="1"/>
  <c r="AQ39" i="1"/>
  <c r="AN39" i="1"/>
  <c r="AB39" i="1"/>
  <c r="Z39" i="1"/>
  <c r="V39" i="1"/>
  <c r="T39" i="1"/>
  <c r="BT39" i="1" s="1"/>
  <c r="S39" i="1"/>
  <c r="Q39" i="1"/>
  <c r="P39" i="1"/>
  <c r="M39" i="1"/>
  <c r="C39" i="1"/>
  <c r="DN38" i="1"/>
  <c r="DM38" i="1"/>
  <c r="CW38" i="1"/>
  <c r="CR38" i="1"/>
  <c r="CV38" i="1" s="1"/>
  <c r="CQ38" i="1"/>
  <c r="CF38" i="1" s="1"/>
  <c r="BG38" i="1" s="1"/>
  <c r="CP38" i="1"/>
  <c r="CN38" i="1"/>
  <c r="CH38" i="1"/>
  <c r="CG38" i="1"/>
  <c r="CK38" i="1" s="1"/>
  <c r="BZ38" i="1"/>
  <c r="BU38" i="1"/>
  <c r="BO38" i="1"/>
  <c r="BL38" i="1"/>
  <c r="BH38" i="1"/>
  <c r="BF38" i="1"/>
  <c r="AW38" i="1"/>
  <c r="AT38" i="1"/>
  <c r="AR38" i="1"/>
  <c r="AQ38" i="1"/>
  <c r="AA38" i="1" s="1"/>
  <c r="AN38" i="1"/>
  <c r="AB38" i="1"/>
  <c r="V38" i="1"/>
  <c r="S38" i="1"/>
  <c r="Q38" i="1"/>
  <c r="P38" i="1"/>
  <c r="M38" i="1"/>
  <c r="C38" i="1"/>
  <c r="DM37" i="1"/>
  <c r="DN37" i="1" s="1"/>
  <c r="CW37" i="1"/>
  <c r="CR37" i="1"/>
  <c r="CS37" i="1" s="1"/>
  <c r="CQ37" i="1"/>
  <c r="CP37" i="1"/>
  <c r="CH37" i="1" s="1"/>
  <c r="CN37" i="1"/>
  <c r="CG37" i="1"/>
  <c r="CL37" i="1" s="1"/>
  <c r="BZ37" i="1"/>
  <c r="BU37" i="1"/>
  <c r="BO37" i="1"/>
  <c r="BL37" i="1"/>
  <c r="BH37" i="1"/>
  <c r="BF37" i="1"/>
  <c r="AW37" i="1"/>
  <c r="AT37" i="1"/>
  <c r="AR37" i="1"/>
  <c r="AQ37" i="1"/>
  <c r="AN37" i="1"/>
  <c r="AB37" i="1"/>
  <c r="Z37" i="1"/>
  <c r="V37" i="1"/>
  <c r="S37" i="1"/>
  <c r="Q37" i="1"/>
  <c r="P37" i="1"/>
  <c r="M37" i="1"/>
  <c r="C37" i="1"/>
  <c r="DM36" i="1"/>
  <c r="DN36" i="1" s="1"/>
  <c r="CW36" i="1"/>
  <c r="CR36" i="1"/>
  <c r="CV36" i="1" s="1"/>
  <c r="CQ36" i="1"/>
  <c r="CP36" i="1"/>
  <c r="CN36" i="1"/>
  <c r="CH36" i="1"/>
  <c r="CL36" i="1" s="1"/>
  <c r="CG36" i="1"/>
  <c r="CK36" i="1" s="1"/>
  <c r="CF36" i="1"/>
  <c r="BZ36" i="1"/>
  <c r="BU36" i="1"/>
  <c r="BO36" i="1"/>
  <c r="BL36" i="1"/>
  <c r="BH36" i="1"/>
  <c r="BG36" i="1"/>
  <c r="BF36" i="1"/>
  <c r="AW36" i="1"/>
  <c r="AT36" i="1"/>
  <c r="AR36" i="1"/>
  <c r="DU36" i="1" s="1"/>
  <c r="AQ36" i="1"/>
  <c r="AN36" i="1"/>
  <c r="AB36" i="1"/>
  <c r="AA36" i="1"/>
  <c r="V36" i="1"/>
  <c r="S36" i="1"/>
  <c r="T36" i="1" s="1"/>
  <c r="BT36" i="1" s="1"/>
  <c r="Q36" i="1"/>
  <c r="P36" i="1"/>
  <c r="M36" i="1"/>
  <c r="C36" i="1"/>
  <c r="DM35" i="1"/>
  <c r="DN35" i="1" s="1"/>
  <c r="CW35" i="1"/>
  <c r="CR35" i="1"/>
  <c r="CS35" i="1" s="1"/>
  <c r="CQ35" i="1"/>
  <c r="CP35" i="1"/>
  <c r="CH35" i="1" s="1"/>
  <c r="CN35" i="1"/>
  <c r="CG35" i="1"/>
  <c r="CL35" i="1" s="1"/>
  <c r="BZ35" i="1"/>
  <c r="BU35" i="1"/>
  <c r="BO35" i="1"/>
  <c r="BL35" i="1"/>
  <c r="BH35" i="1"/>
  <c r="BF35" i="1"/>
  <c r="AW35" i="1"/>
  <c r="AT35" i="1"/>
  <c r="AR35" i="1"/>
  <c r="AQ35" i="1"/>
  <c r="AN35" i="1"/>
  <c r="AB35" i="1"/>
  <c r="Z35" i="1"/>
  <c r="V35" i="1"/>
  <c r="S35" i="1"/>
  <c r="T35" i="1" s="1"/>
  <c r="BT35" i="1" s="1"/>
  <c r="Q35" i="1"/>
  <c r="P35" i="1"/>
  <c r="M35" i="1"/>
  <c r="C35" i="1"/>
  <c r="DM34" i="1"/>
  <c r="DN34" i="1" s="1"/>
  <c r="CW34" i="1"/>
  <c r="CR34" i="1"/>
  <c r="CV34" i="1" s="1"/>
  <c r="CQ34" i="1"/>
  <c r="CP34" i="1"/>
  <c r="CH34" i="1" s="1"/>
  <c r="CN34" i="1"/>
  <c r="CG34" i="1"/>
  <c r="CL34" i="1" s="1"/>
  <c r="BZ34" i="1"/>
  <c r="BU34" i="1"/>
  <c r="BO34" i="1"/>
  <c r="BL34" i="1"/>
  <c r="BH34" i="1"/>
  <c r="BF34" i="1"/>
  <c r="AW34" i="1"/>
  <c r="AT34" i="1"/>
  <c r="AR34" i="1"/>
  <c r="AQ34" i="1"/>
  <c r="AA34" i="1" s="1"/>
  <c r="AN34" i="1"/>
  <c r="AB34" i="1"/>
  <c r="Z34" i="1"/>
  <c r="AM34" i="1" s="1"/>
  <c r="V34" i="1"/>
  <c r="S34" i="1"/>
  <c r="T34" i="1" s="1"/>
  <c r="BT34" i="1" s="1"/>
  <c r="Q34" i="1"/>
  <c r="P34" i="1"/>
  <c r="M34" i="1"/>
  <c r="C34" i="1"/>
  <c r="DM33" i="1"/>
  <c r="DN33" i="1" s="1"/>
  <c r="CW33" i="1"/>
  <c r="CS33" i="1"/>
  <c r="CR33" i="1"/>
  <c r="CV33" i="1" s="1"/>
  <c r="CQ33" i="1"/>
  <c r="CF33" i="1" s="1"/>
  <c r="CP33" i="1"/>
  <c r="CN33" i="1"/>
  <c r="CH33" i="1"/>
  <c r="CG33" i="1"/>
  <c r="CK33" i="1" s="1"/>
  <c r="BZ33" i="1"/>
  <c r="BU33" i="1"/>
  <c r="BO33" i="1"/>
  <c r="BL33" i="1"/>
  <c r="BH33" i="1"/>
  <c r="BF33" i="1"/>
  <c r="AW33" i="1"/>
  <c r="AT33" i="1"/>
  <c r="AR33" i="1"/>
  <c r="AQ33" i="1"/>
  <c r="AA33" i="1" s="1"/>
  <c r="AN33" i="1"/>
  <c r="AB33" i="1"/>
  <c r="V33" i="1"/>
  <c r="S33" i="1"/>
  <c r="Q33" i="1"/>
  <c r="P33" i="1"/>
  <c r="M33" i="1"/>
  <c r="C33" i="1"/>
  <c r="DM32" i="1"/>
  <c r="DN32" i="1" s="1"/>
  <c r="CW32" i="1"/>
  <c r="CR32" i="1"/>
  <c r="CV32" i="1" s="1"/>
  <c r="CQ32" i="1"/>
  <c r="CP32" i="1"/>
  <c r="CH32" i="1" s="1"/>
  <c r="CN32" i="1"/>
  <c r="CG32" i="1"/>
  <c r="CK32" i="1" s="1"/>
  <c r="BZ32" i="1"/>
  <c r="BU32" i="1"/>
  <c r="BO32" i="1"/>
  <c r="BL32" i="1"/>
  <c r="BH32" i="1"/>
  <c r="BF32" i="1"/>
  <c r="AW32" i="1"/>
  <c r="AT32" i="1"/>
  <c r="AR32" i="1"/>
  <c r="AQ32" i="1"/>
  <c r="AN32" i="1"/>
  <c r="AB32" i="1"/>
  <c r="Z32" i="1"/>
  <c r="AM32" i="1" s="1"/>
  <c r="V32" i="1"/>
  <c r="S32" i="1"/>
  <c r="Q32" i="1"/>
  <c r="P32" i="1"/>
  <c r="M32" i="1"/>
  <c r="C32" i="1"/>
  <c r="DM31" i="1"/>
  <c r="DN31" i="1" s="1"/>
  <c r="CW31" i="1"/>
  <c r="CS31" i="1"/>
  <c r="CR31" i="1"/>
  <c r="CV31" i="1" s="1"/>
  <c r="CQ31" i="1"/>
  <c r="CF31" i="1" s="1"/>
  <c r="CP31" i="1"/>
  <c r="CN31" i="1"/>
  <c r="CH31" i="1"/>
  <c r="CG31" i="1"/>
  <c r="CK31" i="1" s="1"/>
  <c r="BZ31" i="1"/>
  <c r="BU31" i="1"/>
  <c r="BO31" i="1"/>
  <c r="BL31" i="1"/>
  <c r="BH31" i="1"/>
  <c r="BF31" i="1"/>
  <c r="AW31" i="1"/>
  <c r="AT31" i="1"/>
  <c r="AR31" i="1"/>
  <c r="AQ31" i="1"/>
  <c r="AN31" i="1"/>
  <c r="AB31" i="1"/>
  <c r="V31" i="1"/>
  <c r="S31" i="1"/>
  <c r="Q31" i="1"/>
  <c r="P31" i="1"/>
  <c r="M31" i="1"/>
  <c r="C31" i="1"/>
  <c r="DM30" i="1"/>
  <c r="DN30" i="1" s="1"/>
  <c r="CW30" i="1"/>
  <c r="CR30" i="1"/>
  <c r="CV30" i="1" s="1"/>
  <c r="CQ30" i="1"/>
  <c r="CP30" i="1"/>
  <c r="CH30" i="1" s="1"/>
  <c r="CN30" i="1"/>
  <c r="CG30" i="1"/>
  <c r="CK30" i="1" s="1"/>
  <c r="BZ30" i="1"/>
  <c r="BU30" i="1"/>
  <c r="BO30" i="1"/>
  <c r="BL30" i="1"/>
  <c r="BH30" i="1"/>
  <c r="BF30" i="1"/>
  <c r="AW30" i="1"/>
  <c r="AT30" i="1"/>
  <c r="AR30" i="1"/>
  <c r="AQ30" i="1"/>
  <c r="AA30" i="1" s="1"/>
  <c r="AN30" i="1"/>
  <c r="AB30" i="1"/>
  <c r="DU30" i="1" s="1"/>
  <c r="Z30" i="1"/>
  <c r="AM30" i="1" s="1"/>
  <c r="V30" i="1"/>
  <c r="S30" i="1"/>
  <c r="Q30" i="1"/>
  <c r="P30" i="1"/>
  <c r="M30" i="1"/>
  <c r="C30" i="1"/>
  <c r="DM29" i="1"/>
  <c r="DN29" i="1" s="1"/>
  <c r="CW29" i="1"/>
  <c r="CS29" i="1"/>
  <c r="CR29" i="1"/>
  <c r="CV29" i="1" s="1"/>
  <c r="CQ29" i="1"/>
  <c r="CF29" i="1" s="1"/>
  <c r="CP29" i="1"/>
  <c r="CN29" i="1"/>
  <c r="CH29" i="1"/>
  <c r="CG29" i="1"/>
  <c r="CK29" i="1" s="1"/>
  <c r="BZ29" i="1"/>
  <c r="BU29" i="1"/>
  <c r="BO29" i="1"/>
  <c r="BL29" i="1"/>
  <c r="BH29" i="1"/>
  <c r="BF29" i="1"/>
  <c r="AW29" i="1"/>
  <c r="AT29" i="1"/>
  <c r="AR29" i="1"/>
  <c r="AQ29" i="1"/>
  <c r="AA29" i="1" s="1"/>
  <c r="AN29" i="1"/>
  <c r="AB29" i="1"/>
  <c r="V29" i="1"/>
  <c r="S29" i="1"/>
  <c r="Q29" i="1"/>
  <c r="P29" i="1"/>
  <c r="M29" i="1"/>
  <c r="C29" i="1"/>
  <c r="DM28" i="1"/>
  <c r="DN28" i="1" s="1"/>
  <c r="CW28" i="1"/>
  <c r="CR28" i="1"/>
  <c r="CS28" i="1" s="1"/>
  <c r="CQ28" i="1"/>
  <c r="CP28" i="1"/>
  <c r="CN28" i="1"/>
  <c r="CG28" i="1"/>
  <c r="CI28" i="1" s="1"/>
  <c r="BZ28" i="1"/>
  <c r="BU28" i="1"/>
  <c r="BO28" i="1"/>
  <c r="BL28" i="1"/>
  <c r="BH28" i="1"/>
  <c r="BF28" i="1"/>
  <c r="AW28" i="1"/>
  <c r="AT28" i="1"/>
  <c r="AR28" i="1"/>
  <c r="Z28" i="1" s="1"/>
  <c r="AQ28" i="1"/>
  <c r="AN28" i="1"/>
  <c r="AB28" i="1"/>
  <c r="V28" i="1"/>
  <c r="S28" i="1"/>
  <c r="Q28" i="1"/>
  <c r="P28" i="1"/>
  <c r="M28" i="1"/>
  <c r="C28" i="1"/>
  <c r="DM27" i="1"/>
  <c r="DN27" i="1" s="1"/>
  <c r="CW27" i="1"/>
  <c r="CR27" i="1"/>
  <c r="CS27" i="1" s="1"/>
  <c r="CQ27" i="1"/>
  <c r="CP27" i="1"/>
  <c r="CH27" i="1" s="1"/>
  <c r="CN27" i="1"/>
  <c r="CG27" i="1"/>
  <c r="CL27" i="1" s="1"/>
  <c r="BZ27" i="1"/>
  <c r="BU27" i="1"/>
  <c r="BO27" i="1"/>
  <c r="BL27" i="1"/>
  <c r="BH27" i="1"/>
  <c r="BF27" i="1"/>
  <c r="AW27" i="1"/>
  <c r="AT27" i="1"/>
  <c r="AR27" i="1"/>
  <c r="Z27" i="1" s="1"/>
  <c r="AQ27" i="1"/>
  <c r="AN27" i="1"/>
  <c r="AB27" i="1"/>
  <c r="V27" i="1"/>
  <c r="S27" i="1"/>
  <c r="T27" i="1" s="1"/>
  <c r="BT27" i="1" s="1"/>
  <c r="Q27" i="1"/>
  <c r="P27" i="1"/>
  <c r="M27" i="1"/>
  <c r="C27" i="1"/>
  <c r="DM26" i="1"/>
  <c r="DN26" i="1" s="1"/>
  <c r="CW26" i="1"/>
  <c r="CR26" i="1"/>
  <c r="CV26" i="1" s="1"/>
  <c r="CQ26" i="1"/>
  <c r="CP26" i="1"/>
  <c r="CN26" i="1"/>
  <c r="CH26" i="1"/>
  <c r="CL26" i="1" s="1"/>
  <c r="CG26" i="1"/>
  <c r="CK26" i="1" s="1"/>
  <c r="CF26" i="1"/>
  <c r="BZ26" i="1"/>
  <c r="BU26" i="1"/>
  <c r="BO26" i="1"/>
  <c r="BL26" i="1"/>
  <c r="BH26" i="1"/>
  <c r="BG26" i="1"/>
  <c r="BF26" i="1"/>
  <c r="AW26" i="1"/>
  <c r="AT26" i="1"/>
  <c r="AR26" i="1"/>
  <c r="AQ26" i="1"/>
  <c r="AN26" i="1"/>
  <c r="AB26" i="1"/>
  <c r="V26" i="1"/>
  <c r="S26" i="1"/>
  <c r="Q26" i="1"/>
  <c r="P26" i="1"/>
  <c r="M26" i="1"/>
  <c r="C26" i="1"/>
  <c r="DT25" i="1"/>
  <c r="DL25" i="1"/>
  <c r="DM25" i="1" s="1"/>
  <c r="CV25" i="1"/>
  <c r="CQ25" i="1"/>
  <c r="CR25" i="1" s="1"/>
  <c r="CP25" i="1"/>
  <c r="CO25" i="1"/>
  <c r="CM25" i="1"/>
  <c r="CG25" i="1"/>
  <c r="CF25" i="1"/>
  <c r="CK25" i="1" s="1"/>
  <c r="BY25" i="1"/>
  <c r="BT25" i="1"/>
  <c r="BS25" i="1"/>
  <c r="BN25" i="1"/>
  <c r="BM25" i="1"/>
  <c r="BL25" i="1" s="1"/>
  <c r="BK25" i="1"/>
  <c r="DM24" i="1"/>
  <c r="DN24" i="1" s="1"/>
  <c r="CW24" i="1"/>
  <c r="CR24" i="1"/>
  <c r="CV24" i="1" s="1"/>
  <c r="CQ24" i="1"/>
  <c r="CP24" i="1"/>
  <c r="CN24" i="1"/>
  <c r="CH24" i="1"/>
  <c r="CG24" i="1"/>
  <c r="CK24" i="1" s="1"/>
  <c r="BZ24" i="1"/>
  <c r="BU24" i="1"/>
  <c r="BO24" i="1"/>
  <c r="BL24" i="1"/>
  <c r="BH24" i="1"/>
  <c r="BF24" i="1"/>
  <c r="AT24" i="1" s="1"/>
  <c r="AW24" i="1"/>
  <c r="AR24" i="1"/>
  <c r="AQ24" i="1"/>
  <c r="AN24" i="1"/>
  <c r="Z24" i="1"/>
  <c r="V24" i="1"/>
  <c r="T24" i="1" s="1"/>
  <c r="BT24" i="1" s="1"/>
  <c r="S24" i="1"/>
  <c r="Q24" i="1"/>
  <c r="P24" i="1"/>
  <c r="M24" i="1"/>
  <c r="K24" i="1" s="1"/>
  <c r="C24" i="1"/>
  <c r="DT23" i="1"/>
  <c r="DL23" i="1"/>
  <c r="DM23" i="1" s="1"/>
  <c r="CV23" i="1"/>
  <c r="CQ23" i="1"/>
  <c r="CR23" i="1" s="1"/>
  <c r="CP23" i="1"/>
  <c r="CO23" i="1"/>
  <c r="CM23" i="1"/>
  <c r="CG23" i="1"/>
  <c r="CF23" i="1"/>
  <c r="CK23" i="1" s="1"/>
  <c r="BY23" i="1"/>
  <c r="BT23" i="1"/>
  <c r="BS23" i="1"/>
  <c r="BN23" i="1"/>
  <c r="BM23" i="1"/>
  <c r="BL23" i="1"/>
  <c r="BK23" i="1"/>
  <c r="DN22" i="1"/>
  <c r="DM22" i="1"/>
  <c r="CW22" i="1"/>
  <c r="CR22" i="1"/>
  <c r="CV22" i="1" s="1"/>
  <c r="CQ22" i="1"/>
  <c r="CF22" i="1" s="1"/>
  <c r="BG22" i="1" s="1"/>
  <c r="CP22" i="1"/>
  <c r="CN22" i="1"/>
  <c r="CH22" i="1"/>
  <c r="CG22" i="1"/>
  <c r="CK22" i="1" s="1"/>
  <c r="BZ22" i="1"/>
  <c r="BU22" i="1"/>
  <c r="BO22" i="1"/>
  <c r="BL22" i="1"/>
  <c r="BH22" i="1"/>
  <c r="BF22" i="1"/>
  <c r="AW22" i="1"/>
  <c r="AT22" i="1"/>
  <c r="AR22" i="1"/>
  <c r="AQ22" i="1"/>
  <c r="AN22" i="1"/>
  <c r="AB22" i="1"/>
  <c r="V22" i="1"/>
  <c r="S22" i="1"/>
  <c r="T22" i="1" s="1"/>
  <c r="BT22" i="1" s="1"/>
  <c r="Q22" i="1"/>
  <c r="P22" i="1"/>
  <c r="M22" i="1"/>
  <c r="K22" i="1" s="1"/>
  <c r="C22" i="1"/>
  <c r="DN21" i="1"/>
  <c r="DM21" i="1"/>
  <c r="CW21" i="1"/>
  <c r="CR21" i="1"/>
  <c r="CV21" i="1" s="1"/>
  <c r="CQ21" i="1"/>
  <c r="CP21" i="1"/>
  <c r="CN21" i="1"/>
  <c r="CH21" i="1"/>
  <c r="CG21" i="1"/>
  <c r="CK21" i="1" s="1"/>
  <c r="CF21" i="1"/>
  <c r="BZ21" i="1"/>
  <c r="BU21" i="1"/>
  <c r="BO21" i="1"/>
  <c r="BL21" i="1"/>
  <c r="BH21" i="1"/>
  <c r="BG21" i="1"/>
  <c r="BF21" i="1"/>
  <c r="AW21" i="1"/>
  <c r="AT21" i="1"/>
  <c r="AR21" i="1"/>
  <c r="DU21" i="1" s="1"/>
  <c r="AQ21" i="1"/>
  <c r="AN21" i="1"/>
  <c r="AB21" i="1"/>
  <c r="V21" i="1"/>
  <c r="S21" i="1"/>
  <c r="Q21" i="1"/>
  <c r="P21" i="1"/>
  <c r="M21" i="1"/>
  <c r="C21" i="1"/>
  <c r="DM19" i="1"/>
  <c r="DN19" i="1" s="1"/>
  <c r="CW19" i="1"/>
  <c r="CR19" i="1"/>
  <c r="CS19" i="1" s="1"/>
  <c r="CQ19" i="1"/>
  <c r="CP19" i="1"/>
  <c r="CH19" i="1" s="1"/>
  <c r="CN19" i="1"/>
  <c r="CG19" i="1"/>
  <c r="CL19" i="1" s="1"/>
  <c r="BZ19" i="1"/>
  <c r="BU19" i="1"/>
  <c r="BO19" i="1"/>
  <c r="BL19" i="1"/>
  <c r="BH19" i="1"/>
  <c r="BF19" i="1"/>
  <c r="AW19" i="1"/>
  <c r="AT19" i="1"/>
  <c r="AR19" i="1"/>
  <c r="Z19" i="1" s="1"/>
  <c r="AQ19" i="1"/>
  <c r="AN19" i="1"/>
  <c r="AB19" i="1"/>
  <c r="V19" i="1"/>
  <c r="T19" i="1"/>
  <c r="BT19" i="1" s="1"/>
  <c r="S19" i="1"/>
  <c r="Q19" i="1"/>
  <c r="P19" i="1"/>
  <c r="M19" i="1"/>
  <c r="C19" i="1"/>
  <c r="DV31" i="2" l="1"/>
  <c r="BG31" i="2"/>
  <c r="AA17" i="2"/>
  <c r="CF18" i="2"/>
  <c r="CS18" i="2"/>
  <c r="AA20" i="2"/>
  <c r="CF20" i="2"/>
  <c r="DV20" i="2" s="1"/>
  <c r="CS20" i="2"/>
  <c r="AA21" i="2"/>
  <c r="DU22" i="2"/>
  <c r="AA22" i="2"/>
  <c r="T25" i="2"/>
  <c r="BT25" i="2" s="1"/>
  <c r="DU27" i="2"/>
  <c r="AA27" i="2"/>
  <c r="T29" i="2"/>
  <c r="BT29" i="2" s="1"/>
  <c r="AA31" i="2"/>
  <c r="AE31" i="2" s="1"/>
  <c r="CL31" i="2"/>
  <c r="T35" i="2"/>
  <c r="BT35" i="2" s="1"/>
  <c r="T38" i="2"/>
  <c r="BT38" i="2" s="1"/>
  <c r="DU38" i="2"/>
  <c r="DU18" i="1"/>
  <c r="CL18" i="1"/>
  <c r="CD18" i="1" s="1"/>
  <c r="T37" i="1"/>
  <c r="BT37" i="1" s="1"/>
  <c r="DU17" i="1"/>
  <c r="CH18" i="1"/>
  <c r="CI18" i="1" s="1"/>
  <c r="CJ18" i="1"/>
  <c r="CU18" i="1"/>
  <c r="DU26" i="1"/>
  <c r="AA28" i="1"/>
  <c r="AA31" i="1"/>
  <c r="DU32" i="1"/>
  <c r="AA32" i="1"/>
  <c r="DU35" i="1"/>
  <c r="CD17" i="1"/>
  <c r="CH17" i="1"/>
  <c r="CI17" i="1" s="1"/>
  <c r="T21" i="1"/>
  <c r="BT21" i="1" s="1"/>
  <c r="T28" i="1"/>
  <c r="BT28" i="1" s="1"/>
  <c r="T30" i="1"/>
  <c r="BT30" i="1" s="1"/>
  <c r="CL21" i="1"/>
  <c r="DU22" i="1"/>
  <c r="CL22" i="1"/>
  <c r="CF24" i="1"/>
  <c r="BG24" i="1" s="1"/>
  <c r="CS24" i="1"/>
  <c r="CE25" i="1"/>
  <c r="T26" i="1"/>
  <c r="BT26" i="1" s="1"/>
  <c r="T32" i="1"/>
  <c r="BT32" i="1" s="1"/>
  <c r="T38" i="1"/>
  <c r="BT38" i="1" s="1"/>
  <c r="DU38" i="1"/>
  <c r="CL38" i="1"/>
  <c r="DV19" i="2"/>
  <c r="BG19" i="2"/>
  <c r="BN21" i="2"/>
  <c r="W21" i="2"/>
  <c r="DV18" i="2"/>
  <c r="BG18" i="2"/>
  <c r="BG20" i="2"/>
  <c r="DV30" i="2"/>
  <c r="BG30" i="2"/>
  <c r="DV36" i="2"/>
  <c r="BG36" i="2"/>
  <c r="DV28" i="2"/>
  <c r="BG28" i="2"/>
  <c r="DV37" i="2"/>
  <c r="BG37" i="2"/>
  <c r="DU17" i="2"/>
  <c r="T18" i="2"/>
  <c r="BT18" i="2" s="1"/>
  <c r="DU18" i="2"/>
  <c r="CL18" i="2"/>
  <c r="T19" i="2"/>
  <c r="BT19" i="2" s="1"/>
  <c r="DU19" i="2"/>
  <c r="CL19" i="2"/>
  <c r="T20" i="2"/>
  <c r="BT20" i="2" s="1"/>
  <c r="DU20" i="2"/>
  <c r="CL20" i="2"/>
  <c r="DU21" i="2"/>
  <c r="DU23" i="2"/>
  <c r="AA23" i="2"/>
  <c r="DU26" i="2"/>
  <c r="AA26" i="2"/>
  <c r="T28" i="2"/>
  <c r="BT28" i="2" s="1"/>
  <c r="DU28" i="2"/>
  <c r="CL28" i="2"/>
  <c r="T30" i="2"/>
  <c r="BT30" i="2" s="1"/>
  <c r="DU30" i="2"/>
  <c r="CL30" i="2"/>
  <c r="CS38" i="2"/>
  <c r="Y31" i="2"/>
  <c r="AC31" i="2"/>
  <c r="CS31" i="2"/>
  <c r="CS32" i="2"/>
  <c r="DU33" i="2"/>
  <c r="AA33" i="2"/>
  <c r="T36" i="2"/>
  <c r="BT36" i="2" s="1"/>
  <c r="DU36" i="2"/>
  <c r="CL36" i="2"/>
  <c r="T37" i="2"/>
  <c r="BT37" i="2" s="1"/>
  <c r="DU37" i="2"/>
  <c r="CL37" i="2"/>
  <c r="W17" i="2"/>
  <c r="BN17" i="2"/>
  <c r="BM17" i="2" s="1"/>
  <c r="Y17" i="2"/>
  <c r="AC17" i="2"/>
  <c r="AE17" i="2"/>
  <c r="CF17" i="2"/>
  <c r="CL17" i="2"/>
  <c r="CS17" i="2"/>
  <c r="Z18" i="2"/>
  <c r="CI18" i="2"/>
  <c r="CJ18" i="2" s="1"/>
  <c r="Z19" i="2"/>
  <c r="CI19" i="2"/>
  <c r="CJ19" i="2" s="1"/>
  <c r="Z20" i="2"/>
  <c r="CI20" i="2"/>
  <c r="CJ20" i="2" s="1"/>
  <c r="AE21" i="2"/>
  <c r="AC21" i="2"/>
  <c r="Y21" i="2"/>
  <c r="AD21" i="2"/>
  <c r="BM21" i="2"/>
  <c r="W22" i="2"/>
  <c r="BN22" i="2"/>
  <c r="W25" i="2"/>
  <c r="BN25" i="2"/>
  <c r="W27" i="2"/>
  <c r="BN27" i="2"/>
  <c r="W29" i="2"/>
  <c r="BN29" i="2"/>
  <c r="AD17" i="2"/>
  <c r="CI17" i="2"/>
  <c r="CJ17" i="2" s="1"/>
  <c r="CK21" i="2"/>
  <c r="CL21" i="2"/>
  <c r="W23" i="2"/>
  <c r="BN23" i="2"/>
  <c r="W26" i="2"/>
  <c r="BN26" i="2"/>
  <c r="CF21" i="2"/>
  <c r="CS21" i="2"/>
  <c r="Y22" i="2"/>
  <c r="AC22" i="2"/>
  <c r="AE22" i="2"/>
  <c r="CF22" i="2"/>
  <c r="CL22" i="2"/>
  <c r="CS22" i="2"/>
  <c r="Y23" i="2"/>
  <c r="AC23" i="2"/>
  <c r="AE23" i="2"/>
  <c r="CF23" i="2"/>
  <c r="CL23" i="2"/>
  <c r="CS23" i="2"/>
  <c r="Y25" i="2"/>
  <c r="AC25" i="2"/>
  <c r="AE25" i="2"/>
  <c r="CF25" i="2"/>
  <c r="CL25" i="2"/>
  <c r="CS25" i="2"/>
  <c r="Y26" i="2"/>
  <c r="AC26" i="2"/>
  <c r="AE26" i="2"/>
  <c r="CF26" i="2"/>
  <c r="CL26" i="2"/>
  <c r="CS26" i="2"/>
  <c r="Y27" i="2"/>
  <c r="AC27" i="2"/>
  <c r="AE27" i="2"/>
  <c r="CF27" i="2"/>
  <c r="CL27" i="2"/>
  <c r="CS27" i="2"/>
  <c r="Z28" i="2"/>
  <c r="CI28" i="2"/>
  <c r="CJ28" i="2" s="1"/>
  <c r="Y29" i="2"/>
  <c r="AC29" i="2"/>
  <c r="AE29" i="2"/>
  <c r="CF29" i="2"/>
  <c r="CL29" i="2"/>
  <c r="CS29" i="2"/>
  <c r="Z30" i="2"/>
  <c r="CI30" i="2"/>
  <c r="CJ30" i="2" s="1"/>
  <c r="BM31" i="2"/>
  <c r="AD31" i="2"/>
  <c r="DU31" i="2"/>
  <c r="W33" i="2"/>
  <c r="BN33" i="2"/>
  <c r="AD22" i="2"/>
  <c r="BM22" i="2"/>
  <c r="CI22" i="2"/>
  <c r="CJ22" i="2" s="1"/>
  <c r="AD23" i="2"/>
  <c r="BM23" i="2"/>
  <c r="CI23" i="2"/>
  <c r="CJ23" i="2" s="1"/>
  <c r="AD25" i="2"/>
  <c r="BM25" i="2"/>
  <c r="CI25" i="2"/>
  <c r="CJ25" i="2" s="1"/>
  <c r="AD26" i="2"/>
  <c r="BM26" i="2"/>
  <c r="CI26" i="2"/>
  <c r="CJ26" i="2" s="1"/>
  <c r="AD27" i="2"/>
  <c r="BM27" i="2"/>
  <c r="CI27" i="2"/>
  <c r="CJ27" i="2" s="1"/>
  <c r="AD29" i="2"/>
  <c r="BM29" i="2"/>
  <c r="CI29" i="2"/>
  <c r="CJ29" i="2" s="1"/>
  <c r="W35" i="2"/>
  <c r="BN35" i="2"/>
  <c r="BM35" i="2" s="1"/>
  <c r="CI31" i="2"/>
  <c r="CJ31" i="2" s="1"/>
  <c r="CM31" i="2"/>
  <c r="CE31" i="2" s="1"/>
  <c r="Z32" i="2"/>
  <c r="CI32" i="2"/>
  <c r="CJ32" i="2" s="1"/>
  <c r="Y33" i="2"/>
  <c r="AC33" i="2"/>
  <c r="AE33" i="2"/>
  <c r="CF33" i="2"/>
  <c r="CL33" i="2"/>
  <c r="CS33" i="2"/>
  <c r="Y35" i="2"/>
  <c r="AC35" i="2"/>
  <c r="AE35" i="2"/>
  <c r="CF35" i="2"/>
  <c r="CL35" i="2"/>
  <c r="CS35" i="2"/>
  <c r="Z36" i="2"/>
  <c r="CI36" i="2"/>
  <c r="CJ36" i="2" s="1"/>
  <c r="Z37" i="2"/>
  <c r="CI37" i="2"/>
  <c r="CJ37" i="2" s="1"/>
  <c r="Z38" i="2"/>
  <c r="CI38" i="2"/>
  <c r="CJ38" i="2" s="1"/>
  <c r="AD33" i="2"/>
  <c r="BM33" i="2"/>
  <c r="CI33" i="2"/>
  <c r="CJ33" i="2" s="1"/>
  <c r="AD35" i="2"/>
  <c r="CI35" i="2"/>
  <c r="CJ35" i="2" s="1"/>
  <c r="DV31" i="1"/>
  <c r="BG31" i="1"/>
  <c r="DV29" i="1"/>
  <c r="BG29" i="1"/>
  <c r="DV33" i="1"/>
  <c r="BG33" i="1"/>
  <c r="DV41" i="1"/>
  <c r="BG41" i="1"/>
  <c r="DU19" i="1"/>
  <c r="AA19" i="1"/>
  <c r="AE19" i="1" s="1"/>
  <c r="CS21" i="1"/>
  <c r="CS22" i="1"/>
  <c r="CE23" i="1"/>
  <c r="DU24" i="1"/>
  <c r="CL24" i="1"/>
  <c r="CS26" i="1"/>
  <c r="DU27" i="1"/>
  <c r="AA27" i="1"/>
  <c r="AE27" i="1" s="1"/>
  <c r="DU29" i="1"/>
  <c r="CL29" i="1"/>
  <c r="T31" i="1"/>
  <c r="BT31" i="1" s="1"/>
  <c r="DU31" i="1"/>
  <c r="CL31" i="1"/>
  <c r="T33" i="1"/>
  <c r="BT33" i="1" s="1"/>
  <c r="DU33" i="1"/>
  <c r="CL33" i="1"/>
  <c r="CI34" i="1"/>
  <c r="CJ34" i="1" s="1"/>
  <c r="AA35" i="1"/>
  <c r="CS36" i="1"/>
  <c r="DU37" i="1"/>
  <c r="AA37" i="1"/>
  <c r="CS38" i="1"/>
  <c r="AA39" i="1"/>
  <c r="CL39" i="1"/>
  <c r="T40" i="1"/>
  <c r="BT40" i="1" s="1"/>
  <c r="DU40" i="1"/>
  <c r="DU41" i="1"/>
  <c r="CL41" i="1"/>
  <c r="AA21" i="1"/>
  <c r="AA22" i="1"/>
  <c r="AA26" i="1"/>
  <c r="AE35" i="1"/>
  <c r="AE37" i="1"/>
  <c r="AE39" i="1"/>
  <c r="AE41" i="1"/>
  <c r="DU23" i="1"/>
  <c r="CL23" i="1"/>
  <c r="CD23" i="1"/>
  <c r="DU25" i="1"/>
  <c r="CL25" i="1"/>
  <c r="CD25" i="1" s="1"/>
  <c r="AM28" i="1"/>
  <c r="BN28" i="1" s="1"/>
  <c r="AD28" i="1"/>
  <c r="BM28" i="1"/>
  <c r="AE28" i="1"/>
  <c r="AC28" i="1"/>
  <c r="Y28" i="1"/>
  <c r="AD19" i="1"/>
  <c r="AM19" i="1"/>
  <c r="DV21" i="1"/>
  <c r="DV22" i="1"/>
  <c r="CH23" i="1"/>
  <c r="CI23" i="1" s="1"/>
  <c r="CJ23" i="1"/>
  <c r="CU23" i="1"/>
  <c r="AC24" i="1"/>
  <c r="AE24" i="1"/>
  <c r="DV24" i="1"/>
  <c r="CH25" i="1"/>
  <c r="CI25" i="1" s="1"/>
  <c r="CJ25" i="1"/>
  <c r="CU25" i="1"/>
  <c r="DV26" i="1"/>
  <c r="AD27" i="1"/>
  <c r="AM27" i="1"/>
  <c r="CI27" i="1"/>
  <c r="CJ27" i="1" s="1"/>
  <c r="CK27" i="1"/>
  <c r="CV27" i="1"/>
  <c r="CH28" i="1"/>
  <c r="CJ28" i="1" s="1"/>
  <c r="CF28" i="1"/>
  <c r="DU28" i="1"/>
  <c r="W30" i="1"/>
  <c r="BN30" i="1"/>
  <c r="W32" i="1"/>
  <c r="BN32" i="1"/>
  <c r="BM32" i="1" s="1"/>
  <c r="BN34" i="1"/>
  <c r="W34" i="1"/>
  <c r="CI19" i="1"/>
  <c r="CJ19" i="1" s="1"/>
  <c r="CK19" i="1"/>
  <c r="CV19" i="1"/>
  <c r="Y19" i="1"/>
  <c r="AC19" i="1"/>
  <c r="CF19" i="1"/>
  <c r="Z21" i="1"/>
  <c r="CI21" i="1"/>
  <c r="CJ21" i="1" s="1"/>
  <c r="Z22" i="1"/>
  <c r="CI22" i="1"/>
  <c r="CJ22" i="1" s="1"/>
  <c r="Y24" i="1"/>
  <c r="AA24" i="1"/>
  <c r="AD24" i="1"/>
  <c r="AM24" i="1"/>
  <c r="CI24" i="1"/>
  <c r="CJ24" i="1" s="1"/>
  <c r="Z26" i="1"/>
  <c r="CI26" i="1"/>
  <c r="CJ26" i="1" s="1"/>
  <c r="Y27" i="1"/>
  <c r="AC27" i="1"/>
  <c r="CF27" i="1"/>
  <c r="CK28" i="1"/>
  <c r="CV28" i="1"/>
  <c r="T29" i="1"/>
  <c r="BT29" i="1" s="1"/>
  <c r="BM34" i="1"/>
  <c r="Z29" i="1"/>
  <c r="CI29" i="1"/>
  <c r="CJ29" i="1" s="1"/>
  <c r="Y30" i="1"/>
  <c r="AC30" i="1"/>
  <c r="AE30" i="1"/>
  <c r="CF30" i="1"/>
  <c r="CL30" i="1"/>
  <c r="CS30" i="1"/>
  <c r="Z31" i="1"/>
  <c r="CI31" i="1"/>
  <c r="CJ31" i="1" s="1"/>
  <c r="Y32" i="1"/>
  <c r="AC32" i="1"/>
  <c r="AE32" i="1"/>
  <c r="CF32" i="1"/>
  <c r="CL32" i="1"/>
  <c r="CS32" i="1"/>
  <c r="Z33" i="1"/>
  <c r="CI33" i="1"/>
  <c r="CJ33" i="1" s="1"/>
  <c r="Y34" i="1"/>
  <c r="AC34" i="1"/>
  <c r="AE34" i="1"/>
  <c r="DU34" i="1"/>
  <c r="CK34" i="1"/>
  <c r="W40" i="1"/>
  <c r="BN40" i="1"/>
  <c r="AD30" i="1"/>
  <c r="BM30" i="1"/>
  <c r="CI30" i="1"/>
  <c r="CJ30" i="1" s="1"/>
  <c r="AD32" i="1"/>
  <c r="CI32" i="1"/>
  <c r="CJ32" i="1" s="1"/>
  <c r="AD34" i="1"/>
  <c r="BM40" i="1"/>
  <c r="CF34" i="1"/>
  <c r="CS34" i="1"/>
  <c r="AD35" i="1"/>
  <c r="AM35" i="1"/>
  <c r="CI35" i="1"/>
  <c r="CJ35" i="1" s="1"/>
  <c r="CK35" i="1"/>
  <c r="CV35" i="1"/>
  <c r="DV36" i="1"/>
  <c r="AD37" i="1"/>
  <c r="AM37" i="1"/>
  <c r="CI37" i="1"/>
  <c r="CJ37" i="1" s="1"/>
  <c r="CK37" i="1"/>
  <c r="CV37" i="1"/>
  <c r="DV38" i="1"/>
  <c r="AD39" i="1"/>
  <c r="AM39" i="1"/>
  <c r="CM39" i="1" s="1"/>
  <c r="CE39" i="1" s="1"/>
  <c r="CI39" i="1"/>
  <c r="CJ39" i="1" s="1"/>
  <c r="CK39" i="1"/>
  <c r="CV39" i="1"/>
  <c r="Y40" i="1"/>
  <c r="AC40" i="1"/>
  <c r="AE40" i="1"/>
  <c r="CF40" i="1"/>
  <c r="CL40" i="1"/>
  <c r="CS40" i="1"/>
  <c r="AD41" i="1"/>
  <c r="AM41" i="1"/>
  <c r="CM41" i="1" s="1"/>
  <c r="CE41" i="1" s="1"/>
  <c r="CI41" i="1"/>
  <c r="CJ41" i="1" s="1"/>
  <c r="Y35" i="1"/>
  <c r="AC35" i="1"/>
  <c r="CF35" i="1"/>
  <c r="Z36" i="1"/>
  <c r="CI36" i="1"/>
  <c r="CJ36" i="1" s="1"/>
  <c r="Y37" i="1"/>
  <c r="AC37" i="1"/>
  <c r="CF37" i="1"/>
  <c r="Z38" i="1"/>
  <c r="CI38" i="1"/>
  <c r="CJ38" i="1" s="1"/>
  <c r="Y39" i="1"/>
  <c r="AC39" i="1"/>
  <c r="AD40" i="1"/>
  <c r="CI40" i="1"/>
  <c r="CJ40" i="1" s="1"/>
  <c r="AC41" i="1"/>
  <c r="CM35" i="2" l="1"/>
  <c r="DV35" i="2"/>
  <c r="BG35" i="2"/>
  <c r="CM33" i="2"/>
  <c r="DV33" i="2"/>
  <c r="BG33" i="2"/>
  <c r="CM29" i="2"/>
  <c r="DV29" i="2"/>
  <c r="BG29" i="2"/>
  <c r="CM27" i="2"/>
  <c r="DV27" i="2"/>
  <c r="BG27" i="2"/>
  <c r="CM26" i="2"/>
  <c r="DV26" i="2"/>
  <c r="BG26" i="2"/>
  <c r="CM25" i="2"/>
  <c r="DV25" i="2"/>
  <c r="BG25" i="2"/>
  <c r="CM23" i="2"/>
  <c r="DV23" i="2"/>
  <c r="BG23" i="2"/>
  <c r="CM22" i="2"/>
  <c r="DV22" i="2"/>
  <c r="BG22" i="2"/>
  <c r="CM17" i="2"/>
  <c r="DV17" i="2"/>
  <c r="BG17" i="2"/>
  <c r="AE38" i="2"/>
  <c r="AC38" i="2"/>
  <c r="Y38" i="2"/>
  <c r="AM38" i="2"/>
  <c r="AD38" i="2"/>
  <c r="AE37" i="2"/>
  <c r="AC37" i="2"/>
  <c r="Y37" i="2"/>
  <c r="AM37" i="2"/>
  <c r="AD37" i="2"/>
  <c r="AE36" i="2"/>
  <c r="AC36" i="2"/>
  <c r="Y36" i="2"/>
  <c r="AM36" i="2"/>
  <c r="AD36" i="2"/>
  <c r="AE32" i="2"/>
  <c r="AC32" i="2"/>
  <c r="Y32" i="2"/>
  <c r="AM32" i="2"/>
  <c r="AD32" i="2"/>
  <c r="AE30" i="2"/>
  <c r="AC30" i="2"/>
  <c r="Y30" i="2"/>
  <c r="AM30" i="2"/>
  <c r="AD30" i="2"/>
  <c r="AE28" i="2"/>
  <c r="AC28" i="2"/>
  <c r="Y28" i="2"/>
  <c r="AM28" i="2"/>
  <c r="AD28" i="2"/>
  <c r="CM21" i="2"/>
  <c r="DV21" i="2"/>
  <c r="BG21" i="2"/>
  <c r="AE20" i="2"/>
  <c r="AC20" i="2"/>
  <c r="Y20" i="2"/>
  <c r="AM20" i="2"/>
  <c r="AD20" i="2"/>
  <c r="AE19" i="2"/>
  <c r="AC19" i="2"/>
  <c r="Y19" i="2"/>
  <c r="AM19" i="2"/>
  <c r="AD19" i="2"/>
  <c r="AE18" i="2"/>
  <c r="AC18" i="2"/>
  <c r="Y18" i="2"/>
  <c r="AM18" i="2"/>
  <c r="AD18" i="2"/>
  <c r="CL28" i="1"/>
  <c r="AM38" i="1"/>
  <c r="AD38" i="1"/>
  <c r="AE38" i="1"/>
  <c r="AC38" i="1"/>
  <c r="Y38" i="1"/>
  <c r="DV37" i="1"/>
  <c r="BG37" i="1"/>
  <c r="CM37" i="1"/>
  <c r="DV35" i="1"/>
  <c r="BG35" i="1"/>
  <c r="CM35" i="1"/>
  <c r="BN41" i="1"/>
  <c r="BM41" i="1" s="1"/>
  <c r="W41" i="1"/>
  <c r="CM40" i="1"/>
  <c r="DV40" i="1"/>
  <c r="BG40" i="1"/>
  <c r="BN37" i="1"/>
  <c r="BM37" i="1" s="1"/>
  <c r="W37" i="1"/>
  <c r="BN35" i="1"/>
  <c r="BM35" i="1" s="1"/>
  <c r="W35" i="1"/>
  <c r="CM32" i="1"/>
  <c r="DV32" i="1"/>
  <c r="BG32" i="1"/>
  <c r="CE32" i="1" s="1"/>
  <c r="CM30" i="1"/>
  <c r="DV30" i="1"/>
  <c r="BG30" i="1"/>
  <c r="DV27" i="1"/>
  <c r="BG27" i="1"/>
  <c r="CM27" i="1"/>
  <c r="BN24" i="1"/>
  <c r="BM24" i="1" s="1"/>
  <c r="W24" i="1"/>
  <c r="AM22" i="1"/>
  <c r="AD22" i="1"/>
  <c r="AE22" i="1"/>
  <c r="AC22" i="1"/>
  <c r="Y22" i="1"/>
  <c r="DV19" i="1"/>
  <c r="BG19" i="1"/>
  <c r="CM19" i="1"/>
  <c r="CE19" i="1" s="1"/>
  <c r="BN27" i="1"/>
  <c r="BM27" i="1" s="1"/>
  <c r="W27" i="1"/>
  <c r="BN19" i="1"/>
  <c r="BM19" i="1" s="1"/>
  <c r="W19" i="1"/>
  <c r="W28" i="1"/>
  <c r="CM24" i="1"/>
  <c r="CE24" i="1" s="1"/>
  <c r="AM36" i="1"/>
  <c r="AD36" i="1"/>
  <c r="AE36" i="1"/>
  <c r="AC36" i="1"/>
  <c r="Y36" i="1"/>
  <c r="BN39" i="1"/>
  <c r="BM39" i="1" s="1"/>
  <c r="W39" i="1"/>
  <c r="CM34" i="1"/>
  <c r="DV34" i="1"/>
  <c r="BG34" i="1"/>
  <c r="CE34" i="1" s="1"/>
  <c r="AE33" i="1"/>
  <c r="AC33" i="1"/>
  <c r="Y33" i="1"/>
  <c r="AM33" i="1"/>
  <c r="AD33" i="1"/>
  <c r="AE31" i="1"/>
  <c r="AC31" i="1"/>
  <c r="Y31" i="1"/>
  <c r="AM31" i="1"/>
  <c r="AD31" i="1"/>
  <c r="AM29" i="1"/>
  <c r="AD29" i="1"/>
  <c r="AE29" i="1"/>
  <c r="Y29" i="1"/>
  <c r="AC29" i="1"/>
  <c r="AM26" i="1"/>
  <c r="AD26" i="1"/>
  <c r="AE26" i="1"/>
  <c r="AC26" i="1"/>
  <c r="Y26" i="1"/>
  <c r="AM21" i="1"/>
  <c r="AD21" i="1"/>
  <c r="AE21" i="1"/>
  <c r="AC21" i="1"/>
  <c r="Y21" i="1"/>
  <c r="DV28" i="1"/>
  <c r="BG28" i="1"/>
  <c r="CM28" i="1"/>
  <c r="CE28" i="1" l="1"/>
  <c r="CE37" i="1"/>
  <c r="CE21" i="2"/>
  <c r="CE22" i="2"/>
  <c r="CE25" i="2"/>
  <c r="CE27" i="2"/>
  <c r="CE33" i="2"/>
  <c r="CE17" i="2"/>
  <c r="CE23" i="2"/>
  <c r="CE26" i="2"/>
  <c r="CE29" i="2"/>
  <c r="CE35" i="2"/>
  <c r="BN18" i="2"/>
  <c r="BM18" i="2" s="1"/>
  <c r="W18" i="2"/>
  <c r="CM18" i="2"/>
  <c r="CE18" i="2" s="1"/>
  <c r="BN20" i="2"/>
  <c r="BM20" i="2" s="1"/>
  <c r="W20" i="2"/>
  <c r="CM20" i="2"/>
  <c r="CE20" i="2" s="1"/>
  <c r="BN28" i="2"/>
  <c r="BM28" i="2" s="1"/>
  <c r="W28" i="2"/>
  <c r="CM28" i="2"/>
  <c r="CE28" i="2" s="1"/>
  <c r="BN32" i="2"/>
  <c r="BM32" i="2" s="1"/>
  <c r="W32" i="2"/>
  <c r="CM32" i="2"/>
  <c r="CE32" i="2" s="1"/>
  <c r="BN37" i="2"/>
  <c r="BM37" i="2" s="1"/>
  <c r="W37" i="2"/>
  <c r="CM37" i="2"/>
  <c r="CE37" i="2" s="1"/>
  <c r="BN19" i="2"/>
  <c r="BM19" i="2" s="1"/>
  <c r="W19" i="2"/>
  <c r="CM19" i="2"/>
  <c r="CE19" i="2" s="1"/>
  <c r="BN30" i="2"/>
  <c r="BM30" i="2" s="1"/>
  <c r="W30" i="2"/>
  <c r="CM30" i="2"/>
  <c r="CE30" i="2" s="1"/>
  <c r="BN36" i="2"/>
  <c r="BM36" i="2" s="1"/>
  <c r="W36" i="2"/>
  <c r="CM36" i="2"/>
  <c r="CE36" i="2" s="1"/>
  <c r="BN38" i="2"/>
  <c r="BM38" i="2" s="1"/>
  <c r="W38" i="2"/>
  <c r="CM38" i="2"/>
  <c r="CE38" i="2" s="1"/>
  <c r="CE27" i="1"/>
  <c r="CE35" i="1"/>
  <c r="CE30" i="1"/>
  <c r="CE40" i="1"/>
  <c r="BN26" i="1"/>
  <c r="BM26" i="1" s="1"/>
  <c r="CM26" i="1"/>
  <c r="CE26" i="1" s="1"/>
  <c r="W26" i="1"/>
  <c r="BN33" i="1"/>
  <c r="BM33" i="1" s="1"/>
  <c r="W33" i="1"/>
  <c r="CM33" i="1"/>
  <c r="CE33" i="1" s="1"/>
  <c r="BN21" i="1"/>
  <c r="BM21" i="1" s="1"/>
  <c r="W21" i="1"/>
  <c r="CM21" i="1"/>
  <c r="CE21" i="1" s="1"/>
  <c r="BN29" i="1"/>
  <c r="BM29" i="1" s="1"/>
  <c r="W29" i="1"/>
  <c r="CM29" i="1"/>
  <c r="CE29" i="1" s="1"/>
  <c r="BN31" i="1"/>
  <c r="BM31" i="1" s="1"/>
  <c r="W31" i="1"/>
  <c r="CM31" i="1"/>
  <c r="CE31" i="1" s="1"/>
  <c r="BN36" i="1"/>
  <c r="BM36" i="1" s="1"/>
  <c r="W36" i="1"/>
  <c r="CM36" i="1"/>
  <c r="CE36" i="1" s="1"/>
  <c r="BN22" i="1"/>
  <c r="BM22" i="1" s="1"/>
  <c r="CM22" i="1"/>
  <c r="CE22" i="1" s="1"/>
  <c r="W22" i="1"/>
  <c r="BN38" i="1"/>
  <c r="BM38" i="1" s="1"/>
  <c r="W38" i="1"/>
  <c r="CM38" i="1"/>
  <c r="CE38" i="1" s="1"/>
  <c r="E5" i="2" l="1"/>
  <c r="DU15" i="1"/>
  <c r="DM15" i="1"/>
  <c r="DN15" i="1" s="1"/>
  <c r="CW15" i="1"/>
  <c r="CR15" i="1"/>
  <c r="CS15" i="1" s="1"/>
  <c r="CQ15" i="1"/>
  <c r="CP15" i="1"/>
  <c r="CH15" i="1" s="1"/>
  <c r="CN15" i="1"/>
  <c r="CG15" i="1"/>
  <c r="CL15" i="1" s="1"/>
  <c r="BZ15" i="1"/>
  <c r="BU15" i="1"/>
  <c r="BT15" i="1"/>
  <c r="BO15" i="1"/>
  <c r="BL15" i="1"/>
  <c r="DU13" i="1"/>
  <c r="DM13" i="1"/>
  <c r="DN13" i="1" s="1"/>
  <c r="CW13" i="1"/>
  <c r="CR13" i="1"/>
  <c r="CV13" i="1" s="1"/>
  <c r="CQ13" i="1"/>
  <c r="CP13" i="1"/>
  <c r="CN13" i="1"/>
  <c r="CH13" i="1"/>
  <c r="CG13" i="1"/>
  <c r="CK13" i="1" s="1"/>
  <c r="BZ13" i="1"/>
  <c r="BU13" i="1"/>
  <c r="BT13" i="1"/>
  <c r="BO13" i="1"/>
  <c r="BL13" i="1"/>
  <c r="E6" i="1"/>
  <c r="CF13" i="1" l="1"/>
  <c r="DV13" i="1" s="1"/>
  <c r="CS13" i="1"/>
  <c r="CL13" i="1"/>
  <c r="CI15" i="1"/>
  <c r="CJ15" i="1" s="1"/>
  <c r="CK15" i="1"/>
  <c r="CV15" i="1"/>
  <c r="CI13" i="1"/>
  <c r="CJ13" i="1" s="1"/>
  <c r="CF15" i="1"/>
  <c r="DV15" i="1" l="1"/>
  <c r="BN13" i="1" l="1"/>
  <c r="BM13" i="1" s="1"/>
  <c r="CM13" i="1"/>
  <c r="CE13" i="1" s="1"/>
  <c r="BN15" i="1"/>
  <c r="BM15" i="1" s="1"/>
  <c r="CM15" i="1"/>
  <c r="CE15" i="1" s="1"/>
</calcChain>
</file>

<file path=xl/sharedStrings.xml><?xml version="1.0" encoding="utf-8"?>
<sst xmlns="http://schemas.openxmlformats.org/spreadsheetml/2006/main" count="1290" uniqueCount="246">
  <si>
    <t xml:space="preserve"> HỌC VIỆN HÀNH CHÍNH QUỐC GIA</t>
  </si>
  <si>
    <t>CỘNG HÒA XÃ HỘI CHỦ NGHĨA VIỆT NAM</t>
  </si>
  <si>
    <t>BAN TỔ CHỨC - CÁN BỘ</t>
  </si>
  <si>
    <t>Độc lập - Tự do - Hạnh phúc</t>
  </si>
  <si>
    <t>Tổng số:</t>
  </si>
  <si>
    <t>trường hợp</t>
  </si>
  <si>
    <t>và trên Website Học viện Hành chính Quốc gia kèm theo 02 văn bản mới dưới đây (liên quan đến một số thay đổi đối với một số ngạch):</t>
  </si>
  <si>
    <t xml:space="preserve">           </t>
  </si>
  <si>
    <t>(người tiếp nhận: Đỗ Văn Huyên, ĐT: 0438 359 295/ 0976 652 966).</t>
  </si>
  <si>
    <t>Tổng số CC, VC và NLĐ:</t>
  </si>
  <si>
    <t>công chức, viên chức</t>
  </si>
  <si>
    <t>01</t>
  </si>
  <si>
    <t>/</t>
  </si>
  <si>
    <t>7</t>
  </si>
  <si>
    <t>SỐ
TT</t>
  </si>
  <si>
    <t>HỌ TÊN</t>
  </si>
  <si>
    <t>GIỚI TÍNH</t>
  </si>
  <si>
    <t>ĐƠN VỊ</t>
  </si>
  <si>
    <t>NGẠCH/
CHỨC DANH NGHỀ NGHIỆP
VÀ MÃ SỐ</t>
  </si>
  <si>
    <t>NGẠCH</t>
  </si>
  <si>
    <t>MÃ SỐ NGẠCH</t>
  </si>
  <si>
    <t>ĐỦ ĐIỀU KIỆN, TIÊU CHUẨN NÂNG LƯƠNG</t>
  </si>
  <si>
    <t>GHI CHÚ</t>
  </si>
  <si>
    <t>Ghi 
chú</t>
  </si>
  <si>
    <t>GHI 
CHÚ</t>
  </si>
  <si>
    <t>Từ 
bậc</t>
  </si>
  <si>
    <t xml:space="preserve">Hệ số </t>
  </si>
  <si>
    <t>Lên 
bậc</t>
  </si>
  <si>
    <t>Hệ 
số</t>
  </si>
  <si>
    <t>Kể 
từ ngày</t>
  </si>
  <si>
    <t>lao động hợp đồng</t>
  </si>
  <si>
    <t>Bộ môn Khoa học hành chính,</t>
  </si>
  <si>
    <t>8</t>
  </si>
  <si>
    <t>2011</t>
  </si>
  <si>
    <t>I</t>
  </si>
  <si>
    <t>Nữ</t>
  </si>
  <si>
    <t>Khoa Văn bản và Công nghệ hành chính</t>
  </si>
  <si>
    <t>Chức danh nghề nghiệp</t>
  </si>
  <si>
    <t>Giảng viên (hạng III)</t>
  </si>
  <si>
    <t>V.07.01.03</t>
  </si>
  <si>
    <t>02</t>
  </si>
  <si>
    <t>%</t>
  </si>
  <si>
    <t>II</t>
  </si>
  <si>
    <t>Nam</t>
  </si>
  <si>
    <t>11</t>
  </si>
  <si>
    <t>Ngạch</t>
  </si>
  <si>
    <t>Chuyên viên</t>
  </si>
  <si>
    <t>25</t>
  </si>
  <si>
    <t>Bộ môn Ngoại ngữ</t>
  </si>
  <si>
    <t>2012</t>
  </si>
  <si>
    <t>19</t>
  </si>
  <si>
    <t>12</t>
  </si>
  <si>
    <t>Khoa Đào tạo, Bồi dưỡng công chức và Tại chức</t>
  </si>
  <si>
    <t>người lao động</t>
  </si>
  <si>
    <t>17</t>
  </si>
  <si>
    <t>Khoa Hành chính học</t>
  </si>
  <si>
    <t>21</t>
  </si>
  <si>
    <t>15</t>
  </si>
  <si>
    <t>Trưởng bộ môn</t>
  </si>
  <si>
    <t>Giảng viên chính (hạng II)</t>
  </si>
  <si>
    <t>V.07.01.02</t>
  </si>
  <si>
    <t>Bộ môn Kỹ thuật hành chính,</t>
  </si>
  <si>
    <t>10</t>
  </si>
  <si>
    <t>Bộ môn Văn bản hành chính,</t>
  </si>
  <si>
    <t>6</t>
  </si>
  <si>
    <t>Văn phòng Học viện</t>
  </si>
  <si>
    <t>08</t>
  </si>
  <si>
    <t>Cơ sở Học viện Hành chính Quốc gia tại Thành phố Hồ Chí Minh</t>
  </si>
  <si>
    <t>26</t>
  </si>
  <si>
    <t>4</t>
  </si>
  <si>
    <t>Phó Trưởng bộ môn</t>
  </si>
  <si>
    <t>Bộ môn Quản lý nhà nước về Kinh tế,</t>
  </si>
  <si>
    <t>Phòng Quản trị,</t>
  </si>
  <si>
    <t>Nhân viên kỹ thuật</t>
  </si>
  <si>
    <t>Văn phòng,</t>
  </si>
  <si>
    <t xml:space="preserve">Nơi nhận: </t>
  </si>
  <si>
    <t>KT. TRƯỞNG BAN</t>
  </si>
  <si>
    <t>- Các cơ sở, phân viện thuộc Học viện;</t>
  </si>
  <si>
    <t xml:space="preserve">PHÓ TRƯỞNG BAN </t>
  </si>
  <si>
    <t>- Trung tâm THHC&amp;CNTT (để đăng Website Học viện);</t>
  </si>
  <si>
    <t>(Đã ký)</t>
  </si>
  <si>
    <t>- Lưu: TC-CB.</t>
  </si>
  <si>
    <t>Nguyễn Thị Thu Vân</t>
  </si>
  <si>
    <r>
      <t xml:space="preserve"> </t>
    </r>
    <r>
      <rPr>
        <b/>
        <sz val="11"/>
        <rFont val="Arial Narrow"/>
        <family val="2"/>
      </rPr>
      <t xml:space="preserve">* </t>
    </r>
    <r>
      <rPr>
        <b/>
        <u/>
        <sz val="11"/>
        <rFont val="Arial Narrow"/>
        <family val="2"/>
      </rPr>
      <t>Lưu ý:</t>
    </r>
    <r>
      <rPr>
        <b/>
        <sz val="11"/>
        <rFont val="Arial Narrow"/>
        <family val="2"/>
      </rPr>
      <t xml:space="preserve">   </t>
    </r>
    <r>
      <rPr>
        <sz val="11"/>
        <rFont val="Arial Narrow"/>
        <family val="2"/>
      </rPr>
      <t xml:space="preserve">- Danh sách này thay cho thông báo, được công khai trên bảng tin nhà A tại trụ sở Học viện ở Hà Nội, bảng tin tại các cơ sở, phân viện thuộc Học viện </t>
    </r>
  </si>
  <si>
    <t xml:space="preserve"> </t>
  </si>
  <si>
    <t xml:space="preserve">Tổng số: </t>
  </si>
  <si>
    <t>nhà giáo</t>
  </si>
  <si>
    <t>Tháng</t>
  </si>
  <si>
    <r>
      <t xml:space="preserve">* </t>
    </r>
    <r>
      <rPr>
        <b/>
        <u/>
        <sz val="11"/>
        <rFont val="Arial Narrow"/>
        <family val="2"/>
      </rPr>
      <t>Lưu ý:</t>
    </r>
    <r>
      <rPr>
        <sz val="11"/>
        <rFont val="Arial Narrow"/>
        <family val="2"/>
      </rPr>
      <t xml:space="preserve"> - Danh sách này thay cho thông báo, được công khai trên bảng tin nhà A tại trụ sở Học viện ở Hà Nội, bảng tin tại các  cơ sở, </t>
    </r>
  </si>
  <si>
    <t xml:space="preserve">                 phân viện thuộc Học viện và trên Website Học viện Hành chính Quốc gia;</t>
  </si>
  <si>
    <t xml:space="preserve">                  (người tiếp nhận: Đỗ Văn Huyên, ĐT: 0438 359 295/ 0976 652 966).</t>
  </si>
  <si>
    <t>Tổng số nhà giáo:</t>
  </si>
  <si>
    <t>HỌ TÊN 
NHÀ GIÁO</t>
  </si>
  <si>
    <t>Ngày sinh</t>
  </si>
  <si>
    <t>ĐƠN VỊ CÔNG TÁC</t>
  </si>
  <si>
    <t>NGẠCH/ 
CHỨC DANH NGHỀ NGHIỆP
VÀ MÃ SỐ</t>
  </si>
  <si>
    <t>ĐỦ ĐIỀU KIỆN 
NÂNG PCTN</t>
  </si>
  <si>
    <t>ĐỦ ĐIỀU KIỆN NÂNG PCTN</t>
  </si>
  <si>
    <t>GHI
CHÚ</t>
  </si>
  <si>
    <t>Từ mức</t>
  </si>
  <si>
    <t>Lên mức</t>
  </si>
  <si>
    <t>Kể từ</t>
  </si>
  <si>
    <t>Thời gian Ko đc tính</t>
  </si>
  <si>
    <t>Thời gian giữ mức Pc</t>
  </si>
  <si>
    <t>Ds đủ ĐK nâng PC</t>
  </si>
  <si>
    <t>Kể từ 
tháng</t>
  </si>
  <si>
    <t>TT</t>
  </si>
  <si>
    <t>TEN</t>
  </si>
  <si>
    <t>GT</t>
  </si>
  <si>
    <t>BP</t>
  </si>
  <si>
    <t>DV</t>
  </si>
  <si>
    <t>Ma Ngach</t>
  </si>
  <si>
    <t>Pc1</t>
  </si>
  <si>
    <t>Pc2</t>
  </si>
  <si>
    <t>m</t>
  </si>
  <si>
    <t>y</t>
  </si>
  <si>
    <t>1</t>
  </si>
  <si>
    <t>29</t>
  </si>
  <si>
    <t>9</t>
  </si>
  <si>
    <t>1971</t>
  </si>
  <si>
    <t>Trưởng phòng</t>
  </si>
  <si>
    <t>28</t>
  </si>
  <si>
    <t>Giảng viên cao cấp (hạng I)</t>
  </si>
  <si>
    <t>1969</t>
  </si>
  <si>
    <t>Bộ môn Những nguyên lý cơ bản của Chủ nghĩa Mác - Lê nin,</t>
  </si>
  <si>
    <t>Khoa Lý luận cơ sở</t>
  </si>
  <si>
    <t>16</t>
  </si>
  <si>
    <t>03</t>
  </si>
  <si>
    <t>Khoa Quản lý nhà nước về Đô thị và Nông thôn</t>
  </si>
  <si>
    <t>PGS</t>
  </si>
  <si>
    <t>Dìu Đức Hà</t>
  </si>
  <si>
    <t>Bộ môn Nguyên lý Kinh tế,</t>
  </si>
  <si>
    <t>Khoa Quản lý nhà nước về Kinh tế</t>
  </si>
  <si>
    <t>3</t>
  </si>
  <si>
    <t>20</t>
  </si>
  <si>
    <t>Khoa Quản lý nhà nước về Xã hội</t>
  </si>
  <si>
    <t>Bộ môn Khoa học - Tôn giáo - An ninh,</t>
  </si>
  <si>
    <t>Trung tâm Tin học - Thư viện</t>
  </si>
  <si>
    <t>5</t>
  </si>
  <si>
    <t xml:space="preserve">(Đã ký) </t>
  </si>
  <si>
    <t>Phó Trưởng ban</t>
  </si>
  <si>
    <t>Ban Tổ chức - Cán bộ</t>
  </si>
  <si>
    <t>Nâng bậc PGS từ 02/2014</t>
  </si>
  <si>
    <t>Bùi Thị Thúy Hương</t>
  </si>
  <si>
    <t>Đặng Khắc Ánh</t>
  </si>
  <si>
    <t>Phó Trưởng khoa</t>
  </si>
  <si>
    <t>Nâng bậc khi bổ nhiệm PGS 02/2014</t>
  </si>
  <si>
    <t>Nguyễn Thị Anh Thư</t>
  </si>
  <si>
    <t>1970</t>
  </si>
  <si>
    <t>Lương Ban Mai</t>
  </si>
  <si>
    <t>18</t>
  </si>
  <si>
    <t xml:space="preserve">Bộ môn Lịch sử hành chính, </t>
  </si>
  <si>
    <t>Trương Quốc Chính</t>
  </si>
  <si>
    <t>Nguyễn Viết Định</t>
  </si>
  <si>
    <t>24</t>
  </si>
  <si>
    <t>Trần Thị Thoa</t>
  </si>
  <si>
    <t>1974</t>
  </si>
  <si>
    <t>Nguyễn Hoàng Quy</t>
  </si>
  <si>
    <t>Trang Thị Tuyết</t>
  </si>
  <si>
    <t>Nguyễn Thị Thu Hà</t>
  </si>
  <si>
    <t>23</t>
  </si>
  <si>
    <t>Bộ môn Lý luận chung quản lý nhà nước về Kinh tế,</t>
  </si>
  <si>
    <t>Đã nâng sớm</t>
  </si>
  <si>
    <t>Trùng tên</t>
  </si>
  <si>
    <t>Nguyễn Thị Thu Hà 81</t>
  </si>
  <si>
    <t>Bùi Thị Thùy Nhi</t>
  </si>
  <si>
    <t>04</t>
  </si>
  <si>
    <t>Nguyễn Hồng Hoàng</t>
  </si>
  <si>
    <t>Bộ môn Tổ chức nhân sự,</t>
  </si>
  <si>
    <t>Khoa Tổ chức và Quản lý nhân sự</t>
  </si>
  <si>
    <t>Hoàng Thị Hoài Hương</t>
  </si>
  <si>
    <t>1967</t>
  </si>
  <si>
    <t>Phạm Nguyên Nhung</t>
  </si>
  <si>
    <t>1981</t>
  </si>
  <si>
    <t>Đi học nước ngoài từ 10/11/2013 đến 09/8/2014</t>
  </si>
  <si>
    <t>Đi học nước ngoài</t>
  </si>
  <si>
    <t>Hiện hưởng PCTN NG mức 7 % từ tháng 6/2013, đi học nước ngoài 09 tháng từ 10/11/2013 đến 09/8/2014. Theo quy định pháp luật hiện hành, thời gian đi học (không tham gia giảng dạy), không được tính vào thời gian xét nâng PCTN nhà giáo.</t>
  </si>
  <si>
    <t>Trương Quang Vinh</t>
  </si>
  <si>
    <t>13</t>
  </si>
  <si>
    <t>1956</t>
  </si>
  <si>
    <t>Bộ môn Hành chính học,</t>
  </si>
  <si>
    <t>Nguyễn Văn Thắng</t>
  </si>
  <si>
    <t>09</t>
  </si>
  <si>
    <t>Phan Ngọc Tú</t>
  </si>
  <si>
    <t>1961</t>
  </si>
  <si>
    <t>Bộ môn Tổ chức và Quản lý nhân sự,</t>
  </si>
  <si>
    <t>Nguyễn Thế Tài</t>
  </si>
  <si>
    <t>14</t>
  </si>
  <si>
    <t>Phòng Đào tạo,</t>
  </si>
  <si>
    <r>
      <t>DANH SÁCH NHÀ GIÁO THUỘC HỌC VIỆN HÀNH CHÍNH QUỐC GIA ĐỦ ĐIỀU KIỆN NÂNG PHỤ CẤP THÂM NIÊN TRONG THÁNG 3</t>
    </r>
    <r>
      <rPr>
        <b/>
        <sz val="12"/>
        <color indexed="12"/>
        <rFont val="Arial Narrow"/>
        <family val="2"/>
      </rPr>
      <t xml:space="preserve"> NĂM 2015</t>
    </r>
  </si>
  <si>
    <t>A</t>
  </si>
  <si>
    <t>CÁC TRƯỜNG HỢP THỰC HIỆN NÂNG LƯƠNG TRONG THÁNG 3/2015</t>
  </si>
  <si>
    <t>Các trường hợp đủ điều kiện, tiêu chuẩn nâng bậc lương thường xuyên</t>
  </si>
  <si>
    <t>15.111</t>
  </si>
  <si>
    <t>Nguyễn Văn Thanh</t>
  </si>
  <si>
    <t>Phó Trưởng phòng</t>
  </si>
  <si>
    <t>Phòng Tổ chức - Hành chính,</t>
  </si>
  <si>
    <t>01.003</t>
  </si>
  <si>
    <t>Nguyễn Văn Thanh72</t>
  </si>
  <si>
    <t>Các trường hợp đủ điều kiện, tiêu chuẩn nâng phụ cấp thâm niên vượt khung</t>
  </si>
  <si>
    <t>Nguyễn Ngọc Đào</t>
  </si>
  <si>
    <t>1954</t>
  </si>
  <si>
    <t xml:space="preserve">PGS </t>
  </si>
  <si>
    <t>2010</t>
  </si>
  <si>
    <t>B</t>
  </si>
  <si>
    <t>CÁC TRƯỜNG HỢP TẠM DỪNG THỰC HIỆN NÂNG BẬC LƯƠNG THƯỜNG XUYÊN (ĐẾN SAU KHI XÉT NÂNG BẬC LƯƠNG TRƯỚC THỜI HẠN NĂM 2014)</t>
  </si>
  <si>
    <t>Đào Thị Hợp</t>
  </si>
  <si>
    <t>Hoàng Thị Hường</t>
  </si>
  <si>
    <t>30</t>
  </si>
  <si>
    <t>Trịnh Minh Huyền</t>
  </si>
  <si>
    <t>1964</t>
  </si>
  <si>
    <t>Phòng Đào tạo, bồi dưỡng theo chức danh,</t>
  </si>
  <si>
    <t>Nguyễn Trung Thành</t>
  </si>
  <si>
    <t xml:space="preserve">Nguyễn Thị Minh Phượng </t>
  </si>
  <si>
    <t>Thư viện,</t>
  </si>
  <si>
    <t>Thư viện viên</t>
  </si>
  <si>
    <t>Nguyễn Thị Bích Nga</t>
  </si>
  <si>
    <t>Phòng Hành chính - Tổng hợp,</t>
  </si>
  <si>
    <t>Kỹ thuật viên</t>
  </si>
  <si>
    <t>Ko hạn</t>
  </si>
  <si>
    <t>Nguyễn Mạnh Tuân</t>
  </si>
  <si>
    <t>05</t>
  </si>
  <si>
    <t>Vũ Trọng Nam</t>
  </si>
  <si>
    <t>Lê Trung Phước</t>
  </si>
  <si>
    <t>Phòng Hành chính - Tổ chức - Tổng hợp,</t>
  </si>
  <si>
    <t>Cơ sở Học viện Hành chính Quốc gia khu vực miền Trung</t>
  </si>
  <si>
    <t>Phan Thị Bích Hiền</t>
  </si>
  <si>
    <t>Nguyễn Văn Châu Tuấn</t>
  </si>
  <si>
    <t>Phòng Thông tin - Tư liệu - Thư viện,</t>
  </si>
  <si>
    <t>Trần Thanh Kỳ</t>
  </si>
  <si>
    <t>Nguyễn Văn Mon</t>
  </si>
  <si>
    <t>Nhân viên bảo vệ</t>
  </si>
  <si>
    <r>
      <t>DANH SÁCH CÔNG CHỨC, VIÊN CHỨC VÀ NGƯỜI LAO ĐỘNG THUỘC HỌC VIỆN HÀNH CHÍNH QUỐC GIA 
ĐỦ ĐIỀU KIỆN, TIÊU CHUẨN NÂNG LƯƠNG TRONG THÁNG</t>
    </r>
    <r>
      <rPr>
        <b/>
        <sz val="12"/>
        <color indexed="12"/>
        <rFont val="Arial Narrow"/>
        <family val="2"/>
      </rPr>
      <t xml:space="preserve"> 3</t>
    </r>
    <r>
      <rPr>
        <b/>
        <sz val="12"/>
        <rFont val="Arial Narrow"/>
        <family val="2"/>
      </rPr>
      <t xml:space="preserve"> NĂM </t>
    </r>
    <r>
      <rPr>
        <b/>
        <sz val="12"/>
        <color indexed="12"/>
        <rFont val="Arial Narrow"/>
        <family val="2"/>
      </rPr>
      <t>2015</t>
    </r>
  </si>
  <si>
    <t>Trần Thúy Vân</t>
  </si>
  <si>
    <t>Bộ môn Thể chế nhà nước,</t>
  </si>
  <si>
    <t>Khoa Nhà nước và Pháp luật</t>
  </si>
  <si>
    <t>đi học nước ngoài từ 28/9/2012- 28/10/2012</t>
  </si>
  <si>
    <t>Đi học</t>
  </si>
  <si>
    <t>Nguyễn Thanh Tùng</t>
  </si>
  <si>
    <t>Đi học 28/01/2013-14/12/2014</t>
  </si>
  <si>
    <t>Hiện hưởng lương bậc 2/9, hệ số 2,67 từ 01/3/2010. Đã trở lại công tác tại Học viện sau khi hoàn thành khóa đào tạo ở nước ngoài từ 28/01/2013 đến 14/12/2014. Theo Thông tư số: 08/2013/TT-BNV, thời gian đi học được tính vào thời gian xét nâng bậc lương thường xuyên.</t>
  </si>
  <si>
    <t>Hà Nội, ngày 18 tháng 3 năm 2015</t>
  </si>
  <si>
    <r>
      <t xml:space="preserve">          - Các ý kiến thắc mắc liên quan (nếu có), đề nghị phản hồi tới Ban Tổ chức - Cán bộ trước ngày</t>
    </r>
    <r>
      <rPr>
        <b/>
        <sz val="11"/>
        <rFont val="Arial Narrow"/>
        <family val="2"/>
      </rPr>
      <t xml:space="preserve"> </t>
    </r>
    <r>
      <rPr>
        <b/>
        <sz val="11"/>
        <color indexed="12"/>
        <rFont val="Arial Narrow"/>
        <family val="2"/>
      </rPr>
      <t xml:space="preserve"> 27/3/2015</t>
    </r>
  </si>
  <si>
    <t>Hiện hưởng PCTN  mức 8% từ tháng 8/2013. Đi học nước ngoài từ 28/9/2012 đến 28/10/2012 (01 tháng). Thời gian đi học (không tham gia giảng dạy) không được tính vào thời gian xét nâng PCTN nhà giáo.</t>
  </si>
  <si>
    <r>
      <t xml:space="preserve">                - Các ý kiến thắc mắc liên quan (nếu có), đề nghị phản hồi tới Ban Tổ chức - Cán bộ trước ngày</t>
    </r>
    <r>
      <rPr>
        <b/>
        <sz val="11"/>
        <rFont val="Arial Narrow"/>
        <family val="2"/>
      </rPr>
      <t xml:space="preserve"> 27/3</t>
    </r>
    <r>
      <rPr>
        <b/>
        <sz val="11"/>
        <color indexed="12"/>
        <rFont val="Arial Narrow"/>
        <family val="2"/>
      </rPr>
      <t>/2015</t>
    </r>
  </si>
  <si>
    <t xml:space="preserve">        - Thực hiện chỉ đạo của lãnh đạo Học viện, Ban TC- CB lập và thông báo công khai Danh sách này bao gồm tất cả các trường hợp đủ điều kiện, tiêu chuẩn nâng lương trong tháng 3/2015. Trong đó, Học viện tạm dừng thực hiện nâng bậc lương thường xuyên đối với các trường hợp thuộc đối tượng đủ điều kiện xét nâng bậc lương trước thời hạn năm 2014 do lập thành tích xuất sắc trong thực hiện nhiệm vụ (chi tiết tại Phần II Danh sách này). </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</si>
</sst>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scheme val="minor"/>
    </font>
    <font>
      <b/>
      <sz val="11"/>
      <name val="Arial Narrow"/>
      <family val="2"/>
    </font>
    <font>
      <sz val="11"/>
      <name val="Arial Narrow"/>
      <family val="2"/>
    </font>
    <font>
      <b/>
      <sz val="12"/>
      <name val="Arial Narrow"/>
      <family val="2"/>
    </font>
    <font>
      <i/>
      <sz val="12"/>
      <name val="Arial Narrow"/>
      <family val="2"/>
    </font>
    <font>
      <i/>
      <sz val="11"/>
      <color indexed="12"/>
      <name val="Arial Narrow"/>
      <family val="2"/>
    </font>
    <font>
      <b/>
      <sz val="12"/>
      <color indexed="12"/>
      <name val="Arial Narrow"/>
      <family val="2"/>
    </font>
    <font>
      <sz val="12"/>
      <name val="Arial Narrow"/>
      <family val="2"/>
    </font>
    <font>
      <sz val="14"/>
      <color indexed="8"/>
      <name val="Times New Roman"/>
      <family val="1"/>
    </font>
    <font>
      <b/>
      <sz val="11"/>
      <color indexed="12"/>
      <name val="Arial Narrow"/>
      <family val="2"/>
    </font>
    <font>
      <b/>
      <sz val="11"/>
      <color indexed="8"/>
      <name val="Arial Narrow"/>
      <family val="2"/>
    </font>
    <font>
      <b/>
      <sz val="11"/>
      <color indexed="13"/>
      <name val="Arial Narrow"/>
      <family val="2"/>
    </font>
    <font>
      <b/>
      <sz val="11"/>
      <color indexed="58"/>
      <name val="Arial Narrow"/>
      <family val="2"/>
    </font>
    <font>
      <b/>
      <sz val="11"/>
      <color indexed="16"/>
      <name val="Arial Narrow"/>
      <family val="2"/>
    </font>
    <font>
      <b/>
      <sz val="10"/>
      <name val="Arial Narrow"/>
      <family val="2"/>
    </font>
    <font>
      <b/>
      <u/>
      <sz val="11"/>
      <name val="Arial Narrow"/>
      <family val="2"/>
    </font>
    <font>
      <sz val="11"/>
      <color indexed="12"/>
      <name val="Arial Narrow"/>
      <family val="2"/>
    </font>
    <font>
      <sz val="11"/>
      <color indexed="8"/>
      <name val="Arial Narrow"/>
      <family val="2"/>
    </font>
    <font>
      <sz val="11"/>
      <color indexed="13"/>
      <name val="Arial Narrow"/>
      <family val="2"/>
    </font>
    <font>
      <sz val="11"/>
      <color indexed="58"/>
      <name val="Arial Narrow"/>
      <family val="2"/>
    </font>
    <font>
      <sz val="11"/>
      <color indexed="16"/>
      <name val="Arial Narrow"/>
      <family val="2"/>
    </font>
    <font>
      <i/>
      <sz val="11"/>
      <name val="Arial Narrow"/>
      <family val="2"/>
    </font>
    <font>
      <sz val="11"/>
      <color indexed="10"/>
      <name val="Arial Narrow"/>
      <family val="2"/>
    </font>
    <font>
      <b/>
      <sz val="11"/>
      <color indexed="9"/>
      <name val="Arial Narrow"/>
      <family val="2"/>
    </font>
    <font>
      <sz val="10"/>
      <name val="Arial Narrow"/>
      <family val="2"/>
    </font>
    <font>
      <sz val="10"/>
      <color indexed="8"/>
      <name val="Arial Narrow"/>
      <family val="2"/>
    </font>
    <font>
      <b/>
      <sz val="10"/>
      <name val="Arial"/>
      <family val="2"/>
    </font>
    <font>
      <i/>
      <sz val="10"/>
      <name val="Arial"/>
      <family val="2"/>
    </font>
    <font>
      <b/>
      <sz val="11"/>
      <color indexed="10"/>
      <name val="Arial Narrow"/>
      <family val="2"/>
    </font>
    <font>
      <b/>
      <i/>
      <sz val="11"/>
      <name val="Arial Narrow"/>
      <family val="2"/>
    </font>
    <font>
      <b/>
      <sz val="12"/>
      <name val="Arial"/>
      <family val="2"/>
    </font>
    <font>
      <sz val="8"/>
      <name val="Arial Narrow"/>
      <family val="2"/>
    </font>
    <font>
      <b/>
      <sz val="12"/>
      <color indexed="8"/>
      <name val="Arial Narrow"/>
      <family val="2"/>
    </font>
    <font>
      <b/>
      <sz val="8"/>
      <color indexed="12"/>
      <name val="Arial Narrow"/>
      <family val="2"/>
    </font>
    <font>
      <b/>
      <sz val="8"/>
      <name val="Arial Narrow"/>
      <family val="2"/>
    </font>
    <font>
      <sz val="8"/>
      <color indexed="12"/>
      <name val="Arial Narrow"/>
      <family val="2"/>
    </font>
    <font>
      <b/>
      <i/>
      <sz val="12"/>
      <color indexed="9"/>
      <name val="Arial Narrow"/>
      <family val="2"/>
    </font>
    <font>
      <b/>
      <sz val="13"/>
      <name val="Arial"/>
      <family val="2"/>
    </font>
    <font>
      <b/>
      <sz val="13"/>
      <name val="Arial Narrow"/>
      <family val="2"/>
    </font>
    <font>
      <b/>
      <sz val="11"/>
      <color theme="0"/>
      <name val="Arial Narrow"/>
      <family val="2"/>
    </font>
    <font>
      <sz val="11"/>
      <color theme="0"/>
      <name val="Arial Narrow"/>
      <family val="2"/>
    </font>
    <font>
      <i/>
      <sz val="10"/>
      <color theme="0"/>
      <name val="Arial"/>
      <family val="2"/>
    </font>
    <font>
      <sz val="12"/>
      <color theme="0"/>
      <name val="Arial Narrow"/>
      <family val="2"/>
    </font>
    <font>
      <b/>
      <sz val="12"/>
      <color theme="0"/>
      <name val="Arial Narrow"/>
      <family val="2"/>
    </font>
    <font>
      <sz val="8"/>
      <color theme="0"/>
      <name val="Arial Narrow"/>
      <family val="2"/>
    </font>
    <font>
      <sz val="9"/>
      <color theme="0"/>
      <name val="Arial Narrow"/>
      <family val="2"/>
    </font>
    <font>
      <b/>
      <sz val="8"/>
      <color theme="0"/>
      <name val="Arial Narrow"/>
      <family val="2"/>
    </font>
    <font>
      <b/>
      <i/>
      <sz val="11"/>
      <color indexed="12"/>
      <name val="Arial Narrow"/>
      <family val="2"/>
    </font>
    <font>
      <b/>
      <i/>
      <sz val="12"/>
      <name val="Arial"/>
      <family val="2"/>
    </font>
    <font>
      <sz val="10"/>
      <name val="Arial"/>
      <family val="2"/>
    </font>
    <font>
      <b/>
      <i/>
      <sz val="12"/>
      <color rgb="FF0000FF"/>
      <name val="Arial Narrow"/>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indexed="12"/>
        <bgColor indexed="64"/>
      </patternFill>
    </fill>
    <fill>
      <patternFill patternType="solid">
        <fgColor rgb="FFCCFFFF"/>
        <bgColor indexed="64"/>
      </patternFill>
    </fill>
    <fill>
      <patternFill patternType="solid">
        <fgColor theme="2"/>
        <bgColor indexed="64"/>
      </patternFill>
    </fill>
  </fills>
  <borders count="43">
    <border>
      <left/>
      <right/>
      <top/>
      <bottom/>
      <diagonal/>
    </border>
    <border>
      <left style="double">
        <color indexed="64"/>
      </left>
      <right/>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otted">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cellStyleXfs>
  <cellXfs count="772">
    <xf numFmtId="0" fontId="0" fillId="0" borderId="0" xfId="0"/>
    <xf numFmtId="0" fontId="1" fillId="2" borderId="0" xfId="0" applyNumberFormat="1" applyFont="1" applyFill="1" applyAlignment="1">
      <alignment horizontal="center" vertical="center" wrapText="1"/>
    </xf>
    <xf numFmtId="0" fontId="2" fillId="0" borderId="0" xfId="0" applyFont="1" applyAlignment="1"/>
    <xf numFmtId="49" fontId="1" fillId="2" borderId="0" xfId="0" applyNumberFormat="1" applyFont="1" applyFill="1" applyBorder="1" applyAlignment="1">
      <alignment horizontal="center" vertical="center" wrapText="1"/>
    </xf>
    <xf numFmtId="2" fontId="1" fillId="2" borderId="0" xfId="0" applyNumberFormat="1" applyFont="1" applyFill="1" applyAlignment="1">
      <alignment horizontal="center" vertical="center"/>
    </xf>
    <xf numFmtId="0" fontId="1" fillId="0" borderId="0" xfId="0" applyFont="1" applyAlignment="1"/>
    <xf numFmtId="0" fontId="2" fillId="2" borderId="0" xfId="0" applyNumberFormat="1" applyFont="1" applyFill="1" applyAlignment="1">
      <alignment horizontal="center" wrapText="1"/>
    </xf>
    <xf numFmtId="0" fontId="2" fillId="2" borderId="0" xfId="0" applyNumberFormat="1" applyFont="1" applyFill="1" applyAlignment="1">
      <alignment horizontal="left" wrapText="1"/>
    </xf>
    <xf numFmtId="49" fontId="1" fillId="2" borderId="0" xfId="0" applyNumberFormat="1" applyFont="1" applyFill="1" applyBorder="1" applyAlignment="1">
      <alignment horizontal="left" wrapText="1"/>
    </xf>
    <xf numFmtId="49" fontId="1" fillId="2" borderId="0" xfId="0" applyNumberFormat="1" applyFont="1" applyFill="1" applyBorder="1" applyAlignment="1">
      <alignment horizontal="center" wrapText="1"/>
    </xf>
    <xf numFmtId="2" fontId="5" fillId="2" borderId="0" xfId="0" applyNumberFormat="1" applyFont="1" applyFill="1" applyAlignment="1"/>
    <xf numFmtId="2" fontId="2" fillId="2" borderId="0" xfId="0" applyNumberFormat="1" applyFont="1" applyFill="1" applyAlignment="1"/>
    <xf numFmtId="2" fontId="7" fillId="2" borderId="0" xfId="0" applyNumberFormat="1" applyFont="1" applyFill="1" applyAlignment="1">
      <alignment vertical="center"/>
    </xf>
    <xf numFmtId="0" fontId="7" fillId="0" borderId="0" xfId="0" applyFont="1" applyAlignment="1">
      <alignment horizontal="center" vertical="center"/>
    </xf>
    <xf numFmtId="0" fontId="8" fillId="2" borderId="0" xfId="0" applyFont="1" applyFill="1" applyAlignment="1">
      <alignment vertical="center" wrapText="1"/>
    </xf>
    <xf numFmtId="3" fontId="8" fillId="2" borderId="0" xfId="0" applyNumberFormat="1"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xf>
    <xf numFmtId="49" fontId="7" fillId="0" borderId="0" xfId="0" applyNumberFormat="1" applyFont="1" applyAlignment="1">
      <alignment vertical="center"/>
    </xf>
    <xf numFmtId="0" fontId="7" fillId="3" borderId="0" xfId="0" applyFont="1" applyFill="1" applyAlignment="1">
      <alignment vertical="center"/>
    </xf>
    <xf numFmtId="0" fontId="7" fillId="2" borderId="0" xfId="0" applyFont="1" applyFill="1" applyAlignment="1">
      <alignment vertical="center"/>
    </xf>
    <xf numFmtId="0" fontId="1" fillId="2" borderId="0" xfId="0" applyFont="1" applyFill="1" applyBorder="1" applyAlignment="1"/>
    <xf numFmtId="0" fontId="1" fillId="2"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xf numFmtId="0" fontId="1" fillId="2" borderId="0" xfId="0" applyFont="1" applyFill="1" applyBorder="1" applyAlignment="1">
      <alignment horizontal="left"/>
    </xf>
    <xf numFmtId="0" fontId="1" fillId="0" borderId="0" xfId="0" applyFont="1" applyBorder="1" applyAlignment="1">
      <alignment horizontal="left"/>
    </xf>
    <xf numFmtId="2" fontId="9" fillId="2" borderId="0" xfId="0" applyNumberFormat="1" applyFont="1" applyFill="1" applyBorder="1" applyAlignment="1">
      <alignment horizontal="right"/>
    </xf>
    <xf numFmtId="2" fontId="9" fillId="2" borderId="0" xfId="0" applyNumberFormat="1" applyFont="1" applyFill="1" applyBorder="1" applyAlignment="1">
      <alignment horizontal="left" wrapText="1"/>
    </xf>
    <xf numFmtId="2" fontId="9" fillId="2" borderId="0" xfId="0" applyNumberFormat="1" applyFont="1" applyFill="1" applyBorder="1" applyAlignment="1">
      <alignment horizontal="center"/>
    </xf>
    <xf numFmtId="0" fontId="9" fillId="2" borderId="0" xfId="0" applyFont="1" applyFill="1" applyBorder="1" applyAlignment="1">
      <alignment horizontal="left"/>
    </xf>
    <xf numFmtId="49" fontId="9" fillId="2" borderId="0" xfId="0" applyNumberFormat="1" applyFont="1" applyFill="1" applyBorder="1" applyAlignment="1">
      <alignment horizontal="center"/>
    </xf>
    <xf numFmtId="0" fontId="1" fillId="0" borderId="0" xfId="0" applyNumberFormat="1" applyFont="1" applyBorder="1" applyAlignment="1"/>
    <xf numFmtId="0" fontId="9" fillId="0" borderId="0" xfId="0" applyNumberFormat="1" applyFont="1" applyBorder="1" applyAlignment="1"/>
    <xf numFmtId="0" fontId="9" fillId="0" borderId="0" xfId="0" applyNumberFormat="1" applyFont="1" applyBorder="1" applyAlignment="1">
      <alignment horizontal="left"/>
    </xf>
    <xf numFmtId="2" fontId="9" fillId="0" borderId="0" xfId="0" applyNumberFormat="1" applyFont="1" applyBorder="1" applyAlignment="1">
      <alignment horizontal="center"/>
    </xf>
    <xf numFmtId="1" fontId="9" fillId="0" borderId="0" xfId="0" applyNumberFormat="1" applyFont="1" applyBorder="1" applyAlignment="1">
      <alignment horizontal="right"/>
    </xf>
    <xf numFmtId="2" fontId="9" fillId="0" borderId="0" xfId="0" applyNumberFormat="1" applyFont="1" applyBorder="1" applyAlignment="1"/>
    <xf numFmtId="1" fontId="10" fillId="0" borderId="0" xfId="0" applyNumberFormat="1" applyFont="1" applyBorder="1" applyAlignment="1">
      <alignment horizontal="center" wrapText="1"/>
    </xf>
    <xf numFmtId="0" fontId="11" fillId="2" borderId="0" xfId="0" applyNumberFormat="1" applyFont="1" applyFill="1" applyBorder="1" applyAlignment="1">
      <alignment horizontal="center"/>
    </xf>
    <xf numFmtId="49" fontId="12" fillId="0" borderId="0" xfId="0" applyNumberFormat="1" applyFont="1" applyBorder="1" applyAlignment="1"/>
    <xf numFmtId="1" fontId="1" fillId="2" borderId="0" xfId="0" applyNumberFormat="1" applyFont="1" applyFill="1" applyBorder="1" applyAlignment="1">
      <alignment horizontal="center"/>
    </xf>
    <xf numFmtId="2" fontId="1" fillId="0" borderId="0" xfId="0" applyNumberFormat="1" applyFont="1" applyBorder="1" applyAlignment="1">
      <alignment horizontal="center"/>
    </xf>
    <xf numFmtId="1" fontId="9" fillId="2" borderId="0" xfId="0" applyNumberFormat="1" applyFont="1" applyFill="1" applyBorder="1" applyAlignment="1"/>
    <xf numFmtId="2" fontId="1" fillId="0" borderId="0" xfId="0" applyNumberFormat="1" applyFont="1" applyBorder="1" applyAlignment="1"/>
    <xf numFmtId="0" fontId="9" fillId="0" borderId="0" xfId="0" applyFont="1" applyBorder="1" applyAlignment="1">
      <alignment horizontal="center"/>
    </xf>
    <xf numFmtId="2" fontId="13" fillId="2" borderId="0" xfId="0" applyNumberFormat="1" applyFont="1" applyFill="1" applyBorder="1" applyAlignment="1"/>
    <xf numFmtId="2" fontId="13" fillId="2" borderId="0" xfId="0" applyNumberFormat="1" applyFont="1" applyFill="1" applyBorder="1" applyAlignment="1">
      <alignment horizontal="right"/>
    </xf>
    <xf numFmtId="0" fontId="9" fillId="0" borderId="0" xfId="0" applyFont="1" applyBorder="1" applyAlignment="1"/>
    <xf numFmtId="0" fontId="13" fillId="0" borderId="0" xfId="0" applyFont="1" applyBorder="1" applyAlignment="1"/>
    <xf numFmtId="2" fontId="9" fillId="0" borderId="0" xfId="0" applyNumberFormat="1" applyFont="1" applyBorder="1" applyAlignment="1">
      <alignment horizontal="right"/>
    </xf>
    <xf numFmtId="1" fontId="14" fillId="2" borderId="0" xfId="0" applyNumberFormat="1" applyFont="1" applyFill="1" applyAlignment="1"/>
    <xf numFmtId="2" fontId="1" fillId="2" borderId="0" xfId="0" applyNumberFormat="1" applyFont="1" applyFill="1" applyAlignment="1"/>
    <xf numFmtId="0" fontId="1" fillId="0" borderId="0" xfId="0" applyFont="1" applyAlignment="1">
      <alignment horizontal="center"/>
    </xf>
    <xf numFmtId="0" fontId="1" fillId="0" borderId="0" xfId="0" applyFont="1" applyAlignment="1">
      <alignment wrapText="1"/>
    </xf>
    <xf numFmtId="49" fontId="1" fillId="0" borderId="0" xfId="0" applyNumberFormat="1" applyFont="1" applyAlignment="1"/>
    <xf numFmtId="0" fontId="1" fillId="3" borderId="0" xfId="0" applyFont="1" applyFill="1" applyAlignment="1"/>
    <xf numFmtId="0" fontId="1" fillId="2" borderId="0" xfId="0" applyFont="1" applyFill="1" applyAlignment="1"/>
    <xf numFmtId="0" fontId="2" fillId="2" borderId="0" xfId="0" applyNumberFormat="1" applyFont="1" applyFill="1" applyBorder="1" applyAlignment="1">
      <alignment vertical="top"/>
    </xf>
    <xf numFmtId="0" fontId="2" fillId="0" borderId="0" xfId="0" applyNumberFormat="1" applyFont="1" applyBorder="1" applyAlignment="1">
      <alignment horizontal="left" vertical="top"/>
    </xf>
    <xf numFmtId="0" fontId="2" fillId="0" borderId="0" xfId="0" applyNumberFormat="1" applyFont="1" applyBorder="1" applyAlignment="1">
      <alignment vertical="top"/>
    </xf>
    <xf numFmtId="0" fontId="2" fillId="2" borderId="0" xfId="0" applyNumberFormat="1" applyFont="1" applyFill="1" applyBorder="1" applyAlignment="1">
      <alignment horizontal="center" vertical="top"/>
    </xf>
    <xf numFmtId="0" fontId="2" fillId="0" borderId="0" xfId="0" applyNumberFormat="1" applyFont="1" applyBorder="1" applyAlignment="1">
      <alignment horizontal="right" vertical="top"/>
    </xf>
    <xf numFmtId="0" fontId="2" fillId="2" borderId="0" xfId="0" applyNumberFormat="1" applyFont="1" applyFill="1" applyBorder="1" applyAlignment="1">
      <alignment horizontal="left" vertical="top"/>
    </xf>
    <xf numFmtId="0" fontId="16" fillId="2" borderId="0" xfId="0" applyNumberFormat="1" applyFont="1" applyFill="1" applyBorder="1" applyAlignment="1">
      <alignment horizontal="right" vertical="top"/>
    </xf>
    <xf numFmtId="0" fontId="16" fillId="2" borderId="0" xfId="0" applyNumberFormat="1" applyFont="1" applyFill="1" applyBorder="1" applyAlignment="1">
      <alignment horizontal="left" vertical="top" wrapText="1"/>
    </xf>
    <xf numFmtId="0" fontId="16" fillId="2" borderId="0" xfId="0" applyNumberFormat="1" applyFont="1" applyFill="1" applyBorder="1" applyAlignment="1">
      <alignment horizontal="center" vertical="top"/>
    </xf>
    <xf numFmtId="0" fontId="16" fillId="2" borderId="0" xfId="0" applyNumberFormat="1" applyFont="1" applyFill="1" applyBorder="1" applyAlignment="1">
      <alignment horizontal="left" vertical="top"/>
    </xf>
    <xf numFmtId="0" fontId="16" fillId="0" borderId="0" xfId="0" applyNumberFormat="1" applyFont="1" applyBorder="1" applyAlignment="1">
      <alignment vertical="top"/>
    </xf>
    <xf numFmtId="0" fontId="16" fillId="0" borderId="0" xfId="0" applyNumberFormat="1" applyFont="1" applyBorder="1" applyAlignment="1">
      <alignment horizontal="left" vertical="top"/>
    </xf>
    <xf numFmtId="0" fontId="16" fillId="0" borderId="0" xfId="0" applyNumberFormat="1" applyFont="1" applyBorder="1" applyAlignment="1">
      <alignment horizontal="center" vertical="top"/>
    </xf>
    <xf numFmtId="0" fontId="16" fillId="0" borderId="0" xfId="0" applyNumberFormat="1" applyFont="1" applyBorder="1" applyAlignment="1">
      <alignment horizontal="right" vertical="top"/>
    </xf>
    <xf numFmtId="0" fontId="2" fillId="2" borderId="0" xfId="0" applyNumberFormat="1" applyFont="1" applyFill="1" applyBorder="1" applyAlignment="1">
      <alignment horizontal="right" vertical="top"/>
    </xf>
    <xf numFmtId="0" fontId="2" fillId="2" borderId="0" xfId="0" applyNumberFormat="1" applyFont="1" applyFill="1" applyBorder="1" applyAlignment="1">
      <alignment horizontal="center" vertical="top" wrapText="1"/>
    </xf>
    <xf numFmtId="0" fontId="2" fillId="2" borderId="0" xfId="0" applyNumberFormat="1" applyFont="1" applyFill="1" applyBorder="1" applyAlignment="1">
      <alignment horizontal="left" vertical="top" wrapText="1"/>
    </xf>
    <xf numFmtId="0" fontId="17" fillId="0" borderId="0" xfId="0" applyNumberFormat="1" applyFont="1" applyBorder="1" applyAlignment="1">
      <alignment horizontal="center" vertical="top" wrapText="1"/>
    </xf>
    <xf numFmtId="0" fontId="18" fillId="2" borderId="0" xfId="0" applyNumberFormat="1" applyFont="1" applyFill="1" applyBorder="1" applyAlignment="1">
      <alignment horizontal="center" vertical="top"/>
    </xf>
    <xf numFmtId="0" fontId="19" fillId="0" borderId="0" xfId="0" applyNumberFormat="1" applyFont="1" applyBorder="1" applyAlignment="1">
      <alignment vertical="top"/>
    </xf>
    <xf numFmtId="0" fontId="1" fillId="2" borderId="0" xfId="0" applyNumberFormat="1" applyFont="1" applyFill="1" applyBorder="1" applyAlignment="1">
      <alignment horizontal="center" vertical="top"/>
    </xf>
    <xf numFmtId="0" fontId="2" fillId="0" borderId="0" xfId="0" applyNumberFormat="1" applyFont="1" applyBorder="1" applyAlignment="1">
      <alignment horizontal="center" vertical="top"/>
    </xf>
    <xf numFmtId="0" fontId="16" fillId="2" borderId="0" xfId="0" applyNumberFormat="1" applyFont="1" applyFill="1" applyBorder="1" applyAlignment="1">
      <alignment vertical="top"/>
    </xf>
    <xf numFmtId="0" fontId="9" fillId="0" borderId="0" xfId="0" applyNumberFormat="1" applyFont="1" applyBorder="1" applyAlignment="1">
      <alignment horizontal="center" vertical="top"/>
    </xf>
    <xf numFmtId="0" fontId="9" fillId="2" borderId="0" xfId="0" applyNumberFormat="1" applyFont="1" applyFill="1" applyBorder="1" applyAlignment="1">
      <alignment vertical="top"/>
    </xf>
    <xf numFmtId="0" fontId="20" fillId="2" borderId="0" xfId="0" applyNumberFormat="1" applyFont="1" applyFill="1" applyBorder="1" applyAlignment="1">
      <alignment vertical="top"/>
    </xf>
    <xf numFmtId="0" fontId="20" fillId="2" borderId="0" xfId="0" applyNumberFormat="1" applyFont="1" applyFill="1" applyBorder="1" applyAlignment="1">
      <alignment horizontal="right" vertical="top"/>
    </xf>
    <xf numFmtId="0" fontId="20" fillId="0" borderId="0" xfId="0" applyNumberFormat="1" applyFont="1" applyBorder="1" applyAlignment="1">
      <alignment vertical="top"/>
    </xf>
    <xf numFmtId="0" fontId="2" fillId="2" borderId="0" xfId="0" applyNumberFormat="1" applyFont="1" applyFill="1" applyAlignment="1">
      <alignment vertical="top"/>
    </xf>
    <xf numFmtId="0" fontId="2" fillId="0" borderId="0" xfId="0" applyNumberFormat="1" applyFont="1" applyAlignment="1">
      <alignment horizontal="center" vertical="top"/>
    </xf>
    <xf numFmtId="0" fontId="17" fillId="2" borderId="0" xfId="0" applyNumberFormat="1" applyFont="1" applyFill="1" applyAlignment="1">
      <alignment vertical="top" wrapText="1"/>
    </xf>
    <xf numFmtId="0" fontId="2" fillId="0" borderId="0" xfId="0" applyNumberFormat="1" applyFont="1" applyAlignment="1">
      <alignment vertical="top" wrapText="1"/>
    </xf>
    <xf numFmtId="0" fontId="2" fillId="0" borderId="0" xfId="0" applyNumberFormat="1" applyFont="1" applyAlignment="1">
      <alignment vertical="top"/>
    </xf>
    <xf numFmtId="0" fontId="2" fillId="3" borderId="0" xfId="0" applyNumberFormat="1" applyFont="1" applyFill="1" applyAlignment="1">
      <alignment vertical="top"/>
    </xf>
    <xf numFmtId="0" fontId="21" fillId="2" borderId="0" xfId="0" applyNumberFormat="1" applyFont="1" applyFill="1" applyBorder="1" applyAlignment="1">
      <alignment vertical="top"/>
    </xf>
    <xf numFmtId="0" fontId="21" fillId="0" borderId="0" xfId="0" applyNumberFormat="1" applyFont="1" applyAlignment="1">
      <alignment vertical="top"/>
    </xf>
    <xf numFmtId="0" fontId="21" fillId="0" borderId="0" xfId="0" applyNumberFormat="1" applyFont="1" applyBorder="1" applyAlignment="1">
      <alignment vertical="top" wrapText="1"/>
    </xf>
    <xf numFmtId="0" fontId="21" fillId="2" borderId="0" xfId="0" applyNumberFormat="1" applyFont="1" applyFill="1" applyAlignment="1">
      <alignment vertical="top"/>
    </xf>
    <xf numFmtId="0" fontId="21" fillId="0" borderId="0" xfId="0" applyNumberFormat="1" applyFont="1" applyAlignment="1">
      <alignment horizontal="center" vertical="top"/>
    </xf>
    <xf numFmtId="0" fontId="2" fillId="2" borderId="0" xfId="0" applyNumberFormat="1" applyFont="1" applyFill="1" applyAlignment="1">
      <alignment vertical="top" wrapText="1"/>
    </xf>
    <xf numFmtId="0" fontId="21" fillId="0" borderId="0" xfId="0" applyNumberFormat="1" applyFont="1" applyAlignment="1">
      <alignment vertical="top" wrapText="1"/>
    </xf>
    <xf numFmtId="0" fontId="21" fillId="3" borderId="0" xfId="0" applyNumberFormat="1" applyFont="1" applyFill="1" applyAlignment="1">
      <alignment vertical="top"/>
    </xf>
    <xf numFmtId="0" fontId="1" fillId="2" borderId="1" xfId="0" applyNumberFormat="1" applyFont="1" applyFill="1" applyBorder="1" applyAlignment="1">
      <alignment horizontal="center" vertical="top" wrapText="1"/>
    </xf>
    <xf numFmtId="0" fontId="1" fillId="2" borderId="0" xfId="0" applyNumberFormat="1" applyFont="1" applyFill="1" applyBorder="1" applyAlignment="1">
      <alignment horizontal="right" vertical="top"/>
    </xf>
    <xf numFmtId="0" fontId="1" fillId="2" borderId="0" xfId="0" applyNumberFormat="1" applyFont="1" applyFill="1" applyBorder="1" applyAlignment="1">
      <alignment horizontal="center" vertical="top" wrapText="1"/>
    </xf>
    <xf numFmtId="0" fontId="1" fillId="2" borderId="0" xfId="0" applyNumberFormat="1" applyFont="1" applyFill="1" applyBorder="1" applyAlignment="1">
      <alignment vertical="top" wrapText="1"/>
    </xf>
    <xf numFmtId="0" fontId="1" fillId="2" borderId="0" xfId="0" applyNumberFormat="1" applyFont="1" applyFill="1" applyBorder="1" applyAlignment="1">
      <alignment horizontal="left" vertical="top" wrapText="1"/>
    </xf>
    <xf numFmtId="0" fontId="2" fillId="4" borderId="2" xfId="0" applyNumberFormat="1" applyFont="1" applyFill="1" applyBorder="1" applyAlignment="1">
      <alignment horizontal="center" vertical="top" wrapText="1"/>
    </xf>
    <xf numFmtId="0" fontId="2" fillId="2" borderId="0" xfId="0" applyNumberFormat="1" applyFont="1" applyFill="1" applyBorder="1" applyAlignment="1">
      <alignment horizontal="right" vertical="top" wrapText="1"/>
    </xf>
    <xf numFmtId="0" fontId="2" fillId="2" borderId="0" xfId="0" applyNumberFormat="1" applyFont="1" applyFill="1" applyBorder="1" applyAlignment="1">
      <alignment vertical="top" wrapText="1"/>
    </xf>
    <xf numFmtId="0" fontId="2" fillId="4" borderId="3" xfId="0" applyNumberFormat="1" applyFont="1" applyFill="1" applyBorder="1" applyAlignment="1">
      <alignment horizontal="center" vertical="top"/>
    </xf>
    <xf numFmtId="0" fontId="2" fillId="4" borderId="3" xfId="0" applyNumberFormat="1" applyFont="1" applyFill="1" applyBorder="1" applyAlignment="1">
      <alignment horizontal="center" vertical="top" wrapText="1"/>
    </xf>
    <xf numFmtId="0" fontId="2" fillId="4" borderId="0" xfId="0" applyNumberFormat="1" applyFont="1" applyFill="1" applyBorder="1" applyAlignment="1">
      <alignment horizontal="center" vertical="top" wrapText="1"/>
    </xf>
    <xf numFmtId="0" fontId="2" fillId="4" borderId="0" xfId="0" applyNumberFormat="1" applyFont="1" applyFill="1" applyBorder="1" applyAlignment="1">
      <alignment horizontal="center" vertical="top"/>
    </xf>
    <xf numFmtId="0" fontId="2" fillId="4" borderId="2" xfId="0" applyNumberFormat="1" applyFont="1" applyFill="1" applyBorder="1" applyAlignment="1">
      <alignment horizontal="center" vertical="top"/>
    </xf>
    <xf numFmtId="0" fontId="1" fillId="5" borderId="2" xfId="0" applyNumberFormat="1" applyFont="1" applyFill="1" applyBorder="1" applyAlignment="1">
      <alignment horizontal="center" vertical="center" wrapText="1"/>
    </xf>
    <xf numFmtId="1" fontId="1" fillId="2" borderId="0" xfId="0" applyNumberFormat="1" applyFont="1" applyFill="1" applyBorder="1" applyAlignment="1">
      <alignment horizontal="right"/>
    </xf>
    <xf numFmtId="0" fontId="9" fillId="2" borderId="0" xfId="0" applyFont="1" applyFill="1" applyBorder="1" applyAlignment="1">
      <alignment horizontal="center"/>
    </xf>
    <xf numFmtId="0" fontId="1" fillId="2" borderId="0" xfId="0" applyFont="1" applyFill="1" applyBorder="1" applyAlignment="1">
      <alignment horizontal="right"/>
    </xf>
    <xf numFmtId="49" fontId="1" fillId="2" borderId="0" xfId="0" applyNumberFormat="1" applyFont="1" applyFill="1" applyBorder="1" applyAlignment="1">
      <alignment horizontal="right"/>
    </xf>
    <xf numFmtId="49" fontId="1" fillId="2" borderId="0" xfId="0" applyNumberFormat="1" applyFont="1" applyFill="1" applyBorder="1" applyAlignment="1">
      <alignment horizontal="left"/>
    </xf>
    <xf numFmtId="0" fontId="1" fillId="2" borderId="0" xfId="0" applyFont="1" applyFill="1" applyBorder="1" applyAlignment="1">
      <alignment horizontal="left" wrapText="1"/>
    </xf>
    <xf numFmtId="0" fontId="1" fillId="0" borderId="0" xfId="0" applyFont="1" applyFill="1" applyBorder="1" applyAlignment="1">
      <alignment horizontal="center"/>
    </xf>
    <xf numFmtId="0" fontId="22" fillId="0" borderId="0" xfId="0" applyFont="1" applyFill="1" applyBorder="1" applyAlignment="1">
      <alignment horizontal="center"/>
    </xf>
    <xf numFmtId="0" fontId="2" fillId="0" borderId="0" xfId="0" applyFont="1" applyFill="1" applyBorder="1" applyAlignment="1">
      <alignment horizontal="right"/>
    </xf>
    <xf numFmtId="1" fontId="23" fillId="0" borderId="0" xfId="0" applyNumberFormat="1" applyFont="1" applyFill="1" applyBorder="1" applyAlignment="1">
      <alignment horizontal="center" textRotation="90"/>
    </xf>
    <xf numFmtId="0" fontId="2" fillId="0" borderId="0" xfId="0" applyFont="1" applyFill="1" applyBorder="1" applyAlignment="1">
      <alignment horizontal="center"/>
    </xf>
    <xf numFmtId="0" fontId="2" fillId="2" borderId="0" xfId="0" applyFont="1" applyFill="1" applyBorder="1" applyAlignment="1">
      <alignment horizontal="right"/>
    </xf>
    <xf numFmtId="0" fontId="1" fillId="5" borderId="0" xfId="0" applyFont="1" applyFill="1" applyAlignment="1">
      <alignment vertical="center"/>
    </xf>
    <xf numFmtId="0" fontId="2" fillId="2" borderId="6" xfId="0" applyNumberFormat="1" applyFont="1" applyFill="1" applyBorder="1" applyAlignment="1">
      <alignment horizontal="center" vertical="center" wrapText="1"/>
    </xf>
    <xf numFmtId="0" fontId="24" fillId="2" borderId="0" xfId="0" applyNumberFormat="1" applyFont="1" applyFill="1" applyAlignment="1">
      <alignment horizontal="center" vertical="center"/>
    </xf>
    <xf numFmtId="0" fontId="24" fillId="2" borderId="0" xfId="0" applyNumberFormat="1" applyFont="1" applyFill="1" applyAlignment="1">
      <alignment horizontal="left" vertical="center" wrapText="1"/>
    </xf>
    <xf numFmtId="0" fontId="24" fillId="2" borderId="0" xfId="0" applyNumberFormat="1" applyFont="1" applyFill="1" applyAlignment="1">
      <alignment horizontal="center" vertical="center" wrapText="1"/>
    </xf>
    <xf numFmtId="0" fontId="24" fillId="2" borderId="0" xfId="0" applyNumberFormat="1" applyFont="1" applyFill="1" applyAlignment="1">
      <alignment vertical="center" wrapText="1"/>
    </xf>
    <xf numFmtId="0" fontId="24" fillId="2" borderId="0" xfId="0" applyNumberFormat="1" applyFont="1" applyFill="1" applyAlignment="1">
      <alignment vertical="center"/>
    </xf>
    <xf numFmtId="1" fontId="24" fillId="2" borderId="0" xfId="0" applyNumberFormat="1" applyFont="1" applyFill="1" applyBorder="1" applyAlignment="1">
      <alignment horizontal="left" vertical="center"/>
    </xf>
    <xf numFmtId="1" fontId="24" fillId="2" borderId="0" xfId="0" applyNumberFormat="1" applyFont="1" applyFill="1" applyBorder="1" applyAlignment="1">
      <alignment horizontal="left" vertical="center" wrapText="1"/>
    </xf>
    <xf numFmtId="1" fontId="24" fillId="2" borderId="0" xfId="0" applyNumberFormat="1" applyFont="1" applyFill="1" applyBorder="1" applyAlignment="1">
      <alignment horizontal="center" vertical="center"/>
    </xf>
    <xf numFmtId="2" fontId="24" fillId="2" borderId="0" xfId="0" applyNumberFormat="1" applyFont="1" applyFill="1" applyAlignment="1">
      <alignment horizontal="left" vertical="center"/>
    </xf>
    <xf numFmtId="49" fontId="24" fillId="2" borderId="0" xfId="0" applyNumberFormat="1" applyFont="1" applyFill="1" applyBorder="1" applyAlignment="1">
      <alignment horizontal="center" vertical="center"/>
    </xf>
    <xf numFmtId="49" fontId="24" fillId="2" borderId="0" xfId="0" applyNumberFormat="1" applyFont="1" applyFill="1" applyBorder="1" applyAlignment="1">
      <alignment vertical="center"/>
    </xf>
    <xf numFmtId="2" fontId="24" fillId="2" borderId="0" xfId="0" applyNumberFormat="1" applyFont="1" applyFill="1" applyBorder="1" applyAlignment="1">
      <alignment horizontal="center" vertical="center"/>
    </xf>
    <xf numFmtId="49" fontId="24" fillId="2" borderId="0" xfId="0" applyNumberFormat="1" applyFont="1" applyFill="1" applyBorder="1" applyAlignment="1">
      <alignment horizontal="right" vertical="center"/>
    </xf>
    <xf numFmtId="49" fontId="24" fillId="2" borderId="0" xfId="0" applyNumberFormat="1" applyFont="1" applyFill="1" applyBorder="1" applyAlignment="1">
      <alignment horizontal="left" vertical="center"/>
    </xf>
    <xf numFmtId="49" fontId="24" fillId="2" borderId="0" xfId="0" applyNumberFormat="1" applyFont="1" applyFill="1" applyBorder="1" applyAlignment="1">
      <alignment horizontal="right" vertical="center" wrapText="1"/>
    </xf>
    <xf numFmtId="2" fontId="24" fillId="2" borderId="0" xfId="0" applyNumberFormat="1" applyFont="1" applyFill="1" applyBorder="1" applyAlignment="1">
      <alignment horizontal="center" vertical="center" wrapText="1"/>
    </xf>
    <xf numFmtId="0" fontId="24" fillId="2" borderId="0" xfId="0" applyNumberFormat="1" applyFont="1" applyFill="1" applyBorder="1" applyAlignment="1">
      <alignment horizontal="center" vertical="center" wrapText="1"/>
    </xf>
    <xf numFmtId="0" fontId="24" fillId="2" borderId="0" xfId="0" applyNumberFormat="1" applyFont="1" applyFill="1" applyBorder="1" applyAlignment="1">
      <alignment vertical="center" wrapText="1"/>
    </xf>
    <xf numFmtId="0" fontId="24" fillId="2" borderId="0" xfId="0" applyNumberFormat="1" applyFont="1" applyFill="1" applyBorder="1" applyAlignment="1">
      <alignment horizontal="left" vertical="center" wrapText="1"/>
    </xf>
    <xf numFmtId="1" fontId="25" fillId="2" borderId="0" xfId="0" applyNumberFormat="1" applyFont="1" applyFill="1" applyAlignment="1">
      <alignment horizontal="center" vertical="center" wrapText="1"/>
    </xf>
    <xf numFmtId="2" fontId="24" fillId="2" borderId="0" xfId="0" applyNumberFormat="1" applyFont="1" applyFill="1" applyAlignment="1">
      <alignment vertical="center"/>
    </xf>
    <xf numFmtId="2" fontId="24" fillId="2" borderId="0" xfId="0" applyNumberFormat="1" applyFont="1" applyFill="1" applyAlignment="1">
      <alignment horizontal="center" vertical="center"/>
    </xf>
    <xf numFmtId="0" fontId="2" fillId="2" borderId="0" xfId="0" applyFont="1" applyFill="1" applyAlignment="1">
      <alignment vertical="center"/>
    </xf>
    <xf numFmtId="1" fontId="1" fillId="2" borderId="6" xfId="0" applyNumberFormat="1" applyFont="1" applyFill="1" applyBorder="1" applyAlignment="1">
      <alignment horizontal="right" vertical="center"/>
    </xf>
    <xf numFmtId="2" fontId="9" fillId="2" borderId="7" xfId="0" applyNumberFormat="1" applyFont="1" applyFill="1" applyBorder="1" applyAlignment="1">
      <alignment horizontal="center" vertical="center"/>
    </xf>
    <xf numFmtId="0" fontId="16" fillId="2" borderId="7" xfId="0" applyFont="1" applyFill="1" applyBorder="1" applyAlignment="1">
      <alignment vertical="center"/>
    </xf>
    <xf numFmtId="0" fontId="2" fillId="2" borderId="10"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10" xfId="0" applyNumberFormat="1" applyFont="1" applyFill="1" applyBorder="1" applyAlignment="1">
      <alignment horizontal="center" vertical="center"/>
    </xf>
    <xf numFmtId="0" fontId="2" fillId="2" borderId="10" xfId="0" applyFont="1" applyFill="1" applyBorder="1" applyAlignment="1">
      <alignment vertical="center"/>
    </xf>
    <xf numFmtId="2" fontId="2" fillId="2" borderId="10" xfId="0" applyNumberFormat="1" applyFont="1" applyFill="1" applyBorder="1" applyAlignment="1">
      <alignment horizontal="left" vertical="center"/>
    </xf>
    <xf numFmtId="1" fontId="1" fillId="2" borderId="10" xfId="0" applyNumberFormat="1" applyFont="1" applyFill="1" applyBorder="1" applyAlignment="1">
      <alignment horizontal="center" vertical="center"/>
    </xf>
    <xf numFmtId="1" fontId="2" fillId="2" borderId="10" xfId="0" applyNumberFormat="1" applyFont="1" applyFill="1" applyBorder="1" applyAlignment="1">
      <alignment horizontal="center" vertical="center" wrapText="1"/>
    </xf>
    <xf numFmtId="1" fontId="1" fillId="2" borderId="10" xfId="0" applyNumberFormat="1" applyFont="1" applyFill="1" applyBorder="1" applyAlignment="1">
      <alignment horizontal="right" vertical="center"/>
    </xf>
    <xf numFmtId="2" fontId="9" fillId="2" borderId="10" xfId="0" applyNumberFormat="1" applyFont="1" applyFill="1" applyBorder="1" applyAlignment="1">
      <alignment horizontal="center" vertical="center"/>
    </xf>
    <xf numFmtId="0" fontId="16" fillId="2" borderId="10" xfId="0" applyFont="1" applyFill="1" applyBorder="1" applyAlignment="1">
      <alignment vertical="center"/>
    </xf>
    <xf numFmtId="49" fontId="1" fillId="2" borderId="7"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0" fontId="27" fillId="0" borderId="0" xfId="0" applyFont="1" applyAlignment="1">
      <alignment horizontal="center" vertical="center"/>
    </xf>
    <xf numFmtId="0" fontId="2" fillId="2" borderId="13" xfId="0" applyNumberFormat="1" applyFont="1" applyFill="1" applyBorder="1" applyAlignment="1">
      <alignment horizontal="center" vertical="center" wrapText="1"/>
    </xf>
    <xf numFmtId="0" fontId="2" fillId="2" borderId="10" xfId="0" applyFont="1" applyFill="1" applyBorder="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25" xfId="0" applyNumberFormat="1" applyFont="1" applyFill="1" applyBorder="1" applyAlignment="1">
      <alignment horizontal="left" vertical="center" wrapText="1"/>
    </xf>
    <xf numFmtId="2" fontId="2" fillId="2" borderId="10" xfId="0" applyNumberFormat="1" applyFont="1" applyFill="1" applyBorder="1" applyAlignment="1">
      <alignment horizontal="right" vertical="center"/>
    </xf>
    <xf numFmtId="2" fontId="2" fillId="2" borderId="13" xfId="0" applyNumberFormat="1" applyFont="1" applyFill="1" applyBorder="1" applyAlignment="1">
      <alignment horizontal="right" vertical="center"/>
    </xf>
    <xf numFmtId="2" fontId="2" fillId="2" borderId="17" xfId="0" applyNumberFormat="1" applyFont="1" applyFill="1" applyBorder="1" applyAlignment="1">
      <alignment horizontal="center" vertical="center" wrapText="1"/>
    </xf>
    <xf numFmtId="2" fontId="2" fillId="2" borderId="18" xfId="0" applyNumberFormat="1" applyFont="1" applyFill="1" applyBorder="1" applyAlignment="1">
      <alignment horizontal="center" vertical="center"/>
    </xf>
    <xf numFmtId="0" fontId="2" fillId="2" borderId="17" xfId="0" applyNumberFormat="1" applyFont="1" applyFill="1" applyBorder="1" applyAlignment="1">
      <alignment horizontal="left" vertical="center" wrapText="1"/>
    </xf>
    <xf numFmtId="2" fontId="2" fillId="2" borderId="13" xfId="0" applyNumberFormat="1" applyFont="1" applyFill="1" applyBorder="1" applyAlignment="1">
      <alignment horizontal="center" vertical="center"/>
    </xf>
    <xf numFmtId="0" fontId="2" fillId="2" borderId="13" xfId="0" applyNumberFormat="1" applyFont="1" applyFill="1" applyBorder="1" applyAlignment="1">
      <alignment vertical="center" wrapText="1"/>
    </xf>
    <xf numFmtId="0" fontId="2" fillId="2" borderId="19" xfId="0" applyNumberFormat="1" applyFont="1" applyFill="1" applyBorder="1" applyAlignment="1">
      <alignment vertical="center" wrapText="1"/>
    </xf>
    <xf numFmtId="0" fontId="2" fillId="2" borderId="20" xfId="0" applyNumberFormat="1" applyFont="1" applyFill="1" applyBorder="1" applyAlignment="1">
      <alignment horizontal="left" vertical="center" wrapText="1"/>
    </xf>
    <xf numFmtId="2"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right" vertical="center" wrapText="1"/>
    </xf>
    <xf numFmtId="2" fontId="2" fillId="2" borderId="13" xfId="0" applyNumberFormat="1" applyFont="1" applyFill="1" applyBorder="1" applyAlignment="1">
      <alignment horizontal="center" vertical="center" wrapText="1"/>
    </xf>
    <xf numFmtId="49" fontId="2" fillId="0" borderId="13" xfId="0" applyNumberFormat="1" applyFont="1" applyBorder="1" applyAlignment="1">
      <alignment horizontal="right" vertical="center"/>
    </xf>
    <xf numFmtId="2" fontId="2" fillId="0" borderId="19" xfId="0" applyNumberFormat="1" applyFont="1" applyBorder="1" applyAlignment="1">
      <alignment horizontal="center" vertical="center"/>
    </xf>
    <xf numFmtId="49" fontId="2" fillId="2" borderId="19" xfId="0" applyNumberFormat="1" applyFont="1" applyFill="1" applyBorder="1" applyAlignment="1">
      <alignment horizontal="center" vertical="center"/>
    </xf>
    <xf numFmtId="49" fontId="2" fillId="0" borderId="19" xfId="0" applyNumberFormat="1" applyFont="1" applyBorder="1" applyAlignment="1">
      <alignment vertical="center"/>
    </xf>
    <xf numFmtId="0" fontId="2" fillId="0" borderId="20" xfId="0" applyNumberFormat="1" applyFont="1" applyBorder="1" applyAlignment="1">
      <alignment horizontal="left" vertical="center"/>
    </xf>
    <xf numFmtId="1" fontId="2" fillId="2" borderId="26"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17" xfId="0" applyNumberFormat="1" applyFont="1" applyFill="1" applyBorder="1" applyAlignment="1">
      <alignment horizontal="center" vertical="center"/>
    </xf>
    <xf numFmtId="0" fontId="1" fillId="2" borderId="10" xfId="0" applyFont="1" applyFill="1" applyBorder="1" applyAlignment="1">
      <alignment horizontal="center" vertical="center"/>
    </xf>
    <xf numFmtId="2" fontId="2" fillId="3" borderId="10" xfId="0" applyNumberFormat="1" applyFont="1" applyFill="1" applyBorder="1" applyAlignment="1">
      <alignment horizontal="center" vertical="center"/>
    </xf>
    <xf numFmtId="1" fontId="2" fillId="2" borderId="27" xfId="0" applyNumberFormat="1" applyFont="1" applyFill="1" applyBorder="1" applyAlignment="1">
      <alignment horizontal="center" vertical="center"/>
    </xf>
    <xf numFmtId="2" fontId="1" fillId="2" borderId="20" xfId="0" applyNumberFormat="1" applyFont="1" applyFill="1" applyBorder="1" applyAlignment="1">
      <alignment horizontal="center" vertical="center"/>
    </xf>
    <xf numFmtId="1" fontId="1" fillId="2" borderId="2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xf>
    <xf numFmtId="1" fontId="1" fillId="2" borderId="13" xfId="0" applyNumberFormat="1" applyFont="1" applyFill="1" applyBorder="1" applyAlignment="1">
      <alignment horizontal="right" vertical="center"/>
    </xf>
    <xf numFmtId="2" fontId="1" fillId="2" borderId="10" xfId="0" applyNumberFormat="1" applyFont="1" applyFill="1" applyBorder="1" applyAlignment="1">
      <alignment horizontal="center" vertical="center"/>
    </xf>
    <xf numFmtId="0" fontId="7" fillId="0" borderId="0" xfId="0" applyNumberFormat="1" applyFont="1" applyAlignment="1">
      <alignment horizontal="center"/>
    </xf>
    <xf numFmtId="0" fontId="29" fillId="0" borderId="0" xfId="0" applyNumberFormat="1" applyFont="1" applyBorder="1" applyAlignment="1">
      <alignment horizontal="left"/>
    </xf>
    <xf numFmtId="2" fontId="24" fillId="0" borderId="0" xfId="0" applyNumberFormat="1" applyFont="1" applyAlignment="1"/>
    <xf numFmtId="0" fontId="3" fillId="0" borderId="0" xfId="0" applyNumberFormat="1" applyFont="1" applyBorder="1" applyAlignment="1">
      <alignment wrapText="1"/>
    </xf>
    <xf numFmtId="0" fontId="3" fillId="0" borderId="0" xfId="0" applyNumberFormat="1" applyFont="1" applyBorder="1" applyAlignment="1">
      <alignment horizontal="left" wrapText="1"/>
    </xf>
    <xf numFmtId="0" fontId="3" fillId="0" borderId="0" xfId="0" applyNumberFormat="1" applyFont="1" applyBorder="1" applyAlignment="1">
      <alignment horizontal="center" wrapText="1"/>
    </xf>
    <xf numFmtId="2" fontId="7" fillId="0" borderId="0" xfId="0" applyNumberFormat="1" applyFont="1" applyAlignment="1"/>
    <xf numFmtId="0" fontId="3" fillId="0" borderId="0" xfId="0" applyNumberFormat="1" applyFont="1" applyAlignment="1">
      <alignment horizontal="center"/>
    </xf>
    <xf numFmtId="2" fontId="24" fillId="0" borderId="0" xfId="0" quotePrefix="1" applyNumberFormat="1" applyFont="1" applyAlignment="1"/>
    <xf numFmtId="0" fontId="7" fillId="0" borderId="0" xfId="0" applyNumberFormat="1" applyFont="1" applyAlignment="1">
      <alignment wrapText="1"/>
    </xf>
    <xf numFmtId="0" fontId="7" fillId="0" borderId="0" xfId="0" applyNumberFormat="1" applyFont="1" applyBorder="1" applyAlignment="1">
      <alignment horizontal="center" wrapText="1"/>
    </xf>
    <xf numFmtId="0" fontId="7" fillId="0" borderId="0" xfId="0" applyNumberFormat="1" applyFont="1" applyAlignment="1">
      <alignment horizontal="left"/>
    </xf>
    <xf numFmtId="0" fontId="7" fillId="0" borderId="0" xfId="0" applyNumberFormat="1" applyFont="1" applyBorder="1" applyAlignment="1">
      <alignment wrapText="1"/>
    </xf>
    <xf numFmtId="0" fontId="7" fillId="0" borderId="0" xfId="0" applyNumberFormat="1" applyFont="1" applyBorder="1" applyAlignment="1">
      <alignment horizontal="left" wrapText="1"/>
    </xf>
    <xf numFmtId="2" fontId="7" fillId="2" borderId="0" xfId="0" applyNumberFormat="1" applyFont="1" applyFill="1" applyBorder="1" applyAlignment="1">
      <alignment horizontal="center" vertical="center"/>
    </xf>
    <xf numFmtId="2" fontId="3" fillId="0" borderId="0" xfId="0" applyNumberFormat="1" applyFont="1" applyAlignment="1"/>
    <xf numFmtId="0" fontId="31" fillId="2" borderId="13" xfId="0" applyNumberFormat="1" applyFont="1" applyFill="1" applyBorder="1" applyAlignment="1">
      <alignment horizontal="center" vertical="center" wrapText="1"/>
    </xf>
    <xf numFmtId="0" fontId="24" fillId="0" borderId="0" xfId="0" quotePrefix="1" applyNumberFormat="1" applyFont="1" applyBorder="1" applyAlignment="1">
      <alignment horizontal="left"/>
    </xf>
    <xf numFmtId="0" fontId="3" fillId="0" borderId="0" xfId="0" applyNumberFormat="1" applyFont="1" applyBorder="1" applyAlignment="1">
      <alignment horizontal="center" vertical="center" wrapText="1"/>
    </xf>
    <xf numFmtId="1" fontId="32" fillId="0" borderId="0" xfId="0" applyNumberFormat="1" applyFont="1" applyAlignment="1">
      <alignment horizontal="center" vertical="center" wrapText="1"/>
    </xf>
    <xf numFmtId="2" fontId="3" fillId="0" borderId="0" xfId="0" applyNumberFormat="1" applyFont="1" applyAlignment="1">
      <alignment horizontal="center" vertical="center"/>
    </xf>
    <xf numFmtId="2" fontId="6" fillId="3" borderId="10" xfId="0" applyNumberFormat="1" applyFont="1" applyFill="1" applyBorder="1" applyAlignment="1">
      <alignment horizontal="center" vertical="center"/>
    </xf>
    <xf numFmtId="1" fontId="34" fillId="2" borderId="13" xfId="0" applyNumberFormat="1" applyFont="1" applyFill="1" applyBorder="1" applyAlignment="1">
      <alignment horizontal="right" vertical="center"/>
    </xf>
    <xf numFmtId="2" fontId="33" fillId="2" borderId="10" xfId="0" applyNumberFormat="1" applyFont="1" applyFill="1" applyBorder="1" applyAlignment="1">
      <alignment horizontal="center" vertical="center"/>
    </xf>
    <xf numFmtId="0" fontId="35" fillId="2" borderId="10" xfId="0" applyFont="1" applyFill="1" applyBorder="1" applyAlignment="1">
      <alignment vertical="center"/>
    </xf>
    <xf numFmtId="0" fontId="24" fillId="2" borderId="0" xfId="0" applyFont="1" applyFill="1" applyAlignment="1">
      <alignment vertical="center"/>
    </xf>
    <xf numFmtId="0" fontId="4" fillId="0" borderId="0" xfId="0" applyNumberFormat="1" applyFont="1" applyBorder="1" applyAlignment="1">
      <alignment wrapText="1"/>
    </xf>
    <xf numFmtId="0" fontId="4" fillId="0" borderId="0" xfId="0" applyNumberFormat="1" applyFont="1" applyBorder="1" applyAlignment="1">
      <alignment horizontal="left" wrapText="1"/>
    </xf>
    <xf numFmtId="0" fontId="4" fillId="0" borderId="0" xfId="0" applyNumberFormat="1" applyFont="1" applyBorder="1" applyAlignment="1">
      <alignment horizontal="center" wrapText="1"/>
    </xf>
    <xf numFmtId="0" fontId="36" fillId="2" borderId="0" xfId="0" applyNumberFormat="1" applyFont="1" applyFill="1" applyBorder="1" applyAlignment="1">
      <alignment horizontal="center" vertical="center" wrapText="1"/>
    </xf>
    <xf numFmtId="0" fontId="7" fillId="2" borderId="0" xfId="0" applyNumberFormat="1" applyFont="1" applyFill="1" applyAlignment="1">
      <alignment horizontal="center" wrapText="1"/>
    </xf>
    <xf numFmtId="0" fontId="7" fillId="0" borderId="0" xfId="0" quotePrefix="1" applyNumberFormat="1" applyFont="1" applyBorder="1" applyAlignment="1">
      <alignment horizontal="left"/>
    </xf>
    <xf numFmtId="0" fontId="39" fillId="7" borderId="0" xfId="0" applyFont="1" applyFill="1" applyAlignment="1">
      <alignment vertical="center"/>
    </xf>
    <xf numFmtId="1" fontId="39" fillId="7" borderId="6" xfId="0" applyNumberFormat="1" applyFont="1" applyFill="1" applyBorder="1" applyAlignment="1">
      <alignment horizontal="center" vertical="center"/>
    </xf>
    <xf numFmtId="1" fontId="40" fillId="7" borderId="7" xfId="0" applyNumberFormat="1" applyFont="1" applyFill="1" applyBorder="1" applyAlignment="1">
      <alignment horizontal="center" vertical="center" wrapText="1"/>
    </xf>
    <xf numFmtId="1" fontId="40" fillId="7" borderId="7" xfId="0" applyNumberFormat="1" applyFont="1" applyFill="1" applyBorder="1" applyAlignment="1">
      <alignment horizontal="center" vertical="center"/>
    </xf>
    <xf numFmtId="1" fontId="39" fillId="7" borderId="8" xfId="0" applyNumberFormat="1" applyFont="1" applyFill="1" applyBorder="1" applyAlignment="1">
      <alignment horizontal="center" vertical="center"/>
    </xf>
    <xf numFmtId="0" fontId="39" fillId="7" borderId="7" xfId="0" applyFont="1" applyFill="1" applyBorder="1" applyAlignment="1">
      <alignment horizontal="center" vertical="center"/>
    </xf>
    <xf numFmtId="2" fontId="40" fillId="7" borderId="7" xfId="0" applyNumberFormat="1" applyFont="1" applyFill="1" applyBorder="1" applyAlignment="1">
      <alignment horizontal="center" vertical="center"/>
    </xf>
    <xf numFmtId="1" fontId="40" fillId="7" borderId="10" xfId="0" applyNumberFormat="1" applyFont="1" applyFill="1" applyBorder="1" applyAlignment="1">
      <alignment horizontal="center" vertical="center"/>
    </xf>
    <xf numFmtId="2" fontId="40" fillId="7" borderId="10" xfId="0" applyNumberFormat="1" applyFont="1" applyFill="1" applyBorder="1" applyAlignment="1">
      <alignment horizontal="center" vertical="center"/>
    </xf>
    <xf numFmtId="0" fontId="41" fillId="7" borderId="0" xfId="0" applyFont="1" applyFill="1" applyAlignment="1">
      <alignment horizontal="center" vertical="center"/>
    </xf>
    <xf numFmtId="2" fontId="42" fillId="7" borderId="0" xfId="0" applyNumberFormat="1" applyFont="1" applyFill="1" applyAlignment="1"/>
    <xf numFmtId="2" fontId="43" fillId="7" borderId="0" xfId="0" applyNumberFormat="1" applyFont="1" applyFill="1" applyAlignment="1"/>
    <xf numFmtId="0" fontId="44" fillId="7" borderId="10" xfId="0" applyNumberFormat="1" applyFont="1" applyFill="1" applyBorder="1" applyAlignment="1">
      <alignment horizontal="center" vertical="center" wrapText="1"/>
    </xf>
    <xf numFmtId="0" fontId="44" fillId="7" borderId="0" xfId="0" applyFont="1" applyFill="1" applyAlignment="1">
      <alignment vertical="center" wrapText="1"/>
    </xf>
    <xf numFmtId="0" fontId="44" fillId="7" borderId="17" xfId="0" applyNumberFormat="1" applyFont="1" applyFill="1" applyBorder="1" applyAlignment="1">
      <alignment horizontal="left" vertical="center"/>
    </xf>
    <xf numFmtId="0" fontId="44" fillId="7" borderId="18" xfId="0" applyNumberFormat="1" applyFont="1" applyFill="1" applyBorder="1" applyAlignment="1">
      <alignment horizontal="center" vertical="center"/>
    </xf>
    <xf numFmtId="0" fontId="44" fillId="7" borderId="17" xfId="0" applyNumberFormat="1" applyFont="1" applyFill="1" applyBorder="1" applyAlignment="1">
      <alignment vertical="center"/>
    </xf>
    <xf numFmtId="0" fontId="44" fillId="7" borderId="19" xfId="0" applyNumberFormat="1" applyFont="1" applyFill="1" applyBorder="1" applyAlignment="1">
      <alignment vertical="center"/>
    </xf>
    <xf numFmtId="0" fontId="44" fillId="7" borderId="10" xfId="0" applyNumberFormat="1" applyFont="1" applyFill="1" applyBorder="1" applyAlignment="1">
      <alignment horizontal="left" vertical="center"/>
    </xf>
    <xf numFmtId="0" fontId="44" fillId="7" borderId="0" xfId="0" applyFont="1" applyFill="1" applyAlignment="1">
      <alignment vertical="center"/>
    </xf>
    <xf numFmtId="49" fontId="44" fillId="7" borderId="20" xfId="0" applyNumberFormat="1" applyFont="1" applyFill="1" applyBorder="1" applyAlignment="1">
      <alignment horizontal="left" vertical="center"/>
    </xf>
    <xf numFmtId="0" fontId="45" fillId="7" borderId="0" xfId="0" applyNumberFormat="1" applyFont="1" applyFill="1" applyAlignment="1">
      <alignment horizontal="center" vertical="center"/>
    </xf>
    <xf numFmtId="2" fontId="44" fillId="7" borderId="10" xfId="0" applyNumberFormat="1" applyFont="1" applyFill="1" applyBorder="1" applyAlignment="1">
      <alignment horizontal="left" vertical="center"/>
    </xf>
    <xf numFmtId="0" fontId="46" fillId="7" borderId="10" xfId="0" applyNumberFormat="1" applyFont="1" applyFill="1" applyBorder="1" applyAlignment="1">
      <alignment horizontal="center" vertical="center" wrapText="1"/>
    </xf>
    <xf numFmtId="1" fontId="46" fillId="7" borderId="13" xfId="0" applyNumberFormat="1" applyFont="1" applyFill="1" applyBorder="1" applyAlignment="1">
      <alignment horizontal="center" vertical="center"/>
    </xf>
    <xf numFmtId="1" fontId="44" fillId="7" borderId="10" xfId="0" applyNumberFormat="1" applyFont="1" applyFill="1" applyBorder="1" applyAlignment="1">
      <alignment horizontal="center" vertical="center" wrapText="1"/>
    </xf>
    <xf numFmtId="1" fontId="44" fillId="7" borderId="10" xfId="0" applyNumberFormat="1" applyFont="1" applyFill="1" applyBorder="1" applyAlignment="1">
      <alignment horizontal="center" vertical="center"/>
    </xf>
    <xf numFmtId="1" fontId="46" fillId="7" borderId="17" xfId="0" applyNumberFormat="1" applyFont="1" applyFill="1" applyBorder="1" applyAlignment="1">
      <alignment horizontal="center" vertical="center"/>
    </xf>
    <xf numFmtId="0" fontId="46" fillId="7" borderId="10" xfId="0" applyFont="1" applyFill="1" applyBorder="1" applyAlignment="1">
      <alignment horizontal="center" vertical="center"/>
    </xf>
    <xf numFmtId="2" fontId="44" fillId="7" borderId="10" xfId="0" applyNumberFormat="1" applyFont="1" applyFill="1" applyBorder="1" applyAlignment="1">
      <alignment horizontal="center" vertical="center"/>
    </xf>
    <xf numFmtId="2" fontId="40" fillId="7" borderId="20" xfId="0" applyNumberFormat="1" applyFont="1" applyFill="1" applyBorder="1" applyAlignment="1">
      <alignment horizontal="center" vertical="center"/>
    </xf>
    <xf numFmtId="0" fontId="40" fillId="7" borderId="0" xfId="0" applyFont="1" applyFill="1" applyBorder="1" applyAlignment="1">
      <alignment horizontal="center" vertical="center"/>
    </xf>
    <xf numFmtId="0" fontId="40" fillId="7" borderId="0" xfId="0" applyNumberFormat="1" applyFont="1" applyFill="1" applyBorder="1" applyAlignment="1">
      <alignment horizontal="center" vertical="center" wrapText="1"/>
    </xf>
    <xf numFmtId="49" fontId="40" fillId="7" borderId="0" xfId="0" applyNumberFormat="1" applyFont="1" applyFill="1" applyBorder="1" applyAlignment="1">
      <alignment vertical="center"/>
    </xf>
    <xf numFmtId="0" fontId="40" fillId="7" borderId="0" xfId="0" applyFont="1" applyFill="1" applyBorder="1" applyAlignment="1">
      <alignment vertical="center" wrapText="1"/>
    </xf>
    <xf numFmtId="0" fontId="40" fillId="7" borderId="0" xfId="0" applyNumberFormat="1" applyFont="1" applyFill="1" applyBorder="1" applyAlignment="1">
      <alignment horizontal="left" vertical="center"/>
    </xf>
    <xf numFmtId="0" fontId="40" fillId="7" borderId="0" xfId="0" applyNumberFormat="1" applyFont="1" applyFill="1" applyBorder="1" applyAlignment="1">
      <alignment horizontal="center" vertical="center"/>
    </xf>
    <xf numFmtId="0" fontId="40" fillId="7" borderId="0" xfId="0" applyNumberFormat="1" applyFont="1" applyFill="1" applyBorder="1" applyAlignment="1">
      <alignment vertical="center"/>
    </xf>
    <xf numFmtId="0" fontId="40" fillId="7" borderId="0" xfId="0" applyFont="1" applyFill="1" applyBorder="1" applyAlignment="1">
      <alignment vertical="center"/>
    </xf>
    <xf numFmtId="49" fontId="40" fillId="7" borderId="0" xfId="0" applyNumberFormat="1" applyFont="1" applyFill="1" applyBorder="1" applyAlignment="1">
      <alignment horizontal="left" vertical="center"/>
    </xf>
    <xf numFmtId="2" fontId="40" fillId="7" borderId="0" xfId="0" applyNumberFormat="1" applyFont="1" applyFill="1" applyBorder="1" applyAlignment="1">
      <alignment horizontal="left" vertical="center"/>
    </xf>
    <xf numFmtId="0" fontId="39" fillId="7" borderId="0" xfId="0" applyNumberFormat="1" applyFont="1" applyFill="1" applyBorder="1" applyAlignment="1">
      <alignment horizontal="center" vertical="center" wrapText="1"/>
    </xf>
    <xf numFmtId="1" fontId="39" fillId="7" borderId="0" xfId="0" applyNumberFormat="1" applyFont="1" applyFill="1" applyBorder="1" applyAlignment="1">
      <alignment horizontal="center" vertical="center"/>
    </xf>
    <xf numFmtId="1" fontId="40" fillId="7" borderId="0" xfId="0" applyNumberFormat="1" applyFont="1" applyFill="1" applyBorder="1" applyAlignment="1">
      <alignment horizontal="center" vertical="center" wrapText="1"/>
    </xf>
    <xf numFmtId="1" fontId="40" fillId="7" borderId="0" xfId="0" applyNumberFormat="1" applyFont="1" applyFill="1" applyBorder="1" applyAlignment="1">
      <alignment horizontal="center" vertical="center"/>
    </xf>
    <xf numFmtId="0" fontId="39" fillId="7" borderId="0" xfId="0" applyFont="1" applyFill="1" applyBorder="1" applyAlignment="1">
      <alignment horizontal="center" vertical="center"/>
    </xf>
    <xf numFmtId="0" fontId="41" fillId="7" borderId="0" xfId="0" applyFont="1" applyFill="1" applyBorder="1" applyAlignment="1">
      <alignment horizontal="center" vertical="center"/>
    </xf>
    <xf numFmtId="1" fontId="31" fillId="2" borderId="0" xfId="0" applyNumberFormat="1" applyFont="1" applyFill="1" applyBorder="1" applyAlignment="1">
      <alignment horizontal="center" vertical="center"/>
    </xf>
    <xf numFmtId="0" fontId="44" fillId="7" borderId="0" xfId="0" applyFont="1" applyFill="1" applyBorder="1" applyAlignment="1">
      <alignment horizontal="center" vertical="center"/>
    </xf>
    <xf numFmtId="0" fontId="44" fillId="7" borderId="0" xfId="0" applyNumberFormat="1" applyFont="1" applyFill="1" applyBorder="1" applyAlignment="1">
      <alignment horizontal="center" vertical="center" wrapText="1"/>
    </xf>
    <xf numFmtId="49" fontId="44" fillId="7" borderId="0" xfId="0" applyNumberFormat="1" applyFont="1" applyFill="1" applyBorder="1" applyAlignment="1">
      <alignment vertical="center"/>
    </xf>
    <xf numFmtId="0" fontId="38" fillId="0" borderId="0" xfId="0" applyNumberFormat="1" applyFont="1" applyBorder="1" applyAlignment="1"/>
    <xf numFmtId="0" fontId="1" fillId="0" borderId="0" xfId="0" applyFont="1" applyAlignment="1">
      <alignment vertical="center"/>
    </xf>
    <xf numFmtId="1" fontId="1" fillId="2" borderId="0" xfId="0" applyNumberFormat="1" applyFont="1" applyFill="1" applyBorder="1" applyAlignment="1">
      <alignment horizontal="right" vertical="center"/>
    </xf>
    <xf numFmtId="1" fontId="1" fillId="2" borderId="0" xfId="0" applyNumberFormat="1" applyFont="1" applyFill="1" applyBorder="1" applyAlignment="1">
      <alignment horizontal="center"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0" borderId="0" xfId="0" applyFont="1" applyAlignment="1">
      <alignment vertical="center" wrapText="1"/>
    </xf>
    <xf numFmtId="0" fontId="47"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vertical="center"/>
    </xf>
    <xf numFmtId="0" fontId="1" fillId="2" borderId="0" xfId="0" applyFont="1" applyFill="1" applyBorder="1" applyAlignment="1">
      <alignment horizontal="right" vertical="center" wrapText="1"/>
    </xf>
    <xf numFmtId="1" fontId="1"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right" vertical="center"/>
    </xf>
    <xf numFmtId="0" fontId="2" fillId="0" borderId="0" xfId="0" applyFont="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right" vertical="center" wrapText="1"/>
    </xf>
    <xf numFmtId="2" fontId="16" fillId="2" borderId="0" xfId="0" applyNumberFormat="1" applyFont="1" applyFill="1" applyBorder="1" applyAlignment="1">
      <alignment horizontal="right" vertical="center"/>
    </xf>
    <xf numFmtId="1" fontId="28" fillId="8" borderId="0" xfId="0" applyNumberFormat="1" applyFont="1" applyFill="1" applyBorder="1" applyAlignment="1">
      <alignment horizontal="center" vertical="center" wrapText="1"/>
    </xf>
    <xf numFmtId="1" fontId="11" fillId="8" borderId="0" xfId="0" applyNumberFormat="1" applyFont="1" applyFill="1" applyBorder="1" applyAlignment="1">
      <alignment horizontal="center" vertical="center" wrapText="1"/>
    </xf>
    <xf numFmtId="0" fontId="2" fillId="2" borderId="0" xfId="0" applyFont="1" applyFill="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2" fillId="0" borderId="0" xfId="0" applyNumberFormat="1" applyFont="1" applyAlignment="1">
      <alignment vertical="center"/>
    </xf>
    <xf numFmtId="2" fontId="20" fillId="2" borderId="0" xfId="0" applyNumberFormat="1" applyFont="1" applyFill="1" applyBorder="1" applyAlignment="1">
      <alignment horizontal="left" vertical="center"/>
    </xf>
    <xf numFmtId="2" fontId="20" fillId="2" borderId="0" xfId="0" applyNumberFormat="1" applyFont="1" applyFill="1" applyBorder="1" applyAlignment="1">
      <alignment vertical="center"/>
    </xf>
    <xf numFmtId="2" fontId="16" fillId="0" borderId="0" xfId="0" applyNumberFormat="1" applyFont="1" applyBorder="1" applyAlignment="1">
      <alignment horizontal="right" vertical="center"/>
    </xf>
    <xf numFmtId="2" fontId="16" fillId="2" borderId="0" xfId="0" applyNumberFormat="1" applyFont="1" applyFill="1" applyAlignment="1">
      <alignment vertical="center"/>
    </xf>
    <xf numFmtId="0" fontId="2" fillId="3" borderId="0" xfId="0" applyFont="1" applyFill="1" applyAlignment="1">
      <alignment vertical="center"/>
    </xf>
    <xf numFmtId="0" fontId="2" fillId="2" borderId="0" xfId="0" applyFont="1" applyFill="1" applyBorder="1" applyAlignment="1">
      <alignment horizontal="center" vertical="center"/>
    </xf>
    <xf numFmtId="0" fontId="1" fillId="0" borderId="0" xfId="0" applyFont="1" applyAlignment="1">
      <alignment horizontal="right" vertical="center" wrapText="1"/>
    </xf>
    <xf numFmtId="0" fontId="9" fillId="2" borderId="0" xfId="0" applyFont="1" applyFill="1" applyBorder="1" applyAlignment="1">
      <alignment horizontal="center" vertical="center"/>
    </xf>
    <xf numFmtId="49"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left" vertical="center"/>
    </xf>
    <xf numFmtId="0" fontId="1" fillId="2" borderId="0" xfId="0" applyFont="1" applyFill="1" applyBorder="1" applyAlignment="1">
      <alignment horizontal="left" vertical="center" wrapText="1"/>
    </xf>
    <xf numFmtId="2" fontId="9" fillId="2" borderId="0" xfId="0" applyNumberFormat="1" applyFont="1" applyFill="1" applyBorder="1" applyAlignment="1">
      <alignment horizontal="center" vertical="center"/>
    </xf>
    <xf numFmtId="0" fontId="1" fillId="2" borderId="10" xfId="0" applyFont="1" applyFill="1" applyBorder="1" applyAlignment="1">
      <alignment horizontal="center" vertical="center" wrapText="1"/>
    </xf>
    <xf numFmtId="0" fontId="2" fillId="2" borderId="0" xfId="0" applyFont="1" applyFill="1" applyAlignment="1">
      <alignment horizontal="right" vertical="center"/>
    </xf>
    <xf numFmtId="1" fontId="23" fillId="2" borderId="10" xfId="0" applyNumberFormat="1" applyFont="1" applyFill="1" applyBorder="1" applyAlignment="1">
      <alignment horizontal="center" vertical="center" textRotation="90"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2" borderId="10" xfId="0" applyNumberFormat="1" applyFont="1" applyFill="1" applyBorder="1" applyAlignment="1">
      <alignment horizontal="left" vertical="center" wrapText="1"/>
    </xf>
    <xf numFmtId="49" fontId="2" fillId="2" borderId="10" xfId="0" applyNumberFormat="1" applyFont="1" applyFill="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13" xfId="0" applyFont="1" applyFill="1" applyBorder="1" applyAlignment="1">
      <alignment horizontal="right" vertical="center" wrapText="1"/>
    </xf>
    <xf numFmtId="0" fontId="2" fillId="2" borderId="20" xfId="0" applyFont="1" applyFill="1" applyBorder="1" applyAlignment="1">
      <alignment horizontal="left" vertical="center" wrapText="1"/>
    </xf>
    <xf numFmtId="0" fontId="2" fillId="0" borderId="20" xfId="0" applyFont="1" applyBorder="1" applyAlignment="1">
      <alignment horizontal="left" vertical="center"/>
    </xf>
    <xf numFmtId="0" fontId="2" fillId="0" borderId="13" xfId="0" applyFont="1" applyBorder="1" applyAlignment="1">
      <alignment horizontal="right" vertical="center"/>
    </xf>
    <xf numFmtId="0" fontId="2" fillId="0" borderId="19" xfId="0" applyFont="1" applyBorder="1" applyAlignment="1">
      <alignment horizontal="left" vertical="center"/>
    </xf>
    <xf numFmtId="0" fontId="48" fillId="0" borderId="0" xfId="0" applyFont="1"/>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vertical="center" wrapText="1"/>
    </xf>
    <xf numFmtId="0" fontId="1" fillId="2" borderId="0" xfId="0" applyNumberFormat="1" applyFont="1" applyFill="1" applyBorder="1" applyAlignment="1">
      <alignment horizontal="left" vertical="center" wrapText="1"/>
    </xf>
    <xf numFmtId="0" fontId="49" fillId="0" borderId="0" xfId="0" quotePrefix="1" applyFont="1"/>
    <xf numFmtId="0" fontId="2" fillId="2" borderId="0" xfId="0" applyNumberFormat="1" applyFont="1" applyFill="1" applyAlignment="1">
      <alignment horizontal="center" vertical="center" wrapText="1"/>
    </xf>
    <xf numFmtId="2" fontId="2" fillId="2" borderId="0" xfId="0" applyNumberFormat="1" applyFont="1" applyFill="1" applyAlignment="1">
      <alignment vertical="center"/>
    </xf>
    <xf numFmtId="0" fontId="2" fillId="2" borderId="0" xfId="0" applyNumberFormat="1" applyFont="1" applyFill="1" applyBorder="1" applyAlignment="1">
      <alignment horizontal="center" vertical="center" wrapText="1"/>
    </xf>
    <xf numFmtId="0" fontId="2" fillId="2" borderId="0" xfId="0" applyNumberFormat="1" applyFont="1" applyFill="1" applyBorder="1" applyAlignment="1">
      <alignment vertical="center" wrapText="1"/>
    </xf>
    <xf numFmtId="0" fontId="2" fillId="2" borderId="0" xfId="0" applyNumberFormat="1" applyFont="1" applyFill="1" applyBorder="1" applyAlignment="1">
      <alignment horizontal="left" vertical="center" wrapText="1"/>
    </xf>
    <xf numFmtId="2" fontId="2" fillId="2" borderId="0" xfId="0" applyNumberFormat="1" applyFont="1" applyFill="1" applyAlignment="1">
      <alignment horizontal="center" vertical="center"/>
    </xf>
    <xf numFmtId="0" fontId="2" fillId="7" borderId="10" xfId="0" applyNumberFormat="1" applyFont="1" applyFill="1" applyBorder="1" applyAlignment="1">
      <alignment horizontal="center" vertical="center" wrapText="1"/>
    </xf>
    <xf numFmtId="0" fontId="2" fillId="7" borderId="10" xfId="0" applyFont="1" applyFill="1" applyBorder="1" applyAlignment="1">
      <alignment horizontal="center" vertical="center"/>
    </xf>
    <xf numFmtId="0" fontId="2" fillId="7" borderId="10" xfId="0" applyNumberFormat="1" applyFont="1" applyFill="1" applyBorder="1" applyAlignment="1">
      <alignment horizontal="left" vertical="center" wrapText="1"/>
    </xf>
    <xf numFmtId="49" fontId="2" fillId="7" borderId="10" xfId="0" applyNumberFormat="1" applyFont="1" applyFill="1" applyBorder="1" applyAlignment="1">
      <alignment horizontal="center" vertical="center" wrapText="1"/>
    </xf>
    <xf numFmtId="0" fontId="2" fillId="7" borderId="10" xfId="0" applyNumberFormat="1" applyFont="1" applyFill="1" applyBorder="1" applyAlignment="1">
      <alignment horizontal="center" vertical="center"/>
    </xf>
    <xf numFmtId="0" fontId="2" fillId="7" borderId="17" xfId="0" applyFont="1" applyFill="1" applyBorder="1" applyAlignment="1">
      <alignment vertical="center" wrapText="1"/>
    </xf>
    <xf numFmtId="0" fontId="2" fillId="7" borderId="18" xfId="0" applyFont="1" applyFill="1" applyBorder="1" applyAlignment="1">
      <alignment vertical="center" wrapText="1"/>
    </xf>
    <xf numFmtId="2" fontId="2" fillId="7" borderId="10" xfId="0" applyNumberFormat="1"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8" xfId="0" applyFont="1" applyFill="1" applyBorder="1" applyAlignment="1">
      <alignment horizontal="center" vertical="center"/>
    </xf>
    <xf numFmtId="2" fontId="2" fillId="7" borderId="10" xfId="0" applyNumberFormat="1" applyFont="1" applyFill="1" applyBorder="1" applyAlignment="1">
      <alignment horizontal="center" vertical="center"/>
    </xf>
    <xf numFmtId="1" fontId="2" fillId="7" borderId="10" xfId="0" applyNumberFormat="1" applyFont="1" applyFill="1" applyBorder="1" applyAlignment="1">
      <alignment horizontal="center" vertical="center"/>
    </xf>
    <xf numFmtId="0" fontId="2" fillId="7" borderId="10" xfId="0" applyFont="1" applyFill="1" applyBorder="1" applyAlignment="1">
      <alignment vertical="center"/>
    </xf>
    <xf numFmtId="1" fontId="2" fillId="7" borderId="10" xfId="0" applyNumberFormat="1" applyFont="1" applyFill="1" applyBorder="1" applyAlignment="1">
      <alignment horizontal="center" vertical="center" wrapText="1"/>
    </xf>
    <xf numFmtId="0" fontId="2" fillId="7" borderId="13" xfId="0" applyFont="1" applyFill="1" applyBorder="1" applyAlignment="1">
      <alignment horizontal="right" vertical="center" wrapText="1"/>
    </xf>
    <xf numFmtId="0" fontId="2" fillId="7" borderId="20" xfId="0" applyFont="1" applyFill="1" applyBorder="1" applyAlignment="1">
      <alignment horizontal="left" vertical="center" wrapText="1"/>
    </xf>
    <xf numFmtId="0" fontId="2" fillId="7" borderId="20" xfId="0" applyFont="1" applyFill="1" applyBorder="1" applyAlignment="1">
      <alignment horizontal="left" vertical="center"/>
    </xf>
    <xf numFmtId="0" fontId="2" fillId="7" borderId="13" xfId="0" applyFont="1" applyFill="1" applyBorder="1" applyAlignment="1">
      <alignment horizontal="right" vertical="center"/>
    </xf>
    <xf numFmtId="49" fontId="2" fillId="7" borderId="19" xfId="0" applyNumberFormat="1" applyFont="1" applyFill="1" applyBorder="1" applyAlignment="1">
      <alignment horizontal="center" vertical="center"/>
    </xf>
    <xf numFmtId="0" fontId="2" fillId="7" borderId="19" xfId="0" applyFont="1" applyFill="1" applyBorder="1" applyAlignment="1">
      <alignment horizontal="left" vertical="center"/>
    </xf>
    <xf numFmtId="0" fontId="2" fillId="7" borderId="0" xfId="0" applyFont="1" applyFill="1" applyAlignment="1">
      <alignment vertical="center"/>
    </xf>
    <xf numFmtId="0" fontId="1" fillId="7" borderId="10" xfId="0" applyNumberFormat="1" applyFont="1" applyFill="1" applyBorder="1" applyAlignment="1">
      <alignment horizontal="center" vertical="center" wrapText="1"/>
    </xf>
    <xf numFmtId="1" fontId="1" fillId="7" borderId="10" xfId="0" applyNumberFormat="1" applyFont="1" applyFill="1" applyBorder="1" applyAlignment="1">
      <alignment horizontal="center" vertical="center"/>
    </xf>
    <xf numFmtId="2" fontId="1" fillId="7" borderId="10" xfId="0" applyNumberFormat="1" applyFont="1" applyFill="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40" fillId="0" borderId="17" xfId="0" applyFont="1" applyBorder="1" applyAlignment="1">
      <alignment vertical="center" wrapText="1"/>
    </xf>
    <xf numFmtId="0" fontId="40" fillId="7" borderId="17" xfId="0" applyFont="1" applyFill="1" applyBorder="1" applyAlignment="1">
      <alignment vertical="center" wrapText="1"/>
    </xf>
    <xf numFmtId="0" fontId="2" fillId="7" borderId="13" xfId="0" applyNumberFormat="1" applyFont="1" applyFill="1" applyBorder="1" applyAlignment="1">
      <alignment horizontal="center" vertical="center" wrapText="1"/>
    </xf>
    <xf numFmtId="2" fontId="2" fillId="2" borderId="0" xfId="0" applyNumberFormat="1" applyFont="1" applyFill="1" applyBorder="1" applyAlignment="1">
      <alignment vertical="center"/>
    </xf>
    <xf numFmtId="0" fontId="2" fillId="9" borderId="13" xfId="0" applyNumberFormat="1" applyFont="1" applyFill="1" applyBorder="1" applyAlignment="1">
      <alignment horizontal="center" vertical="center" wrapText="1"/>
    </xf>
    <xf numFmtId="0" fontId="1" fillId="9" borderId="3" xfId="0" applyFont="1" applyFill="1" applyBorder="1" applyAlignment="1">
      <alignment horizontal="center" vertical="center"/>
    </xf>
    <xf numFmtId="0" fontId="1" fillId="9" borderId="5" xfId="0" applyFont="1" applyFill="1" applyBorder="1" applyAlignment="1">
      <alignment horizontal="center" vertical="center"/>
    </xf>
    <xf numFmtId="0" fontId="1" fillId="9" borderId="3" xfId="0" applyFont="1" applyFill="1" applyBorder="1" applyAlignment="1">
      <alignment horizontal="left" vertical="center"/>
    </xf>
    <xf numFmtId="2" fontId="28" fillId="9" borderId="3" xfId="0" applyNumberFormat="1" applyFont="1" applyFill="1" applyBorder="1" applyAlignment="1">
      <alignment horizontal="center" vertical="center"/>
    </xf>
    <xf numFmtId="0" fontId="1" fillId="9" borderId="3" xfId="0" applyNumberFormat="1" applyFont="1" applyFill="1" applyBorder="1" applyAlignment="1">
      <alignment horizontal="center" vertical="center" wrapText="1"/>
    </xf>
    <xf numFmtId="49" fontId="1" fillId="9" borderId="3" xfId="0" applyNumberFormat="1" applyFont="1" applyFill="1" applyBorder="1" applyAlignment="1">
      <alignment horizontal="center" vertical="center" wrapText="1"/>
    </xf>
    <xf numFmtId="0" fontId="1" fillId="9" borderId="3" xfId="0" applyNumberFormat="1"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3" xfId="0" applyNumberFormat="1" applyFont="1" applyFill="1" applyBorder="1" applyAlignment="1">
      <alignment vertical="center" wrapText="1"/>
    </xf>
    <xf numFmtId="0" fontId="1" fillId="9" borderId="14" xfId="0" applyNumberFormat="1" applyFont="1" applyFill="1" applyBorder="1" applyAlignment="1">
      <alignment horizontal="left" vertical="center" wrapText="1"/>
    </xf>
    <xf numFmtId="0" fontId="1" fillId="9" borderId="15" xfId="0" applyNumberFormat="1" applyFont="1" applyFill="1" applyBorder="1" applyAlignment="1">
      <alignment horizontal="center" vertical="center" wrapText="1"/>
    </xf>
    <xf numFmtId="2" fontId="9" fillId="9" borderId="3" xfId="0" applyNumberFormat="1" applyFont="1" applyFill="1" applyBorder="1" applyAlignment="1">
      <alignment horizontal="left" vertical="center"/>
    </xf>
    <xf numFmtId="0" fontId="1" fillId="9" borderId="2" xfId="0" applyNumberFormat="1" applyFont="1" applyFill="1" applyBorder="1" applyAlignment="1">
      <alignment horizontal="center" vertical="center" wrapText="1"/>
    </xf>
    <xf numFmtId="1" fontId="1" fillId="9" borderId="2" xfId="0" applyNumberFormat="1" applyFont="1" applyFill="1" applyBorder="1" applyAlignment="1">
      <alignment horizontal="center" vertical="center"/>
    </xf>
    <xf numFmtId="0" fontId="1" fillId="9" borderId="4" xfId="0" applyNumberFormat="1" applyFont="1" applyFill="1" applyBorder="1" applyAlignment="1">
      <alignment vertical="center"/>
    </xf>
    <xf numFmtId="0" fontId="1" fillId="9" borderId="5" xfId="0" applyNumberFormat="1" applyFont="1" applyFill="1" applyBorder="1" applyAlignment="1">
      <alignment horizontal="left" vertical="center"/>
    </xf>
    <xf numFmtId="0" fontId="1" fillId="9" borderId="3" xfId="0" applyFont="1" applyFill="1" applyBorder="1" applyAlignment="1">
      <alignment vertical="center"/>
    </xf>
    <xf numFmtId="2" fontId="1" fillId="9" borderId="2" xfId="0" applyNumberFormat="1" applyFont="1" applyFill="1" applyBorder="1" applyAlignment="1">
      <alignment horizontal="right" vertical="center"/>
    </xf>
    <xf numFmtId="0" fontId="1" fillId="9" borderId="4" xfId="0" applyNumberFormat="1" applyFont="1" applyFill="1" applyBorder="1" applyAlignment="1">
      <alignment horizontal="left" vertical="center"/>
    </xf>
    <xf numFmtId="0" fontId="1" fillId="9" borderId="19" xfId="0" applyNumberFormat="1" applyFont="1" applyFill="1" applyBorder="1" applyAlignment="1">
      <alignment horizontal="left" vertical="center"/>
    </xf>
    <xf numFmtId="0" fontId="1" fillId="9" borderId="5" xfId="0" applyNumberFormat="1" applyFont="1" applyFill="1" applyBorder="1" applyAlignment="1">
      <alignment horizontal="center" vertical="center"/>
    </xf>
    <xf numFmtId="49" fontId="2" fillId="9" borderId="4" xfId="0" applyNumberFormat="1" applyFont="1" applyFill="1" applyBorder="1" applyAlignment="1">
      <alignment horizontal="right" vertical="center" wrapText="1"/>
    </xf>
    <xf numFmtId="2" fontId="2" fillId="9" borderId="4" xfId="0" applyNumberFormat="1" applyFont="1" applyFill="1" applyBorder="1" applyAlignment="1">
      <alignment horizontal="center" vertical="center" wrapText="1"/>
    </xf>
    <xf numFmtId="0" fontId="2" fillId="9" borderId="4" xfId="0" applyNumberFormat="1" applyFont="1" applyFill="1" applyBorder="1" applyAlignment="1">
      <alignment horizontal="center" vertical="center" wrapText="1"/>
    </xf>
    <xf numFmtId="0" fontId="2" fillId="9" borderId="4" xfId="0" applyNumberFormat="1" applyFont="1" applyFill="1" applyBorder="1" applyAlignment="1">
      <alignment vertical="center" wrapText="1"/>
    </xf>
    <xf numFmtId="0" fontId="2" fillId="9" borderId="5" xfId="0" applyNumberFormat="1" applyFont="1" applyFill="1" applyBorder="1" applyAlignment="1">
      <alignment horizontal="left" vertical="center" wrapText="1"/>
    </xf>
    <xf numFmtId="49" fontId="28" fillId="9" borderId="4" xfId="0" applyNumberFormat="1" applyFont="1" applyFill="1" applyBorder="1" applyAlignment="1">
      <alignment horizontal="center" vertical="center"/>
    </xf>
    <xf numFmtId="0" fontId="1" fillId="9" borderId="16" xfId="0" applyNumberFormat="1" applyFont="1" applyFill="1" applyBorder="1" applyAlignment="1">
      <alignment horizontal="left" vertical="center" wrapText="1"/>
    </xf>
    <xf numFmtId="0" fontId="11" fillId="9" borderId="4" xfId="0" applyNumberFormat="1" applyFont="1" applyFill="1" applyBorder="1" applyAlignment="1">
      <alignment horizontal="center" vertical="center"/>
    </xf>
    <xf numFmtId="2" fontId="2" fillId="9" borderId="3" xfId="0" applyNumberFormat="1" applyFont="1" applyFill="1" applyBorder="1" applyAlignment="1">
      <alignment horizontal="left" vertical="center"/>
    </xf>
    <xf numFmtId="0" fontId="9" fillId="9" borderId="2" xfId="0" applyNumberFormat="1" applyFont="1" applyFill="1" applyBorder="1" applyAlignment="1">
      <alignment horizontal="center" vertical="center" wrapText="1"/>
    </xf>
    <xf numFmtId="1" fontId="1" fillId="9" borderId="3" xfId="0" applyNumberFormat="1" applyFont="1" applyFill="1" applyBorder="1" applyAlignment="1">
      <alignment horizontal="center" vertical="center" wrapText="1"/>
    </xf>
    <xf numFmtId="1" fontId="9" fillId="9" borderId="2" xfId="0" applyNumberFormat="1" applyFont="1" applyFill="1" applyBorder="1" applyAlignment="1">
      <alignment horizontal="center" vertical="center"/>
    </xf>
    <xf numFmtId="0" fontId="9" fillId="9" borderId="3" xfId="0" applyFont="1" applyFill="1" applyBorder="1" applyAlignment="1">
      <alignment horizontal="center" vertical="center"/>
    </xf>
    <xf numFmtId="2" fontId="9" fillId="9" borderId="3" xfId="0" applyNumberFormat="1" applyFont="1" applyFill="1" applyBorder="1" applyAlignment="1">
      <alignment horizontal="center" vertical="center"/>
    </xf>
    <xf numFmtId="1" fontId="9" fillId="9" borderId="16" xfId="0" applyNumberFormat="1" applyFont="1" applyFill="1" applyBorder="1" applyAlignment="1">
      <alignment horizontal="center" vertical="center"/>
    </xf>
    <xf numFmtId="1" fontId="1" fillId="9" borderId="4" xfId="0" applyNumberFormat="1" applyFont="1" applyFill="1" applyBorder="1" applyAlignment="1">
      <alignment horizontal="right" vertical="center"/>
    </xf>
    <xf numFmtId="0" fontId="9" fillId="9" borderId="3" xfId="0" applyFont="1" applyFill="1" applyBorder="1" applyAlignment="1">
      <alignment vertical="center"/>
    </xf>
    <xf numFmtId="1" fontId="9" fillId="9" borderId="4" xfId="0" applyNumberFormat="1" applyFont="1" applyFill="1" applyBorder="1" applyAlignment="1">
      <alignment horizontal="center" vertical="center"/>
    </xf>
    <xf numFmtId="1" fontId="40" fillId="9" borderId="10" xfId="0" applyNumberFormat="1" applyFont="1" applyFill="1" applyBorder="1" applyAlignment="1">
      <alignment horizontal="center" vertical="center"/>
    </xf>
    <xf numFmtId="1" fontId="40" fillId="9" borderId="10" xfId="0" applyNumberFormat="1" applyFont="1" applyFill="1" applyBorder="1" applyAlignment="1">
      <alignment horizontal="center" vertical="center" wrapText="1"/>
    </xf>
    <xf numFmtId="1" fontId="39" fillId="9" borderId="17" xfId="0" applyNumberFormat="1" applyFont="1" applyFill="1" applyBorder="1" applyAlignment="1">
      <alignment horizontal="center" vertical="center"/>
    </xf>
    <xf numFmtId="0" fontId="39" fillId="9" borderId="10" xfId="0" applyFont="1" applyFill="1" applyBorder="1" applyAlignment="1">
      <alignment horizontal="center" vertical="center"/>
    </xf>
    <xf numFmtId="2" fontId="16" fillId="9" borderId="10" xfId="0" applyNumberFormat="1" applyFont="1" applyFill="1" applyBorder="1" applyAlignment="1">
      <alignment horizontal="center" vertical="center"/>
    </xf>
    <xf numFmtId="1" fontId="16" fillId="9" borderId="10" xfId="0" applyNumberFormat="1" applyFont="1" applyFill="1" applyBorder="1" applyAlignment="1">
      <alignment horizontal="center" vertical="center"/>
    </xf>
    <xf numFmtId="1" fontId="1" fillId="9" borderId="13" xfId="0" applyNumberFormat="1" applyFont="1" applyFill="1" applyBorder="1" applyAlignment="1">
      <alignment horizontal="right" vertical="center"/>
    </xf>
    <xf numFmtId="2" fontId="9" fillId="9" borderId="10" xfId="0" applyNumberFormat="1" applyFont="1" applyFill="1" applyBorder="1" applyAlignment="1">
      <alignment horizontal="center" vertical="center"/>
    </xf>
    <xf numFmtId="0" fontId="16" fillId="9" borderId="10" xfId="0" applyFont="1" applyFill="1" applyBorder="1" applyAlignment="1">
      <alignment vertical="center"/>
    </xf>
    <xf numFmtId="0" fontId="2" fillId="9" borderId="0" xfId="0" applyFont="1" applyFill="1" applyAlignment="1">
      <alignment vertical="center"/>
    </xf>
    <xf numFmtId="0" fontId="1" fillId="5" borderId="10"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10" xfId="0" applyFont="1" applyFill="1" applyBorder="1" applyAlignment="1">
      <alignment horizontal="left" vertical="center"/>
    </xf>
    <xf numFmtId="2" fontId="28" fillId="5" borderId="10"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center" vertical="center" wrapText="1"/>
    </xf>
    <xf numFmtId="0" fontId="1" fillId="5" borderId="10" xfId="0" applyNumberFormat="1"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0" xfId="0" applyNumberFormat="1" applyFont="1" applyFill="1" applyBorder="1" applyAlignment="1">
      <alignment vertical="center" wrapText="1"/>
    </xf>
    <xf numFmtId="0" fontId="1" fillId="5" borderId="17" xfId="0" applyNumberFormat="1" applyFont="1" applyFill="1" applyBorder="1" applyAlignment="1">
      <alignment horizontal="left" vertical="center" wrapText="1"/>
    </xf>
    <xf numFmtId="0" fontId="1" fillId="5" borderId="18" xfId="0" applyNumberFormat="1" applyFont="1" applyFill="1" applyBorder="1" applyAlignment="1">
      <alignment horizontal="center" vertical="center" wrapText="1"/>
    </xf>
    <xf numFmtId="0" fontId="1" fillId="5" borderId="13" xfId="0" applyNumberFormat="1" applyFont="1" applyFill="1" applyBorder="1" applyAlignment="1">
      <alignment horizontal="center" vertical="center" wrapText="1"/>
    </xf>
    <xf numFmtId="1" fontId="1" fillId="5" borderId="13" xfId="0" applyNumberFormat="1" applyFont="1" applyFill="1" applyBorder="1" applyAlignment="1">
      <alignment horizontal="center" vertical="center"/>
    </xf>
    <xf numFmtId="2" fontId="1" fillId="5" borderId="13" xfId="0" applyNumberFormat="1" applyFont="1" applyFill="1" applyBorder="1" applyAlignment="1">
      <alignment horizontal="right" vertical="center"/>
    </xf>
    <xf numFmtId="0" fontId="1" fillId="5" borderId="19" xfId="0" applyNumberFormat="1" applyFont="1" applyFill="1" applyBorder="1" applyAlignment="1">
      <alignment horizontal="left" vertical="center"/>
    </xf>
    <xf numFmtId="49" fontId="1" fillId="5" borderId="19" xfId="0" applyNumberFormat="1" applyFont="1" applyFill="1" applyBorder="1" applyAlignment="1">
      <alignment horizontal="right" vertical="center"/>
    </xf>
    <xf numFmtId="0" fontId="1" fillId="5" borderId="19" xfId="0" applyNumberFormat="1" applyFont="1" applyFill="1" applyBorder="1" applyAlignment="1">
      <alignment horizontal="center" vertical="center" wrapText="1"/>
    </xf>
    <xf numFmtId="0" fontId="1" fillId="5" borderId="19" xfId="0" applyNumberFormat="1" applyFont="1" applyFill="1" applyBorder="1" applyAlignment="1">
      <alignment vertical="center" wrapText="1"/>
    </xf>
    <xf numFmtId="49" fontId="28" fillId="5" borderId="19" xfId="0" applyNumberFormat="1" applyFont="1" applyFill="1" applyBorder="1" applyAlignment="1">
      <alignment horizontal="center" vertical="center"/>
    </xf>
    <xf numFmtId="0" fontId="1" fillId="5" borderId="27" xfId="0" applyNumberFormat="1" applyFont="1" applyFill="1" applyBorder="1" applyAlignment="1">
      <alignment horizontal="left" vertical="center" wrapText="1"/>
    </xf>
    <xf numFmtId="0" fontId="11" fillId="5" borderId="19" xfId="0" applyNumberFormat="1" applyFont="1" applyFill="1" applyBorder="1" applyAlignment="1">
      <alignment horizontal="center" vertical="center"/>
    </xf>
    <xf numFmtId="2" fontId="2" fillId="5" borderId="10" xfId="0" applyNumberFormat="1" applyFont="1" applyFill="1" applyBorder="1" applyAlignment="1">
      <alignment horizontal="left" vertical="center"/>
    </xf>
    <xf numFmtId="0" fontId="9" fillId="5" borderId="13" xfId="0" applyNumberFormat="1" applyFont="1" applyFill="1" applyBorder="1" applyAlignment="1">
      <alignment horizontal="center" vertical="center" wrapText="1"/>
    </xf>
    <xf numFmtId="1" fontId="1" fillId="5" borderId="10" xfId="0" applyNumberFormat="1" applyFont="1" applyFill="1" applyBorder="1" applyAlignment="1">
      <alignment horizontal="center" vertical="center" wrapText="1"/>
    </xf>
    <xf numFmtId="1" fontId="9" fillId="5" borderId="13" xfId="0" applyNumberFormat="1" applyFont="1" applyFill="1" applyBorder="1" applyAlignment="1">
      <alignment horizontal="center" vertical="center"/>
    </xf>
    <xf numFmtId="0" fontId="9" fillId="5" borderId="10" xfId="0" applyFont="1" applyFill="1" applyBorder="1" applyAlignment="1">
      <alignment horizontal="center" vertical="center"/>
    </xf>
    <xf numFmtId="2" fontId="9" fillId="5" borderId="10" xfId="0" applyNumberFormat="1" applyFont="1" applyFill="1" applyBorder="1" applyAlignment="1">
      <alignment horizontal="center" vertical="center"/>
    </xf>
    <xf numFmtId="1" fontId="16" fillId="5" borderId="27" xfId="0" applyNumberFormat="1" applyFont="1" applyFill="1" applyBorder="1" applyAlignment="1">
      <alignment horizontal="center" vertical="center"/>
    </xf>
    <xf numFmtId="1" fontId="1" fillId="5" borderId="19" xfId="0" applyNumberFormat="1" applyFont="1" applyFill="1" applyBorder="1" applyAlignment="1">
      <alignment horizontal="right" vertical="center" wrapText="1"/>
    </xf>
    <xf numFmtId="0" fontId="1" fillId="5" borderId="19" xfId="0" applyFont="1" applyFill="1" applyBorder="1" applyAlignment="1">
      <alignment horizontal="center" vertical="center"/>
    </xf>
    <xf numFmtId="0" fontId="1" fillId="5" borderId="19" xfId="0" applyFont="1" applyFill="1" applyBorder="1" applyAlignment="1">
      <alignment vertical="center"/>
    </xf>
    <xf numFmtId="1" fontId="40" fillId="2" borderId="10" xfId="0" applyNumberFormat="1" applyFont="1" applyFill="1" applyBorder="1" applyAlignment="1">
      <alignment horizontal="center" vertical="center"/>
    </xf>
    <xf numFmtId="1" fontId="40" fillId="2" borderId="10" xfId="0" applyNumberFormat="1" applyFont="1" applyFill="1" applyBorder="1" applyAlignment="1">
      <alignment horizontal="center" vertical="center" wrapText="1"/>
    </xf>
    <xf numFmtId="1" fontId="39" fillId="2" borderId="17" xfId="0" applyNumberFormat="1" applyFont="1" applyFill="1" applyBorder="1" applyAlignment="1">
      <alignment horizontal="center" vertical="center"/>
    </xf>
    <xf numFmtId="0" fontId="39" fillId="2" borderId="10" xfId="0" applyFont="1" applyFill="1" applyBorder="1" applyAlignment="1">
      <alignment horizontal="center" vertical="center"/>
    </xf>
    <xf numFmtId="0" fontId="2" fillId="7" borderId="10" xfId="0" applyFont="1" applyFill="1" applyBorder="1" applyAlignment="1">
      <alignment horizontal="left" vertical="center" wrapText="1"/>
    </xf>
    <xf numFmtId="49" fontId="2" fillId="7" borderId="21" xfId="0" applyNumberFormat="1" applyFont="1" applyFill="1" applyBorder="1" applyAlignment="1">
      <alignment horizontal="center" vertical="center" wrapText="1"/>
    </xf>
    <xf numFmtId="49" fontId="2" fillId="7" borderId="22" xfId="0" applyNumberFormat="1" applyFont="1" applyFill="1" applyBorder="1" applyAlignment="1">
      <alignment horizontal="center" vertical="center" wrapText="1"/>
    </xf>
    <xf numFmtId="0" fontId="2" fillId="7" borderId="23" xfId="0" applyNumberFormat="1" applyFont="1" applyFill="1" applyBorder="1" applyAlignment="1">
      <alignment horizontal="center" vertical="center" wrapText="1"/>
    </xf>
    <xf numFmtId="0" fontId="2" fillId="7" borderId="19" xfId="0" applyNumberFormat="1" applyFont="1" applyFill="1" applyBorder="1" applyAlignment="1">
      <alignment horizontal="center" vertical="center" wrapText="1"/>
    </xf>
    <xf numFmtId="0" fontId="40" fillId="7" borderId="24" xfId="0" applyFont="1" applyFill="1" applyBorder="1" applyAlignment="1">
      <alignment horizontal="left" vertical="center" wrapText="1"/>
    </xf>
    <xf numFmtId="0" fontId="2" fillId="7" borderId="25" xfId="0" applyNumberFormat="1" applyFont="1" applyFill="1" applyBorder="1" applyAlignment="1">
      <alignment horizontal="left" vertical="center" wrapText="1"/>
    </xf>
    <xf numFmtId="2" fontId="2" fillId="7" borderId="10" xfId="0" applyNumberFormat="1" applyFont="1" applyFill="1" applyBorder="1" applyAlignment="1">
      <alignment horizontal="right" vertical="center"/>
    </xf>
    <xf numFmtId="2" fontId="2" fillId="7" borderId="13" xfId="0" applyNumberFormat="1" applyFont="1" applyFill="1" applyBorder="1" applyAlignment="1">
      <alignment horizontal="right" vertical="center"/>
    </xf>
    <xf numFmtId="2" fontId="2" fillId="7" borderId="17" xfId="0" applyNumberFormat="1" applyFont="1" applyFill="1" applyBorder="1" applyAlignment="1">
      <alignment horizontal="center" vertical="center" wrapText="1"/>
    </xf>
    <xf numFmtId="2" fontId="2" fillId="7" borderId="18" xfId="0" applyNumberFormat="1" applyFont="1" applyFill="1" applyBorder="1" applyAlignment="1">
      <alignment horizontal="center" vertical="center"/>
    </xf>
    <xf numFmtId="0" fontId="2" fillId="7" borderId="17" xfId="0" applyNumberFormat="1" applyFont="1" applyFill="1" applyBorder="1" applyAlignment="1">
      <alignment horizontal="left" vertical="center" wrapText="1"/>
    </xf>
    <xf numFmtId="2" fontId="2" fillId="7" borderId="13" xfId="0" applyNumberFormat="1" applyFont="1" applyFill="1" applyBorder="1" applyAlignment="1">
      <alignment horizontal="center" vertical="center"/>
    </xf>
    <xf numFmtId="0" fontId="2" fillId="7" borderId="13" xfId="0" applyNumberFormat="1" applyFont="1" applyFill="1" applyBorder="1" applyAlignment="1">
      <alignment vertical="center" wrapText="1"/>
    </xf>
    <xf numFmtId="0" fontId="2" fillId="7" borderId="19" xfId="0" applyNumberFormat="1" applyFont="1" applyFill="1" applyBorder="1" applyAlignment="1">
      <alignment vertical="center" wrapText="1"/>
    </xf>
    <xf numFmtId="0" fontId="2" fillId="7" borderId="20" xfId="0" applyNumberFormat="1" applyFont="1" applyFill="1" applyBorder="1" applyAlignment="1">
      <alignment horizontal="left" vertical="center" wrapText="1"/>
    </xf>
    <xf numFmtId="0" fontId="2" fillId="7" borderId="13" xfId="0" applyNumberFormat="1" applyFont="1" applyFill="1" applyBorder="1" applyAlignment="1">
      <alignment horizontal="right" vertical="center" wrapText="1"/>
    </xf>
    <xf numFmtId="2" fontId="2" fillId="7" borderId="13" xfId="0" applyNumberFormat="1" applyFont="1" applyFill="1" applyBorder="1" applyAlignment="1">
      <alignment horizontal="center" vertical="center" wrapText="1"/>
    </xf>
    <xf numFmtId="49" fontId="2" fillId="7" borderId="13" xfId="0" applyNumberFormat="1" applyFont="1" applyFill="1" applyBorder="1" applyAlignment="1">
      <alignment horizontal="right" vertical="center"/>
    </xf>
    <xf numFmtId="2" fontId="2" fillId="7" borderId="19" xfId="0" applyNumberFormat="1" applyFont="1" applyFill="1" applyBorder="1" applyAlignment="1">
      <alignment horizontal="center" vertical="center"/>
    </xf>
    <xf numFmtId="49" fontId="2" fillId="7" borderId="19" xfId="0" applyNumberFormat="1" applyFont="1" applyFill="1" applyBorder="1" applyAlignment="1">
      <alignment vertical="center"/>
    </xf>
    <xf numFmtId="0" fontId="2" fillId="7" borderId="20" xfId="0" applyNumberFormat="1" applyFont="1" applyFill="1" applyBorder="1" applyAlignment="1">
      <alignment horizontal="left" vertical="center"/>
    </xf>
    <xf numFmtId="1" fontId="2" fillId="7" borderId="26" xfId="0" applyNumberFormat="1" applyFont="1" applyFill="1" applyBorder="1" applyAlignment="1">
      <alignment horizontal="center" vertical="center" wrapText="1"/>
    </xf>
    <xf numFmtId="0" fontId="2" fillId="7" borderId="19" xfId="0" applyNumberFormat="1" applyFont="1" applyFill="1" applyBorder="1" applyAlignment="1">
      <alignment horizontal="center" vertical="center"/>
    </xf>
    <xf numFmtId="2" fontId="2" fillId="7" borderId="10" xfId="0" applyNumberFormat="1" applyFont="1" applyFill="1" applyBorder="1" applyAlignment="1">
      <alignment horizontal="left" vertical="center"/>
    </xf>
    <xf numFmtId="1" fontId="1" fillId="7" borderId="13" xfId="0" applyNumberFormat="1" applyFont="1" applyFill="1" applyBorder="1" applyAlignment="1">
      <alignment horizontal="center" vertical="center"/>
    </xf>
    <xf numFmtId="1" fontId="1" fillId="7" borderId="17" xfId="0" applyNumberFormat="1" applyFont="1" applyFill="1" applyBorder="1" applyAlignment="1">
      <alignment horizontal="center" vertical="center"/>
    </xf>
    <xf numFmtId="0" fontId="1" fillId="7" borderId="10" xfId="0" applyFont="1" applyFill="1" applyBorder="1" applyAlignment="1">
      <alignment horizontal="center" vertical="center"/>
    </xf>
    <xf numFmtId="1" fontId="2" fillId="7" borderId="27" xfId="0" applyNumberFormat="1" applyFont="1" applyFill="1" applyBorder="1" applyAlignment="1">
      <alignment horizontal="center" vertical="center"/>
    </xf>
    <xf numFmtId="2" fontId="1" fillId="7" borderId="20" xfId="0" applyNumberFormat="1" applyFont="1" applyFill="1" applyBorder="1" applyAlignment="1">
      <alignment horizontal="center" vertical="center"/>
    </xf>
    <xf numFmtId="1" fontId="1" fillId="7" borderId="28" xfId="0" applyNumberFormat="1" applyFont="1" applyFill="1" applyBorder="1" applyAlignment="1">
      <alignment horizontal="center" vertical="center" wrapText="1"/>
    </xf>
    <xf numFmtId="1" fontId="2" fillId="7" borderId="20" xfId="0" applyNumberFormat="1" applyFont="1" applyFill="1" applyBorder="1" applyAlignment="1">
      <alignment horizontal="center" vertical="center"/>
    </xf>
    <xf numFmtId="1" fontId="1" fillId="7" borderId="13" xfId="0" applyNumberFormat="1" applyFont="1" applyFill="1" applyBorder="1" applyAlignment="1">
      <alignment horizontal="right" vertical="center"/>
    </xf>
    <xf numFmtId="1" fontId="2" fillId="2" borderId="20"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3" xfId="0" applyFont="1" applyFill="1" applyBorder="1" applyAlignment="1">
      <alignment horizontal="left" vertical="center"/>
    </xf>
    <xf numFmtId="2" fontId="28" fillId="5" borderId="3" xfId="0" applyNumberFormat="1" applyFont="1" applyFill="1" applyBorder="1" applyAlignment="1">
      <alignment horizontal="center" vertical="center"/>
    </xf>
    <xf numFmtId="0" fontId="1" fillId="5" borderId="3"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5" borderId="3" xfId="0" applyNumberFormat="1"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3" xfId="0" applyNumberFormat="1" applyFont="1" applyFill="1" applyBorder="1" applyAlignment="1">
      <alignment vertical="center" wrapText="1"/>
    </xf>
    <xf numFmtId="0" fontId="1" fillId="5" borderId="14" xfId="0" applyNumberFormat="1" applyFont="1" applyFill="1" applyBorder="1" applyAlignment="1">
      <alignment horizontal="left" vertical="center" wrapText="1"/>
    </xf>
    <xf numFmtId="1" fontId="1" fillId="5" borderId="2" xfId="0" applyNumberFormat="1" applyFont="1" applyFill="1" applyBorder="1" applyAlignment="1">
      <alignment horizontal="center" vertical="center"/>
    </xf>
    <xf numFmtId="0" fontId="1" fillId="5" borderId="4" xfId="0" applyNumberFormat="1" applyFont="1" applyFill="1" applyBorder="1" applyAlignment="1">
      <alignment vertical="center"/>
    </xf>
    <xf numFmtId="2" fontId="1" fillId="5" borderId="2" xfId="0" applyNumberFormat="1" applyFont="1" applyFill="1" applyBorder="1" applyAlignment="1">
      <alignment horizontal="right" vertical="center"/>
    </xf>
    <xf numFmtId="0" fontId="1" fillId="5" borderId="4" xfId="0" applyNumberFormat="1" applyFont="1" applyFill="1" applyBorder="1" applyAlignment="1">
      <alignment horizontal="left" vertical="center"/>
    </xf>
    <xf numFmtId="0" fontId="1" fillId="5" borderId="5" xfId="0" applyNumberFormat="1" applyFont="1" applyFill="1" applyBorder="1" applyAlignment="1">
      <alignment horizontal="center" vertical="center"/>
    </xf>
    <xf numFmtId="2" fontId="2" fillId="5" borderId="4" xfId="0" applyNumberFormat="1" applyFont="1" applyFill="1" applyBorder="1" applyAlignment="1">
      <alignment horizontal="center" vertical="center" wrapText="1"/>
    </xf>
    <xf numFmtId="0" fontId="2" fillId="5" borderId="4" xfId="0" applyNumberFormat="1" applyFont="1" applyFill="1" applyBorder="1" applyAlignment="1">
      <alignment horizontal="center" vertical="center" wrapText="1"/>
    </xf>
    <xf numFmtId="0" fontId="2" fillId="5" borderId="4" xfId="0" applyNumberFormat="1" applyFont="1" applyFill="1" applyBorder="1" applyAlignment="1">
      <alignment vertical="center" wrapText="1"/>
    </xf>
    <xf numFmtId="49" fontId="28" fillId="5" borderId="4" xfId="0" applyNumberFormat="1" applyFont="1" applyFill="1" applyBorder="1" applyAlignment="1">
      <alignment horizontal="center" vertical="center"/>
    </xf>
    <xf numFmtId="0" fontId="1" fillId="5" borderId="16" xfId="0" applyNumberFormat="1" applyFont="1" applyFill="1" applyBorder="1" applyAlignment="1">
      <alignment horizontal="left" vertical="center" wrapText="1"/>
    </xf>
    <xf numFmtId="0" fontId="11" fillId="5" borderId="4" xfId="0" applyNumberFormat="1" applyFont="1" applyFill="1" applyBorder="1" applyAlignment="1">
      <alignment horizontal="center" vertical="center"/>
    </xf>
    <xf numFmtId="2" fontId="2" fillId="5" borderId="3" xfId="0" applyNumberFormat="1" applyFont="1" applyFill="1" applyBorder="1" applyAlignment="1">
      <alignment horizontal="left" vertical="center"/>
    </xf>
    <xf numFmtId="0" fontId="9" fillId="5" borderId="2"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xf>
    <xf numFmtId="0" fontId="9" fillId="5" borderId="3" xfId="0" applyFont="1" applyFill="1" applyBorder="1" applyAlignment="1">
      <alignment horizontal="center" vertical="center"/>
    </xf>
    <xf numFmtId="2" fontId="9" fillId="5" borderId="3" xfId="0" applyNumberFormat="1" applyFont="1" applyFill="1" applyBorder="1" applyAlignment="1">
      <alignment horizontal="center" vertical="center"/>
    </xf>
    <xf numFmtId="1" fontId="9" fillId="5" borderId="16" xfId="0" applyNumberFormat="1" applyFont="1" applyFill="1" applyBorder="1" applyAlignment="1">
      <alignment horizontal="center" vertical="center"/>
    </xf>
    <xf numFmtId="1" fontId="1" fillId="5" borderId="4" xfId="0" applyNumberFormat="1" applyFont="1" applyFill="1" applyBorder="1" applyAlignment="1">
      <alignment horizontal="right" vertical="center"/>
    </xf>
    <xf numFmtId="0" fontId="9" fillId="5" borderId="3" xfId="0" applyFont="1" applyFill="1" applyBorder="1" applyAlignment="1">
      <alignment vertical="center"/>
    </xf>
    <xf numFmtId="1" fontId="9" fillId="5" borderId="4" xfId="0" applyNumberFormat="1" applyFont="1" applyFill="1" applyBorder="1" applyAlignment="1">
      <alignment horizontal="center" vertical="center"/>
    </xf>
    <xf numFmtId="1" fontId="1" fillId="5" borderId="5" xfId="0" applyNumberFormat="1" applyFont="1" applyFill="1" applyBorder="1" applyAlignment="1">
      <alignment horizontal="center" vertical="center" wrapText="1"/>
    </xf>
    <xf numFmtId="0" fontId="31" fillId="2" borderId="0" xfId="0" applyFont="1" applyFill="1" applyAlignment="1">
      <alignment vertical="center"/>
    </xf>
    <xf numFmtId="0" fontId="2" fillId="2" borderId="1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30" xfId="0" applyFont="1" applyFill="1" applyBorder="1" applyAlignment="1">
      <alignment horizontal="left" vertical="center" wrapText="1"/>
    </xf>
    <xf numFmtId="0" fontId="2" fillId="2" borderId="18"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0" fontId="2" fillId="2" borderId="19" xfId="0" applyNumberFormat="1" applyFont="1" applyFill="1" applyBorder="1" applyAlignment="1">
      <alignment horizontal="left" vertical="center" wrapText="1"/>
    </xf>
    <xf numFmtId="2" fontId="2" fillId="2" borderId="26" xfId="0" applyNumberFormat="1" applyFont="1" applyFill="1" applyBorder="1" applyAlignment="1">
      <alignment horizontal="center" vertical="center"/>
    </xf>
    <xf numFmtId="0" fontId="2" fillId="2" borderId="20" xfId="0" applyFont="1" applyFill="1" applyBorder="1" applyAlignment="1">
      <alignment vertical="center"/>
    </xf>
    <xf numFmtId="0" fontId="31" fillId="0" borderId="0" xfId="0" applyFont="1" applyAlignment="1">
      <alignment vertical="center"/>
    </xf>
    <xf numFmtId="0" fontId="40" fillId="2" borderId="24" xfId="0" applyFont="1" applyFill="1" applyBorder="1" applyAlignment="1">
      <alignment horizontal="left" vertical="center" wrapText="1"/>
    </xf>
    <xf numFmtId="0" fontId="39" fillId="7" borderId="9" xfId="0" applyNumberFormat="1" applyFont="1" applyFill="1" applyBorder="1" applyAlignment="1">
      <alignment horizontal="center" vertical="center" wrapText="1"/>
    </xf>
    <xf numFmtId="0" fontId="2" fillId="4" borderId="31" xfId="0" applyNumberFormat="1" applyFont="1" applyFill="1" applyBorder="1" applyAlignment="1">
      <alignment horizontal="center" vertical="top"/>
    </xf>
    <xf numFmtId="0" fontId="2" fillId="4" borderId="31" xfId="0" applyNumberFormat="1" applyFont="1" applyFill="1" applyBorder="1" applyAlignment="1">
      <alignment horizontal="center" vertical="top" wrapText="1"/>
    </xf>
    <xf numFmtId="0" fontId="2" fillId="4" borderId="12" xfId="0" applyNumberFormat="1" applyFont="1" applyFill="1" applyBorder="1" applyAlignment="1">
      <alignment horizontal="center" vertical="top"/>
    </xf>
    <xf numFmtId="0" fontId="39" fillId="7" borderId="0" xfId="0" applyFont="1" applyFill="1" applyBorder="1" applyAlignment="1">
      <alignment vertical="center"/>
    </xf>
    <xf numFmtId="0" fontId="39" fillId="7" borderId="0" xfId="0" applyFont="1" applyFill="1" applyBorder="1" applyAlignment="1">
      <alignment horizontal="left" vertical="center" wrapText="1"/>
    </xf>
    <xf numFmtId="2" fontId="44" fillId="7" borderId="0" xfId="0" applyNumberFormat="1" applyFont="1" applyFill="1" applyBorder="1" applyAlignment="1">
      <alignment vertical="center"/>
    </xf>
    <xf numFmtId="0" fontId="44" fillId="7" borderId="0" xfId="0" applyFont="1" applyFill="1" applyBorder="1" applyAlignment="1">
      <alignment vertical="center"/>
    </xf>
    <xf numFmtId="0" fontId="44" fillId="7" borderId="0" xfId="0" applyFont="1" applyFill="1" applyBorder="1" applyAlignment="1">
      <alignment vertical="center" wrapText="1"/>
    </xf>
    <xf numFmtId="49" fontId="1" fillId="2" borderId="10" xfId="0" applyNumberFormat="1" applyFont="1" applyFill="1" applyBorder="1" applyAlignment="1">
      <alignment horizontal="center" vertical="center" wrapText="1"/>
    </xf>
    <xf numFmtId="0" fontId="27" fillId="6" borderId="10"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7" xfId="0" applyFont="1" applyBorder="1" applyAlignment="1">
      <alignment horizontal="center" vertical="center" wrapText="1"/>
    </xf>
    <xf numFmtId="0" fontId="2" fillId="0" borderId="7" xfId="0" applyFont="1" applyBorder="1" applyAlignment="1">
      <alignment horizontal="center" vertical="center"/>
    </xf>
    <xf numFmtId="0" fontId="2" fillId="2" borderId="13"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7" borderId="24" xfId="0" applyFont="1" applyFill="1" applyBorder="1" applyAlignment="1">
      <alignment horizontal="left" vertical="center" wrapText="1"/>
    </xf>
    <xf numFmtId="0" fontId="2" fillId="10" borderId="10" xfId="0" applyNumberFormat="1" applyFont="1" applyFill="1" applyBorder="1" applyAlignment="1">
      <alignment horizontal="center" vertical="center" wrapText="1"/>
    </xf>
    <xf numFmtId="0" fontId="2" fillId="10" borderId="7" xfId="0" applyFont="1" applyFill="1" applyBorder="1" applyAlignment="1">
      <alignment horizontal="center" vertical="center"/>
    </xf>
    <xf numFmtId="0" fontId="2" fillId="10" borderId="10"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0" fontId="2" fillId="10" borderId="10" xfId="0" applyFont="1" applyFill="1" applyBorder="1" applyAlignment="1">
      <alignment horizontal="center" vertical="center"/>
    </xf>
    <xf numFmtId="0" fontId="1" fillId="10" borderId="10" xfId="0" applyNumberFormat="1" applyFont="1" applyFill="1" applyBorder="1" applyAlignment="1">
      <alignment horizontal="center" vertical="center" wrapText="1"/>
    </xf>
    <xf numFmtId="0" fontId="1" fillId="5" borderId="20" xfId="0" applyFont="1" applyFill="1" applyBorder="1" applyAlignment="1">
      <alignment vertical="center"/>
    </xf>
    <xf numFmtId="0" fontId="1" fillId="5" borderId="20" xfId="0" applyNumberFormat="1" applyFont="1" applyFill="1" applyBorder="1" applyAlignment="1">
      <alignment horizontal="center" vertical="center"/>
    </xf>
    <xf numFmtId="0" fontId="1" fillId="5" borderId="19" xfId="0" applyNumberFormat="1" applyFont="1" applyFill="1" applyBorder="1" applyAlignment="1">
      <alignment horizontal="left" vertical="center" wrapText="1"/>
    </xf>
    <xf numFmtId="1" fontId="10" fillId="5" borderId="19" xfId="0" applyNumberFormat="1" applyFont="1" applyFill="1" applyBorder="1" applyAlignment="1">
      <alignment horizontal="center" vertical="center" wrapText="1"/>
    </xf>
    <xf numFmtId="1" fontId="39" fillId="2" borderId="13" xfId="0" applyNumberFormat="1" applyFont="1" applyFill="1" applyBorder="1" applyAlignment="1">
      <alignment horizontal="center" vertical="center"/>
    </xf>
    <xf numFmtId="0" fontId="2" fillId="7" borderId="7" xfId="0" applyFont="1" applyFill="1" applyBorder="1" applyAlignment="1">
      <alignment horizontal="center" vertical="center"/>
    </xf>
    <xf numFmtId="0" fontId="2" fillId="7" borderId="7" xfId="0" applyFont="1" applyFill="1" applyBorder="1" applyAlignment="1">
      <alignment horizontal="left" vertical="center" wrapText="1"/>
    </xf>
    <xf numFmtId="49" fontId="2" fillId="7" borderId="32" xfId="0" applyNumberFormat="1" applyFont="1" applyFill="1" applyBorder="1" applyAlignment="1">
      <alignment horizontal="center" vertical="center" wrapText="1"/>
    </xf>
    <xf numFmtId="49" fontId="2" fillId="7" borderId="33" xfId="0" applyNumberFormat="1" applyFont="1" applyFill="1" applyBorder="1" applyAlignment="1">
      <alignment horizontal="center" vertical="center" wrapText="1"/>
    </xf>
    <xf numFmtId="0" fontId="2" fillId="7" borderId="34" xfId="0" applyNumberFormat="1" applyFont="1" applyFill="1" applyBorder="1" applyAlignment="1">
      <alignment horizontal="center" vertical="center" wrapText="1"/>
    </xf>
    <xf numFmtId="0" fontId="2" fillId="7" borderId="35" xfId="0" applyNumberFormat="1" applyFont="1" applyFill="1" applyBorder="1" applyAlignment="1">
      <alignment horizontal="center" vertical="center" wrapText="1"/>
    </xf>
    <xf numFmtId="0" fontId="40" fillId="7" borderId="36" xfId="0" applyFont="1" applyFill="1" applyBorder="1" applyAlignment="1">
      <alignment horizontal="left" vertical="center" wrapText="1"/>
    </xf>
    <xf numFmtId="0" fontId="2" fillId="7" borderId="37" xfId="0" applyNumberFormat="1" applyFont="1" applyFill="1" applyBorder="1" applyAlignment="1">
      <alignment horizontal="left" vertical="center" wrapText="1"/>
    </xf>
    <xf numFmtId="2" fontId="2" fillId="7" borderId="7" xfId="0" applyNumberFormat="1" applyFont="1" applyFill="1" applyBorder="1" applyAlignment="1">
      <alignment horizontal="right" vertical="center"/>
    </xf>
    <xf numFmtId="2" fontId="2" fillId="7" borderId="6" xfId="0" applyNumberFormat="1" applyFont="1" applyFill="1" applyBorder="1" applyAlignment="1">
      <alignment horizontal="right" vertical="center"/>
    </xf>
    <xf numFmtId="2" fontId="2" fillId="7" borderId="8" xfId="0" applyNumberFormat="1" applyFont="1" applyFill="1" applyBorder="1" applyAlignment="1">
      <alignment horizontal="center" vertical="center" wrapText="1"/>
    </xf>
    <xf numFmtId="2" fontId="2" fillId="7" borderId="38"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2" fontId="2" fillId="7" borderId="6" xfId="0" applyNumberFormat="1" applyFont="1" applyFill="1" applyBorder="1" applyAlignment="1">
      <alignment horizontal="center" vertical="center"/>
    </xf>
    <xf numFmtId="0" fontId="2" fillId="7" borderId="6" xfId="0" applyNumberFormat="1" applyFont="1" applyFill="1" applyBorder="1" applyAlignment="1">
      <alignment vertical="center" wrapText="1"/>
    </xf>
    <xf numFmtId="0" fontId="2" fillId="7" borderId="35" xfId="0" applyNumberFormat="1" applyFont="1" applyFill="1" applyBorder="1" applyAlignment="1">
      <alignment vertical="center" wrapText="1"/>
    </xf>
    <xf numFmtId="0" fontId="2" fillId="7" borderId="9" xfId="0" applyNumberFormat="1" applyFont="1" applyFill="1" applyBorder="1" applyAlignment="1">
      <alignment horizontal="left" vertical="center" wrapText="1"/>
    </xf>
    <xf numFmtId="2" fontId="2" fillId="7" borderId="7" xfId="0" applyNumberFormat="1" applyFont="1" applyFill="1" applyBorder="1" applyAlignment="1">
      <alignment horizontal="center" vertical="center" wrapText="1"/>
    </xf>
    <xf numFmtId="0" fontId="2" fillId="7" borderId="6" xfId="0" applyNumberFormat="1" applyFont="1" applyFill="1" applyBorder="1" applyAlignment="1">
      <alignment horizontal="right" vertical="center" wrapText="1"/>
    </xf>
    <xf numFmtId="2" fontId="2" fillId="7" borderId="6" xfId="0" applyNumberFormat="1" applyFont="1" applyFill="1" applyBorder="1" applyAlignment="1">
      <alignment horizontal="center" vertical="center" wrapText="1"/>
    </xf>
    <xf numFmtId="49" fontId="2" fillId="7" borderId="6" xfId="0" applyNumberFormat="1" applyFont="1" applyFill="1" applyBorder="1" applyAlignment="1">
      <alignment horizontal="right" vertical="center"/>
    </xf>
    <xf numFmtId="2" fontId="2" fillId="7" borderId="35" xfId="0" applyNumberFormat="1" applyFont="1" applyFill="1" applyBorder="1" applyAlignment="1">
      <alignment horizontal="center" vertical="center"/>
    </xf>
    <xf numFmtId="49" fontId="2" fillId="7" borderId="35" xfId="0" applyNumberFormat="1" applyFont="1" applyFill="1" applyBorder="1" applyAlignment="1">
      <alignment horizontal="center" vertical="center"/>
    </xf>
    <xf numFmtId="49" fontId="2" fillId="7" borderId="35" xfId="0" applyNumberFormat="1" applyFont="1" applyFill="1" applyBorder="1" applyAlignment="1">
      <alignment vertical="center"/>
    </xf>
    <xf numFmtId="0" fontId="2" fillId="7" borderId="9" xfId="0" applyNumberFormat="1" applyFont="1" applyFill="1" applyBorder="1" applyAlignment="1">
      <alignment horizontal="left" vertical="center"/>
    </xf>
    <xf numFmtId="1" fontId="2" fillId="7" borderId="39" xfId="0" applyNumberFormat="1" applyFont="1" applyFill="1" applyBorder="1" applyAlignment="1">
      <alignment horizontal="center" vertical="center" wrapText="1"/>
    </xf>
    <xf numFmtId="0" fontId="2" fillId="7" borderId="35" xfId="0" applyNumberFormat="1" applyFont="1" applyFill="1" applyBorder="1" applyAlignment="1">
      <alignment horizontal="center" vertical="center"/>
    </xf>
    <xf numFmtId="2" fontId="2" fillId="7" borderId="7" xfId="0" applyNumberFormat="1" applyFont="1" applyFill="1" applyBorder="1" applyAlignment="1">
      <alignment horizontal="left" vertical="center"/>
    </xf>
    <xf numFmtId="0" fontId="2" fillId="7" borderId="7" xfId="0" applyNumberFormat="1" applyFont="1" applyFill="1" applyBorder="1" applyAlignment="1">
      <alignment horizontal="center" vertical="center" wrapText="1"/>
    </xf>
    <xf numFmtId="1" fontId="1" fillId="7" borderId="6" xfId="0" applyNumberFormat="1" applyFont="1" applyFill="1" applyBorder="1" applyAlignment="1">
      <alignment horizontal="center" vertical="center"/>
    </xf>
    <xf numFmtId="1" fontId="2" fillId="7" borderId="7" xfId="0" applyNumberFormat="1" applyFont="1" applyFill="1" applyBorder="1" applyAlignment="1">
      <alignment horizontal="center" vertical="center" wrapText="1"/>
    </xf>
    <xf numFmtId="1" fontId="2" fillId="7" borderId="7" xfId="0" applyNumberFormat="1" applyFont="1" applyFill="1" applyBorder="1" applyAlignment="1">
      <alignment horizontal="center" vertical="center"/>
    </xf>
    <xf numFmtId="1" fontId="1" fillId="7" borderId="8" xfId="0" applyNumberFormat="1" applyFont="1" applyFill="1" applyBorder="1" applyAlignment="1">
      <alignment horizontal="center" vertical="center"/>
    </xf>
    <xf numFmtId="0" fontId="1" fillId="7" borderId="7" xfId="0" applyFont="1" applyFill="1" applyBorder="1" applyAlignment="1">
      <alignment horizontal="center" vertical="center"/>
    </xf>
    <xf numFmtId="2" fontId="2" fillId="7" borderId="7" xfId="0" applyNumberFormat="1" applyFont="1" applyFill="1" applyBorder="1" applyAlignment="1">
      <alignment horizontal="center" vertical="center"/>
    </xf>
    <xf numFmtId="1" fontId="2" fillId="7" borderId="40" xfId="0" applyNumberFormat="1" applyFont="1" applyFill="1" applyBorder="1" applyAlignment="1">
      <alignment horizontal="center" vertical="center"/>
    </xf>
    <xf numFmtId="2" fontId="1" fillId="7" borderId="9" xfId="0" applyNumberFormat="1" applyFont="1" applyFill="1" applyBorder="1" applyAlignment="1">
      <alignment horizontal="center" vertical="center"/>
    </xf>
    <xf numFmtId="0" fontId="2" fillId="7" borderId="7" xfId="0" applyFont="1" applyFill="1" applyBorder="1" applyAlignment="1">
      <alignment vertical="center"/>
    </xf>
    <xf numFmtId="1" fontId="1" fillId="7" borderId="7" xfId="0" applyNumberFormat="1" applyFont="1" applyFill="1" applyBorder="1" applyAlignment="1">
      <alignment horizontal="center" vertical="center"/>
    </xf>
    <xf numFmtId="1" fontId="1" fillId="7" borderId="41" xfId="0" applyNumberFormat="1" applyFont="1" applyFill="1" applyBorder="1" applyAlignment="1">
      <alignment horizontal="center" vertical="center" wrapText="1"/>
    </xf>
    <xf numFmtId="1" fontId="2" fillId="7" borderId="9" xfId="0" applyNumberFormat="1" applyFont="1" applyFill="1" applyBorder="1" applyAlignment="1">
      <alignment horizontal="center" vertical="center"/>
    </xf>
    <xf numFmtId="49" fontId="2" fillId="7" borderId="20" xfId="0" applyNumberFormat="1" applyFont="1" applyFill="1" applyBorder="1" applyAlignment="1">
      <alignment horizontal="left" vertical="center"/>
    </xf>
    <xf numFmtId="0" fontId="2" fillId="7" borderId="0" xfId="0" applyNumberFormat="1" applyFont="1" applyFill="1" applyAlignment="1">
      <alignment horizontal="center" vertical="center"/>
    </xf>
    <xf numFmtId="0" fontId="2" fillId="7" borderId="3" xfId="0" applyFont="1" applyFill="1" applyBorder="1" applyAlignment="1">
      <alignment vertical="center"/>
    </xf>
    <xf numFmtId="49" fontId="2" fillId="2" borderId="20" xfId="0" applyNumberFormat="1" applyFont="1" applyFill="1" applyBorder="1" applyAlignment="1">
      <alignment horizontal="left" vertical="center"/>
    </xf>
    <xf numFmtId="0" fontId="2" fillId="2" borderId="0" xfId="0" applyNumberFormat="1" applyFont="1" applyFill="1" applyAlignment="1">
      <alignment horizontal="center" vertical="center"/>
    </xf>
    <xf numFmtId="0" fontId="1" fillId="5" borderId="28" xfId="0" applyNumberFormat="1" applyFont="1" applyFill="1" applyBorder="1" applyAlignment="1">
      <alignment horizontal="center" vertical="center" wrapText="1"/>
    </xf>
    <xf numFmtId="2" fontId="9" fillId="5" borderId="5" xfId="0" applyNumberFormat="1" applyFont="1" applyFill="1" applyBorder="1" applyAlignment="1">
      <alignment horizontal="left" vertical="center"/>
    </xf>
    <xf numFmtId="0" fontId="1" fillId="5" borderId="13" xfId="0" applyNumberFormat="1" applyFont="1" applyFill="1" applyBorder="1" applyAlignment="1">
      <alignment horizontal="left" vertical="center"/>
    </xf>
    <xf numFmtId="49" fontId="2" fillId="5" borderId="10" xfId="0" applyNumberFormat="1" applyFont="1" applyFill="1" applyBorder="1" applyAlignment="1">
      <alignment horizontal="right" vertical="center" wrapText="1"/>
    </xf>
    <xf numFmtId="0" fontId="2" fillId="5" borderId="4" xfId="0" applyNumberFormat="1" applyFont="1" applyFill="1" applyBorder="1" applyAlignment="1">
      <alignment horizontal="left" vertical="center" wrapText="1"/>
    </xf>
    <xf numFmtId="0" fontId="40" fillId="2" borderId="20" xfId="0" applyFont="1" applyFill="1" applyBorder="1" applyAlignment="1">
      <alignment horizontal="center" vertical="center"/>
    </xf>
    <xf numFmtId="0" fontId="40" fillId="2" borderId="10" xfId="0" applyNumberFormat="1" applyFont="1" applyFill="1" applyBorder="1" applyAlignment="1">
      <alignment horizontal="center" vertical="center" wrapText="1"/>
    </xf>
    <xf numFmtId="49" fontId="40" fillId="2" borderId="10" xfId="0" applyNumberFormat="1" applyFont="1" applyFill="1" applyBorder="1" applyAlignment="1">
      <alignment vertical="center"/>
    </xf>
    <xf numFmtId="0" fontId="40" fillId="2" borderId="0" xfId="0" applyFont="1" applyFill="1" applyAlignment="1">
      <alignment vertical="center" wrapText="1"/>
    </xf>
    <xf numFmtId="0" fontId="40" fillId="2" borderId="17" xfId="0" applyNumberFormat="1" applyFont="1" applyFill="1" applyBorder="1" applyAlignment="1">
      <alignment horizontal="left" vertical="center"/>
    </xf>
    <xf numFmtId="0" fontId="40" fillId="2" borderId="18" xfId="0" applyNumberFormat="1" applyFont="1" applyFill="1" applyBorder="1" applyAlignment="1">
      <alignment horizontal="center" vertical="center"/>
    </xf>
    <xf numFmtId="0" fontId="40" fillId="2" borderId="17" xfId="0" applyNumberFormat="1" applyFont="1" applyFill="1" applyBorder="1" applyAlignment="1">
      <alignment vertical="center"/>
    </xf>
    <xf numFmtId="0" fontId="40" fillId="2" borderId="19" xfId="0" applyNumberFormat="1" applyFont="1" applyFill="1" applyBorder="1" applyAlignment="1">
      <alignment vertical="center"/>
    </xf>
    <xf numFmtId="0" fontId="40" fillId="2" borderId="10" xfId="0" applyNumberFormat="1" applyFont="1" applyFill="1" applyBorder="1" applyAlignment="1">
      <alignment horizontal="left" vertical="center"/>
    </xf>
    <xf numFmtId="0" fontId="40" fillId="2" borderId="0" xfId="0" applyFont="1" applyFill="1" applyAlignment="1">
      <alignment vertical="center"/>
    </xf>
    <xf numFmtId="49" fontId="40" fillId="2" borderId="20" xfId="0" applyNumberFormat="1" applyFont="1" applyFill="1" applyBorder="1" applyAlignment="1">
      <alignment horizontal="left" vertical="center"/>
    </xf>
    <xf numFmtId="0" fontId="40" fillId="2" borderId="0" xfId="0" applyNumberFormat="1" applyFont="1" applyFill="1" applyAlignment="1">
      <alignment horizontal="center" vertical="center"/>
    </xf>
    <xf numFmtId="2" fontId="40" fillId="2" borderId="10" xfId="0" applyNumberFormat="1" applyFont="1" applyFill="1" applyBorder="1" applyAlignment="1">
      <alignment horizontal="left" vertical="center"/>
    </xf>
    <xf numFmtId="0" fontId="39" fillId="2" borderId="10" xfId="0" applyNumberFormat="1" applyFont="1" applyFill="1" applyBorder="1" applyAlignment="1">
      <alignment horizontal="center" vertical="center" wrapText="1"/>
    </xf>
    <xf numFmtId="1" fontId="10" fillId="9" borderId="13" xfId="0" applyNumberFormat="1" applyFont="1" applyFill="1" applyBorder="1" applyAlignment="1">
      <alignment horizontal="center" vertical="center" wrapText="1"/>
    </xf>
    <xf numFmtId="1" fontId="1" fillId="9" borderId="4" xfId="0" applyNumberFormat="1" applyFont="1" applyFill="1" applyBorder="1" applyAlignment="1">
      <alignment horizontal="center" vertical="center" wrapText="1"/>
    </xf>
    <xf numFmtId="0" fontId="40" fillId="9" borderId="20" xfId="0" applyFont="1" applyFill="1" applyBorder="1" applyAlignment="1">
      <alignment horizontal="center" vertical="center"/>
    </xf>
    <xf numFmtId="0" fontId="40" fillId="9" borderId="10" xfId="0" applyNumberFormat="1" applyFont="1" applyFill="1" applyBorder="1" applyAlignment="1">
      <alignment horizontal="center" vertical="center" wrapText="1"/>
    </xf>
    <xf numFmtId="49" fontId="40" fillId="9" borderId="10" xfId="0" applyNumberFormat="1" applyFont="1" applyFill="1" applyBorder="1" applyAlignment="1">
      <alignment vertical="center"/>
    </xf>
    <xf numFmtId="0" fontId="40" fillId="9" borderId="0" xfId="0" applyFont="1" applyFill="1" applyAlignment="1">
      <alignment vertical="center" wrapText="1"/>
    </xf>
    <xf numFmtId="0" fontId="40" fillId="9" borderId="17" xfId="0" applyNumberFormat="1" applyFont="1" applyFill="1" applyBorder="1" applyAlignment="1">
      <alignment horizontal="left" vertical="center"/>
    </xf>
    <xf numFmtId="0" fontId="40" fillId="9" borderId="18" xfId="0" applyNumberFormat="1" applyFont="1" applyFill="1" applyBorder="1" applyAlignment="1">
      <alignment horizontal="center" vertical="center"/>
    </xf>
    <xf numFmtId="0" fontId="40" fillId="9" borderId="17" xfId="0" applyNumberFormat="1" applyFont="1" applyFill="1" applyBorder="1" applyAlignment="1">
      <alignment vertical="center"/>
    </xf>
    <xf numFmtId="0" fontId="40" fillId="9" borderId="19" xfId="0" applyNumberFormat="1" applyFont="1" applyFill="1" applyBorder="1" applyAlignment="1">
      <alignment vertical="center"/>
    </xf>
    <xf numFmtId="0" fontId="40" fillId="9" borderId="10" xfId="0" applyNumberFormat="1" applyFont="1" applyFill="1" applyBorder="1" applyAlignment="1">
      <alignment horizontal="left" vertical="center"/>
    </xf>
    <xf numFmtId="0" fontId="40" fillId="9" borderId="0" xfId="0" applyFont="1" applyFill="1" applyAlignment="1">
      <alignment vertical="center"/>
    </xf>
    <xf numFmtId="49" fontId="40" fillId="9" borderId="20" xfId="0" applyNumberFormat="1" applyFont="1" applyFill="1" applyBorder="1" applyAlignment="1">
      <alignment horizontal="left" vertical="center"/>
    </xf>
    <xf numFmtId="0" fontId="40" fillId="9" borderId="0" xfId="0" applyNumberFormat="1" applyFont="1" applyFill="1" applyAlignment="1">
      <alignment horizontal="center" vertical="center"/>
    </xf>
    <xf numFmtId="2" fontId="40" fillId="9" borderId="10" xfId="0" applyNumberFormat="1" applyFont="1" applyFill="1" applyBorder="1" applyAlignment="1">
      <alignment horizontal="left" vertical="center"/>
    </xf>
    <xf numFmtId="0" fontId="39" fillId="9" borderId="10" xfId="0" applyNumberFormat="1" applyFont="1" applyFill="1" applyBorder="1" applyAlignment="1">
      <alignment horizontal="center" vertical="center" wrapText="1"/>
    </xf>
    <xf numFmtId="1" fontId="39" fillId="9" borderId="13" xfId="0" applyNumberFormat="1" applyFont="1" applyFill="1" applyBorder="1" applyAlignment="1">
      <alignment horizontal="center" vertical="center"/>
    </xf>
    <xf numFmtId="1" fontId="2" fillId="7" borderId="5" xfId="0" applyNumberFormat="1" applyFont="1" applyFill="1" applyBorder="1" applyAlignment="1">
      <alignment horizontal="center" vertical="center"/>
    </xf>
    <xf numFmtId="0" fontId="2" fillId="2" borderId="7" xfId="0" applyNumberFormat="1" applyFont="1" applyFill="1" applyBorder="1" applyAlignment="1">
      <alignment horizontal="left" vertical="center" wrapText="1"/>
    </xf>
    <xf numFmtId="49"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xf>
    <xf numFmtId="0" fontId="40" fillId="0" borderId="8" xfId="0" applyFont="1" applyBorder="1" applyAlignment="1">
      <alignment vertical="center" wrapText="1"/>
    </xf>
    <xf numFmtId="0" fontId="2" fillId="0" borderId="38" xfId="0" applyFont="1" applyBorder="1" applyAlignment="1">
      <alignment vertical="center" wrapText="1"/>
    </xf>
    <xf numFmtId="2" fontId="2" fillId="2" borderId="7" xfId="0" applyNumberFormat="1" applyFont="1" applyFill="1" applyBorder="1" applyAlignment="1">
      <alignment horizontal="center" vertical="center" wrapText="1"/>
    </xf>
    <xf numFmtId="0" fontId="2" fillId="0" borderId="8" xfId="0" applyFont="1" applyBorder="1" applyAlignment="1">
      <alignment horizontal="center" vertical="center"/>
    </xf>
    <xf numFmtId="0" fontId="2" fillId="0" borderId="38" xfId="0" applyFont="1" applyBorder="1" applyAlignment="1">
      <alignment horizontal="center" vertical="center"/>
    </xf>
    <xf numFmtId="2" fontId="2" fillId="2" borderId="7"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0" fontId="2" fillId="0" borderId="7" xfId="0" applyFont="1" applyBorder="1" applyAlignment="1">
      <alignment vertical="center"/>
    </xf>
    <xf numFmtId="1" fontId="2" fillId="2" borderId="7"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6" xfId="0" applyFont="1" applyFill="1" applyBorder="1" applyAlignment="1">
      <alignment horizontal="right" vertical="center" wrapText="1"/>
    </xf>
    <xf numFmtId="0" fontId="2" fillId="2" borderId="9" xfId="0" applyFont="1" applyFill="1" applyBorder="1" applyAlignment="1">
      <alignment horizontal="left" vertical="center" wrapText="1"/>
    </xf>
    <xf numFmtId="0" fontId="2" fillId="0" borderId="9" xfId="0" applyFont="1" applyBorder="1" applyAlignment="1">
      <alignment horizontal="left" vertical="center"/>
    </xf>
    <xf numFmtId="0" fontId="2" fillId="0" borderId="6" xfId="0" applyFont="1" applyBorder="1" applyAlignment="1">
      <alignment horizontal="right" vertical="center"/>
    </xf>
    <xf numFmtId="49" fontId="2" fillId="2" borderId="35" xfId="0" applyNumberFormat="1" applyFont="1" applyFill="1" applyBorder="1" applyAlignment="1">
      <alignment horizontal="center" vertical="center"/>
    </xf>
    <xf numFmtId="0" fontId="2" fillId="0" borderId="35" xfId="0" applyFont="1" applyBorder="1" applyAlignment="1">
      <alignment horizontal="left" vertical="center"/>
    </xf>
    <xf numFmtId="0" fontId="2" fillId="10" borderId="7" xfId="0" applyNumberFormat="1" applyFont="1" applyFill="1" applyBorder="1" applyAlignment="1">
      <alignment horizontal="left" vertical="center" wrapText="1"/>
    </xf>
    <xf numFmtId="0" fontId="2" fillId="10" borderId="7" xfId="0" applyNumberFormat="1" applyFont="1" applyFill="1" applyBorder="1" applyAlignment="1">
      <alignment horizontal="center" vertical="center" wrapText="1"/>
    </xf>
    <xf numFmtId="49" fontId="2" fillId="10" borderId="7" xfId="0" applyNumberFormat="1" applyFont="1" applyFill="1" applyBorder="1" applyAlignment="1">
      <alignment horizontal="center" vertical="center" wrapText="1"/>
    </xf>
    <xf numFmtId="0" fontId="2" fillId="10" borderId="7" xfId="0" applyNumberFormat="1" applyFont="1" applyFill="1" applyBorder="1" applyAlignment="1">
      <alignment horizontal="center" vertical="center"/>
    </xf>
    <xf numFmtId="0" fontId="40" fillId="10" borderId="8" xfId="0" applyFont="1" applyFill="1" applyBorder="1" applyAlignment="1">
      <alignment vertical="center" wrapText="1"/>
    </xf>
    <xf numFmtId="0" fontId="2" fillId="10" borderId="38" xfId="0" applyFont="1" applyFill="1" applyBorder="1" applyAlignment="1">
      <alignment vertical="center" wrapText="1"/>
    </xf>
    <xf numFmtId="2" fontId="2" fillId="10" borderId="7" xfId="0" applyNumberFormat="1" applyFont="1" applyFill="1" applyBorder="1" applyAlignment="1">
      <alignment horizontal="center" vertical="center" wrapText="1"/>
    </xf>
    <xf numFmtId="0" fontId="2" fillId="10" borderId="8" xfId="0" applyFont="1" applyFill="1" applyBorder="1" applyAlignment="1">
      <alignment horizontal="center" vertical="center"/>
    </xf>
    <xf numFmtId="0" fontId="2" fillId="10" borderId="38" xfId="0" applyFont="1" applyFill="1" applyBorder="1" applyAlignment="1">
      <alignment horizontal="center" vertical="center"/>
    </xf>
    <xf numFmtId="2" fontId="2" fillId="10" borderId="7" xfId="0" applyNumberFormat="1" applyFont="1" applyFill="1" applyBorder="1" applyAlignment="1">
      <alignment horizontal="center" vertical="center"/>
    </xf>
    <xf numFmtId="1" fontId="2" fillId="10" borderId="7" xfId="0" applyNumberFormat="1" applyFont="1" applyFill="1" applyBorder="1" applyAlignment="1">
      <alignment horizontal="center" vertical="center"/>
    </xf>
    <xf numFmtId="0" fontId="2" fillId="10" borderId="7" xfId="0" applyFont="1" applyFill="1" applyBorder="1" applyAlignment="1">
      <alignment vertical="center"/>
    </xf>
    <xf numFmtId="1" fontId="2" fillId="10" borderId="7" xfId="0" applyNumberFormat="1" applyFont="1" applyFill="1" applyBorder="1" applyAlignment="1">
      <alignment horizontal="center" vertical="center" wrapText="1"/>
    </xf>
    <xf numFmtId="0" fontId="2" fillId="10" borderId="6" xfId="0" applyFont="1" applyFill="1" applyBorder="1" applyAlignment="1">
      <alignment horizontal="right" vertical="center" wrapText="1"/>
    </xf>
    <xf numFmtId="0" fontId="2" fillId="10" borderId="9" xfId="0" applyFont="1" applyFill="1" applyBorder="1" applyAlignment="1">
      <alignment horizontal="left" vertical="center" wrapText="1"/>
    </xf>
    <xf numFmtId="0" fontId="2" fillId="10" borderId="9" xfId="0" applyFont="1" applyFill="1" applyBorder="1" applyAlignment="1">
      <alignment horizontal="left" vertical="center"/>
    </xf>
    <xf numFmtId="0" fontId="2" fillId="10" borderId="6" xfId="0" applyFont="1" applyFill="1" applyBorder="1" applyAlignment="1">
      <alignment horizontal="right" vertical="center"/>
    </xf>
    <xf numFmtId="49" fontId="2" fillId="10" borderId="35" xfId="0" applyNumberFormat="1" applyFont="1" applyFill="1" applyBorder="1" applyAlignment="1">
      <alignment horizontal="center" vertical="center"/>
    </xf>
    <xf numFmtId="0" fontId="2" fillId="10" borderId="35" xfId="0" applyFont="1" applyFill="1" applyBorder="1" applyAlignment="1">
      <alignment vertical="center"/>
    </xf>
    <xf numFmtId="0" fontId="2" fillId="10" borderId="0" xfId="0" applyFont="1" applyFill="1" applyAlignment="1">
      <alignment vertical="center"/>
    </xf>
    <xf numFmtId="0" fontId="2" fillId="10" borderId="3" xfId="0" applyFont="1" applyFill="1" applyBorder="1" applyAlignment="1">
      <alignment vertical="center"/>
    </xf>
    <xf numFmtId="0" fontId="2" fillId="7" borderId="7" xfId="0" applyNumberFormat="1" applyFont="1" applyFill="1" applyBorder="1" applyAlignment="1">
      <alignment horizontal="left" vertical="center" wrapText="1"/>
    </xf>
    <xf numFmtId="49" fontId="2" fillId="7" borderId="7" xfId="0" applyNumberFormat="1" applyFont="1" applyFill="1" applyBorder="1" applyAlignment="1">
      <alignment horizontal="center" vertical="center" wrapText="1"/>
    </xf>
    <xf numFmtId="0" fontId="2" fillId="7" borderId="7" xfId="0" applyNumberFormat="1" applyFont="1" applyFill="1" applyBorder="1" applyAlignment="1">
      <alignment horizontal="center" vertical="center"/>
    </xf>
    <xf numFmtId="0" fontId="40" fillId="7" borderId="8" xfId="0" applyFont="1" applyFill="1" applyBorder="1" applyAlignment="1">
      <alignment vertical="center" wrapText="1"/>
    </xf>
    <xf numFmtId="0" fontId="2" fillId="7" borderId="38" xfId="0" applyFont="1" applyFill="1" applyBorder="1" applyAlignment="1">
      <alignment vertical="center" wrapText="1"/>
    </xf>
    <xf numFmtId="0" fontId="2" fillId="7" borderId="8"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6" xfId="0" applyFont="1" applyFill="1" applyBorder="1" applyAlignment="1">
      <alignment horizontal="right" vertical="center" wrapText="1"/>
    </xf>
    <xf numFmtId="0" fontId="2" fillId="7" borderId="9" xfId="0" applyFont="1" applyFill="1" applyBorder="1" applyAlignment="1">
      <alignment horizontal="left" vertical="center" wrapText="1"/>
    </xf>
    <xf numFmtId="0" fontId="2" fillId="7" borderId="9" xfId="0" applyFont="1" applyFill="1" applyBorder="1" applyAlignment="1">
      <alignment horizontal="left" vertical="center"/>
    </xf>
    <xf numFmtId="0" fontId="2" fillId="7" borderId="6" xfId="0" applyFont="1" applyFill="1" applyBorder="1" applyAlignment="1">
      <alignment horizontal="right" vertical="center"/>
    </xf>
    <xf numFmtId="0" fontId="2" fillId="7" borderId="35" xfId="0" applyFont="1" applyFill="1" applyBorder="1" applyAlignment="1">
      <alignment horizontal="left" vertical="center"/>
    </xf>
    <xf numFmtId="0" fontId="1" fillId="7" borderId="7" xfId="0" applyNumberFormat="1" applyFont="1" applyFill="1" applyBorder="1" applyAlignment="1">
      <alignment horizontal="center" vertical="center" wrapText="1"/>
    </xf>
    <xf numFmtId="0" fontId="2" fillId="0" borderId="35" xfId="0" applyFont="1" applyBorder="1" applyAlignment="1">
      <alignment vertical="center"/>
    </xf>
    <xf numFmtId="0" fontId="2" fillId="0" borderId="3" xfId="0" applyFont="1" applyBorder="1" applyAlignment="1">
      <alignment vertical="center"/>
    </xf>
    <xf numFmtId="0" fontId="2" fillId="7" borderId="4" xfId="0" applyFont="1" applyFill="1" applyBorder="1" applyAlignment="1">
      <alignment vertical="center" wrapText="1"/>
    </xf>
    <xf numFmtId="0" fontId="1" fillId="9" borderId="42" xfId="0" applyNumberFormat="1" applyFont="1" applyFill="1" applyBorder="1" applyAlignment="1">
      <alignment horizontal="center" vertical="center" wrapText="1"/>
    </xf>
    <xf numFmtId="2" fontId="9" fillId="9" borderId="20" xfId="0" applyNumberFormat="1" applyFont="1" applyFill="1" applyBorder="1" applyAlignment="1">
      <alignment horizontal="left" vertical="center"/>
    </xf>
    <xf numFmtId="0" fontId="1" fillId="9" borderId="5" xfId="0" applyFont="1" applyFill="1" applyBorder="1" applyAlignment="1">
      <alignment vertical="center"/>
    </xf>
    <xf numFmtId="0" fontId="1" fillId="9" borderId="13" xfId="0" applyNumberFormat="1" applyFont="1" applyFill="1" applyBorder="1" applyAlignment="1">
      <alignment horizontal="left" vertical="center"/>
    </xf>
    <xf numFmtId="2" fontId="2" fillId="9" borderId="13" xfId="0" applyNumberFormat="1" applyFont="1" applyFill="1" applyBorder="1" applyAlignment="1">
      <alignment horizontal="center" vertical="center" wrapText="1"/>
    </xf>
    <xf numFmtId="0" fontId="2" fillId="9" borderId="4" xfId="0" applyNumberFormat="1" applyFont="1" applyFill="1" applyBorder="1" applyAlignment="1">
      <alignment horizontal="left" vertical="center" wrapText="1"/>
    </xf>
    <xf numFmtId="1" fontId="10" fillId="9" borderId="20" xfId="0" applyNumberFormat="1" applyFont="1" applyFill="1" applyBorder="1" applyAlignment="1">
      <alignment horizontal="center" vertical="center" wrapText="1"/>
    </xf>
    <xf numFmtId="1" fontId="40" fillId="9" borderId="20" xfId="0" applyNumberFormat="1" applyFont="1" applyFill="1" applyBorder="1" applyAlignment="1">
      <alignment horizontal="center" vertical="center"/>
    </xf>
    <xf numFmtId="2" fontId="9" fillId="5" borderId="29" xfId="0" applyNumberFormat="1" applyFont="1" applyFill="1" applyBorder="1" applyAlignment="1">
      <alignment horizontal="left" vertical="center"/>
    </xf>
    <xf numFmtId="0" fontId="1" fillId="5" borderId="13" xfId="0" applyNumberFormat="1" applyFont="1" applyFill="1" applyBorder="1" applyAlignment="1">
      <alignment vertical="center"/>
    </xf>
    <xf numFmtId="0" fontId="1" fillId="5" borderId="13" xfId="0" applyNumberFormat="1" applyFont="1" applyFill="1" applyBorder="1" applyAlignment="1">
      <alignment horizontal="center" vertical="center"/>
    </xf>
    <xf numFmtId="1" fontId="10" fillId="5" borderId="20" xfId="0" applyNumberFormat="1" applyFont="1" applyFill="1" applyBorder="1" applyAlignment="1">
      <alignment horizontal="center" vertical="center" wrapText="1"/>
    </xf>
    <xf numFmtId="0" fontId="2" fillId="5" borderId="13" xfId="0" applyFont="1" applyFill="1" applyBorder="1" applyAlignment="1">
      <alignment vertical="center"/>
    </xf>
    <xf numFmtId="1" fontId="40" fillId="2" borderId="5" xfId="0" applyNumberFormat="1" applyFont="1" applyFill="1" applyBorder="1" applyAlignment="1">
      <alignment horizontal="center" vertical="center"/>
    </xf>
    <xf numFmtId="0" fontId="2" fillId="7" borderId="3" xfId="0" applyFont="1" applyFill="1" applyBorder="1" applyAlignment="1">
      <alignment vertical="center" wrapText="1"/>
    </xf>
    <xf numFmtId="0" fontId="27" fillId="6" borderId="10" xfId="0" applyFont="1" applyFill="1" applyBorder="1" applyAlignment="1">
      <alignment horizontal="center" vertical="center"/>
    </xf>
    <xf numFmtId="0" fontId="2" fillId="2" borderId="7"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2" fillId="10"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0" fillId="0" borderId="0" xfId="0"/>
    <xf numFmtId="0" fontId="2" fillId="0" borderId="0" xfId="0" applyFont="1" applyAlignment="1">
      <alignment vertical="top" wrapText="1"/>
    </xf>
    <xf numFmtId="0" fontId="26" fillId="0" borderId="10"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0" xfId="0" applyFont="1" applyBorder="1" applyAlignment="1">
      <alignment horizontal="center" vertical="center" wrapText="1"/>
    </xf>
    <xf numFmtId="0" fontId="30" fillId="0" borderId="0" xfId="0" applyFont="1" applyAlignment="1">
      <alignment horizontal="center" vertical="center"/>
    </xf>
    <xf numFmtId="0" fontId="50" fillId="2" borderId="0" xfId="0" applyNumberFormat="1" applyFont="1" applyFill="1" applyBorder="1" applyAlignment="1">
      <alignment horizontal="center" vertical="center" wrapText="1"/>
    </xf>
    <xf numFmtId="0" fontId="37" fillId="0" borderId="0" xfId="0" applyFont="1" applyAlignment="1">
      <alignment horizontal="center" vertical="center"/>
    </xf>
    <xf numFmtId="0" fontId="2" fillId="7" borderId="2"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7" fillId="6" borderId="10" xfId="0" applyFont="1" applyFill="1" applyBorder="1" applyAlignment="1">
      <alignment horizontal="center" vertical="center"/>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2" fillId="2" borderId="7"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50" fillId="0" borderId="0" xfId="0" applyFont="1" applyAlignment="1">
      <alignment horizontal="center" vertical="center"/>
    </xf>
    <xf numFmtId="0" fontId="2" fillId="10" borderId="10" xfId="0" applyNumberFormat="1" applyFont="1" applyFill="1" applyBorder="1" applyAlignment="1">
      <alignment horizontal="center" vertical="center" wrapText="1"/>
    </xf>
    <xf numFmtId="0" fontId="2" fillId="7" borderId="20" xfId="0" applyFont="1" applyFill="1" applyBorder="1" applyAlignment="1">
      <alignment horizontal="center" vertical="center"/>
    </xf>
    <xf numFmtId="0" fontId="2" fillId="2" borderId="20" xfId="0" applyFont="1" applyFill="1" applyBorder="1" applyAlignment="1">
      <alignment horizontal="center" vertical="center"/>
    </xf>
    <xf numFmtId="0" fontId="2" fillId="10" borderId="20" xfId="0" applyFont="1" applyFill="1" applyBorder="1" applyAlignment="1">
      <alignment horizontal="center" vertical="center"/>
    </xf>
    <xf numFmtId="0" fontId="2" fillId="7" borderId="0" xfId="0" applyFont="1" applyFill="1" applyBorder="1" applyAlignment="1">
      <alignment vertical="center"/>
    </xf>
    <xf numFmtId="2" fontId="39" fillId="7" borderId="0" xfId="0" applyNumberFormat="1" applyFont="1" applyFill="1" applyBorder="1" applyAlignment="1">
      <alignment horizontal="center" vertical="center"/>
    </xf>
    <xf numFmtId="0" fontId="2" fillId="0" borderId="4" xfId="0" applyFont="1" applyBorder="1" applyAlignment="1">
      <alignment vertical="center"/>
    </xf>
  </cellXfs>
  <cellStyles count="1">
    <cellStyle name="Normal" xfId="0" builtinId="0"/>
  </cellStyles>
  <dxfs count="699">
    <dxf>
      <fill>
        <patternFill>
          <bgColor indexed="15"/>
        </patternFill>
      </fill>
    </dxf>
    <dxf>
      <fill>
        <patternFill>
          <bgColor indexed="52"/>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2"/>
        </patternFill>
      </fill>
    </dxf>
    <dxf>
      <fill>
        <patternFill>
          <bgColor indexed="4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15"/>
        </patternFill>
      </fill>
    </dxf>
    <dxf>
      <fill>
        <patternFill>
          <bgColor indexed="51"/>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9"/>
        </patternFill>
      </fill>
    </dxf>
    <dxf>
      <fill>
        <patternFill>
          <bgColor indexed="22"/>
        </patternFill>
      </fill>
    </dxf>
    <dxf>
      <fill>
        <patternFill>
          <bgColor indexed="46"/>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2"/>
        </patternFill>
      </fill>
    </dxf>
    <dxf>
      <fill>
        <patternFill>
          <bgColor indexed="41"/>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15"/>
        </patternFill>
      </fill>
    </dxf>
    <dxf>
      <fill>
        <patternFill>
          <bgColor indexed="51"/>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1"/>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ill>
        <patternFill>
          <bgColor indexed="42"/>
        </patternFill>
      </fill>
    </dxf>
    <dxf>
      <fill>
        <patternFill>
          <bgColor indexed="42"/>
        </patternFill>
      </fill>
    </dxf>
    <dxf>
      <fill>
        <patternFill>
          <bgColor indexed="42"/>
        </patternFill>
      </fill>
    </dxf>
    <dxf>
      <fill>
        <patternFill>
          <bgColor indexed="13"/>
        </patternFill>
      </fill>
    </dxf>
    <dxf>
      <fill>
        <patternFill>
          <bgColor indexed="15"/>
        </patternFill>
      </fill>
    </dxf>
    <dxf>
      <fill>
        <patternFill>
          <bgColor indexed="22"/>
        </patternFill>
      </fill>
    </dxf>
    <dxf>
      <fill>
        <patternFill>
          <bgColor indexed="42"/>
        </patternFill>
      </fill>
    </dxf>
    <dxf>
      <fill>
        <patternFill>
          <bgColor indexed="11"/>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1"/>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13"/>
        </patternFill>
      </fill>
    </dxf>
    <dxf>
      <fill>
        <patternFill>
          <bgColor indexed="15"/>
        </patternFill>
      </fill>
    </dxf>
    <dxf>
      <fill>
        <patternFill>
          <bgColor indexed="41"/>
        </patternFill>
      </fill>
    </dxf>
    <dxf>
      <fill>
        <patternFill>
          <bgColor indexed="22"/>
        </patternFill>
      </fill>
    </dxf>
    <dxf>
      <fill>
        <patternFill>
          <bgColor indexed="42"/>
        </patternFill>
      </fill>
    </dxf>
    <dxf>
      <fill>
        <patternFill>
          <bgColor indexed="11"/>
        </patternFill>
      </fill>
    </dxf>
    <dxf>
      <fill>
        <patternFill>
          <bgColor indexed="42"/>
        </patternFill>
      </fill>
    </dxf>
    <dxf>
      <font>
        <condense val="0"/>
        <extend val="0"/>
        <color indexed="9"/>
      </font>
      <fill>
        <patternFill>
          <bgColor indexed="17"/>
        </patternFill>
      </fill>
    </dxf>
    <dxf>
      <fill>
        <patternFill>
          <fgColor indexed="46"/>
          <bgColor indexed="42"/>
        </patternFill>
      </fill>
    </dxf>
    <dxf>
      <fill>
        <patternFill>
          <bgColor indexed="47"/>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41"/>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1"/>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ill>
        <patternFill>
          <bgColor indexed="42"/>
        </patternFill>
      </fill>
    </dxf>
    <dxf>
      <fill>
        <patternFill>
          <bgColor indexed="42"/>
        </patternFill>
      </fill>
    </dxf>
    <dxf>
      <fill>
        <patternFill>
          <bgColor indexed="42"/>
        </patternFill>
      </fill>
    </dxf>
    <dxf>
      <fill>
        <patternFill>
          <bgColor indexed="13"/>
        </patternFill>
      </fill>
    </dxf>
    <dxf>
      <fill>
        <patternFill>
          <bgColor indexed="15"/>
        </patternFill>
      </fill>
    </dxf>
    <dxf>
      <fill>
        <patternFill>
          <bgColor indexed="22"/>
        </patternFill>
      </fill>
    </dxf>
    <dxf>
      <fill>
        <patternFill>
          <bgColor indexed="42"/>
        </patternFill>
      </fill>
    </dxf>
    <dxf>
      <fill>
        <patternFill>
          <bgColor indexed="11"/>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2"/>
        </patternFill>
      </fill>
    </dxf>
    <dxf>
      <fill>
        <patternFill>
          <bgColor indexed="41"/>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15"/>
        </patternFill>
      </fill>
    </dxf>
    <dxf>
      <fill>
        <patternFill>
          <bgColor indexed="51"/>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1"/>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15"/>
        </patternFill>
      </fill>
    </dxf>
    <dxf>
      <fill>
        <patternFill>
          <bgColor indexed="51"/>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9"/>
        </patternFill>
      </fill>
    </dxf>
    <dxf>
      <fill>
        <patternFill>
          <bgColor indexed="22"/>
        </patternFill>
      </fill>
    </dxf>
    <dxf>
      <fill>
        <patternFill>
          <bgColor indexed="46"/>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42"/>
        </patternFill>
      </fill>
    </dxf>
    <dxf>
      <fill>
        <patternFill>
          <bgColor indexed="42"/>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2"/>
        </patternFill>
      </fill>
    </dxf>
    <dxf>
      <fill>
        <patternFill>
          <bgColor indexed="41"/>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ill>
        <patternFill>
          <bgColor indexed="42"/>
        </patternFill>
      </fill>
    </dxf>
    <dxf>
      <fill>
        <patternFill>
          <bgColor indexed="42"/>
        </patternFill>
      </fill>
    </dxf>
    <dxf>
      <fill>
        <patternFill>
          <bgColor indexed="42"/>
        </patternFill>
      </fill>
    </dxf>
    <dxf>
      <fill>
        <patternFill>
          <bgColor indexed="13"/>
        </patternFill>
      </fill>
    </dxf>
    <dxf>
      <fill>
        <patternFill>
          <bgColor indexed="15"/>
        </patternFill>
      </fill>
    </dxf>
    <dxf>
      <fill>
        <patternFill>
          <bgColor indexed="22"/>
        </patternFill>
      </fill>
    </dxf>
    <dxf>
      <fill>
        <patternFill>
          <bgColor indexed="42"/>
        </patternFill>
      </fill>
    </dxf>
    <dxf>
      <fill>
        <patternFill>
          <bgColor indexed="11"/>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1"/>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ill>
        <patternFill>
          <bgColor indexed="22"/>
        </patternFill>
      </fill>
    </dxf>
    <dxf>
      <fill>
        <patternFill>
          <bgColor indexed="42"/>
        </patternFill>
      </fill>
    </dxf>
    <dxf>
      <fill>
        <patternFill>
          <bgColor indexed="11"/>
        </patternFill>
      </fill>
    </dxf>
    <dxf>
      <font>
        <condense val="0"/>
        <extend val="0"/>
        <color indexed="9"/>
      </font>
      <fill>
        <patternFill>
          <bgColor indexed="17"/>
        </patternFill>
      </fill>
    </dxf>
    <dxf>
      <fill>
        <patternFill>
          <fgColor indexed="46"/>
          <bgColor indexed="42"/>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47"/>
        </patternFill>
      </fill>
    </dxf>
    <dxf>
      <fill>
        <patternFill>
          <bgColor indexed="41"/>
        </patternFill>
      </fill>
    </dxf>
    <dxf>
      <fill>
        <patternFill>
          <bgColor indexed="13"/>
        </patternFill>
      </fill>
    </dxf>
    <dxf>
      <fill>
        <patternFill>
          <bgColor indexed="15"/>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22"/>
        </patternFill>
      </fill>
    </dxf>
    <dxf>
      <fill>
        <patternFill>
          <bgColor indexed="51"/>
        </patternFill>
      </fill>
    </dxf>
    <dxf>
      <font>
        <b val="0"/>
        <i val="0"/>
        <condense val="0"/>
        <extend val="0"/>
      </font>
      <fill>
        <patternFill>
          <bgColor indexed="5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2"/>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2"/>
        </patternFill>
      </fill>
    </dxf>
    <dxf>
      <fill>
        <patternFill>
          <bgColor indexed="4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1"/>
        </patternFill>
      </fill>
    </dxf>
    <dxf>
      <fill>
        <patternFill>
          <bgColor indexed="15"/>
        </patternFill>
      </fill>
    </dxf>
    <dxf>
      <fill>
        <patternFill>
          <bgColor indexed="51"/>
        </patternFill>
      </fill>
    </dxf>
    <dxf>
      <fill>
        <patternFill>
          <bgColor indexed="22"/>
        </patternFill>
      </fill>
    </dxf>
    <dxf>
      <fill>
        <patternFill>
          <bgColor indexed="42"/>
        </patternFill>
      </fill>
    </dxf>
    <dxf>
      <fill>
        <patternFill>
          <bgColor indexed="11"/>
        </patternFill>
      </fill>
    </dxf>
    <dxf>
      <font>
        <condense val="0"/>
        <extend val="0"/>
        <color indexed="9"/>
      </font>
      <fill>
        <patternFill>
          <bgColor indexed="17"/>
        </patternFill>
      </fill>
    </dxf>
    <dxf>
      <fill>
        <patternFill>
          <fgColor indexed="46"/>
          <bgColor indexed="42"/>
        </patternFill>
      </fill>
    </dxf>
    <dxf>
      <fill>
        <patternFill>
          <bgColor indexed="47"/>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4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2"/>
        </patternFill>
      </fill>
    </dxf>
    <dxf>
      <fill>
        <patternFill>
          <bgColor indexed="4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2"/>
        </patternFill>
      </fill>
    </dxf>
    <dxf>
      <fill>
        <patternFill>
          <bgColor indexed="42"/>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15"/>
        </patternFill>
      </fill>
    </dxf>
    <dxf>
      <fill>
        <patternFill>
          <bgColor indexed="5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2"/>
        </patternFill>
      </fill>
    </dxf>
    <dxf>
      <fill>
        <patternFill>
          <bgColor indexed="4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1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876300</xdr:colOff>
      <xdr:row>2</xdr:row>
      <xdr:rowOff>9525</xdr:rowOff>
    </xdr:from>
    <xdr:to>
      <xdr:col>27</xdr:col>
      <xdr:colOff>47625</xdr:colOff>
      <xdr:row>2</xdr:row>
      <xdr:rowOff>9525</xdr:rowOff>
    </xdr:to>
    <xdr:sp macro="" textlink="">
      <xdr:nvSpPr>
        <xdr:cNvPr id="3" name="Line 4"/>
        <xdr:cNvSpPr>
          <a:spLocks noChangeShapeType="1"/>
        </xdr:cNvSpPr>
      </xdr:nvSpPr>
      <xdr:spPr bwMode="auto">
        <a:xfrm flipV="1">
          <a:off x="5591175" y="428625"/>
          <a:ext cx="1581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828675</xdr:colOff>
      <xdr:row>2</xdr:row>
      <xdr:rowOff>19050</xdr:rowOff>
    </xdr:from>
    <xdr:to>
      <xdr:col>4</xdr:col>
      <xdr:colOff>152400</xdr:colOff>
      <xdr:row>2</xdr:row>
      <xdr:rowOff>19050</xdr:rowOff>
    </xdr:to>
    <xdr:cxnSp macro="">
      <xdr:nvCxnSpPr>
        <xdr:cNvPr id="4" name="Straight Connector 3"/>
        <xdr:cNvCxnSpPr/>
      </xdr:nvCxnSpPr>
      <xdr:spPr>
        <a:xfrm>
          <a:off x="1123950" y="438150"/>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533400</xdr:colOff>
      <xdr:row>2</xdr:row>
      <xdr:rowOff>28575</xdr:rowOff>
    </xdr:from>
    <xdr:to>
      <xdr:col>3</xdr:col>
      <xdr:colOff>1390650</xdr:colOff>
      <xdr:row>2</xdr:row>
      <xdr:rowOff>28575</xdr:rowOff>
    </xdr:to>
    <xdr:sp macro="" textlink="">
      <xdr:nvSpPr>
        <xdr:cNvPr id="2" name="Line 33"/>
        <xdr:cNvSpPr>
          <a:spLocks noChangeShapeType="1"/>
        </xdr:cNvSpPr>
      </xdr:nvSpPr>
      <xdr:spPr bwMode="auto">
        <a:xfrm>
          <a:off x="904875" y="447675"/>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419100</xdr:colOff>
      <xdr:row>2</xdr:row>
      <xdr:rowOff>19049</xdr:rowOff>
    </xdr:from>
    <xdr:to>
      <xdr:col>19</xdr:col>
      <xdr:colOff>219075</xdr:colOff>
      <xdr:row>2</xdr:row>
      <xdr:rowOff>19050</xdr:rowOff>
    </xdr:to>
    <xdr:sp macro="" textlink="">
      <xdr:nvSpPr>
        <xdr:cNvPr id="3" name="Line 47"/>
        <xdr:cNvSpPr>
          <a:spLocks noChangeShapeType="1"/>
        </xdr:cNvSpPr>
      </xdr:nvSpPr>
      <xdr:spPr bwMode="auto">
        <a:xfrm>
          <a:off x="4791075" y="438149"/>
          <a:ext cx="160020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1</xdr:row>
      <xdr:rowOff>485775</xdr:rowOff>
    </xdr:from>
    <xdr:to>
      <xdr:col>1</xdr:col>
      <xdr:colOff>304800</xdr:colOff>
      <xdr:row>1</xdr:row>
      <xdr:rowOff>485775</xdr:rowOff>
    </xdr:to>
    <xdr:sp macro="" textlink="">
      <xdr:nvSpPr>
        <xdr:cNvPr id="4" name="Line 3"/>
        <xdr:cNvSpPr>
          <a:spLocks noChangeShapeType="1"/>
        </xdr:cNvSpPr>
      </xdr:nvSpPr>
      <xdr:spPr bwMode="auto">
        <a:xfrm>
          <a:off x="304800" y="41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20+PC%203-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GiaoQĐ-$"/>
      <sheetName val="Ds QĐ=$"/>
      <sheetName val="TTr=$"/>
      <sheetName val="TB=$ "/>
      <sheetName val="@@ DL"/>
      <sheetName val="TB--%"/>
      <sheetName val="TTr--%"/>
      <sheetName val="Ds QĐ - %"/>
      <sheetName val="Giao QĐ - %"/>
      <sheetName val="Ds Huu+Thoi.."/>
      <sheetName val="TH số liệu"/>
      <sheetName val="- DLiêu Gốc -"/>
      <sheetName val="Sheet2"/>
      <sheetName val="CƠ CẤU"/>
    </sheetNames>
    <sheetDataSet>
      <sheetData sheetId="0"/>
      <sheetData sheetId="1"/>
      <sheetData sheetId="2"/>
      <sheetData sheetId="3"/>
      <sheetData sheetId="4"/>
      <sheetData sheetId="5"/>
      <sheetData sheetId="6"/>
      <sheetData sheetId="7"/>
      <sheetData sheetId="8"/>
      <sheetData sheetId="9"/>
      <sheetData sheetId="10"/>
      <sheetData sheetId="11">
        <row r="1">
          <cell r="B1" t="str">
            <v>NGẠCH</v>
          </cell>
          <cell r="C1" t="str">
            <v>MÃ SỐ</v>
          </cell>
          <cell r="D1" t="str">
            <v>HS bậc 1</v>
          </cell>
          <cell r="E1" t="str">
            <v>BƯỚC</v>
          </cell>
          <cell r="F1" t="str">
            <v>LOẠI</v>
          </cell>
          <cell r="G1" t="str">
            <v>NHÓM</v>
          </cell>
        </row>
        <row r="2">
          <cell r="B2" t="str">
            <v>Giảng viên cao cấp (hạng I)</v>
          </cell>
          <cell r="C2" t="str">
            <v>V.07.01.01</v>
          </cell>
          <cell r="D2">
            <v>6.2</v>
          </cell>
          <cell r="E2">
            <v>0.36</v>
          </cell>
          <cell r="F2" t="str">
            <v>A3</v>
          </cell>
          <cell r="G2" t="str">
            <v>A3.1</v>
          </cell>
        </row>
        <row r="3">
          <cell r="B3" t="str">
            <v>Giảng viên chính (hạng II)</v>
          </cell>
          <cell r="C3" t="str">
            <v>V.07.01.02</v>
          </cell>
          <cell r="D3">
            <v>4.4000000000000004</v>
          </cell>
          <cell r="E3">
            <v>0.34</v>
          </cell>
          <cell r="F3" t="str">
            <v>A2</v>
          </cell>
          <cell r="G3" t="str">
            <v>A2.1</v>
          </cell>
        </row>
        <row r="4">
          <cell r="B4" t="str">
            <v>Giảng viên (hạng III)</v>
          </cell>
          <cell r="C4" t="str">
            <v>V.07.01.03</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Kỹ Thuật viên đánh máy</v>
          </cell>
          <cell r="C48" t="str">
            <v>01.005</v>
          </cell>
          <cell r="D48">
            <v>1.5</v>
          </cell>
          <cell r="E48">
            <v>0.18</v>
          </cell>
          <cell r="F48" t="str">
            <v>C</v>
          </cell>
          <cell r="G48" t="str">
            <v>Nhân viên</v>
          </cell>
        </row>
        <row r="49">
          <cell r="B49" t="str">
            <v>Nhân viên đánh máy</v>
          </cell>
          <cell r="C49" t="str">
            <v>01.006</v>
          </cell>
          <cell r="D49">
            <v>1.5</v>
          </cell>
          <cell r="E49">
            <v>0.18</v>
          </cell>
          <cell r="F49" t="str">
            <v>C</v>
          </cell>
          <cell r="G49" t="str">
            <v>Nhân viên</v>
          </cell>
        </row>
        <row r="50">
          <cell r="B50" t="str">
            <v>Nhân viên kỹ thuật</v>
          </cell>
          <cell r="C50" t="str">
            <v>01.007</v>
          </cell>
          <cell r="D50">
            <v>1.65</v>
          </cell>
          <cell r="E50">
            <v>0.18</v>
          </cell>
          <cell r="F50" t="str">
            <v>C</v>
          </cell>
          <cell r="G50" t="str">
            <v>Nhân viên</v>
          </cell>
        </row>
        <row r="51">
          <cell r="B51" t="str">
            <v>Nhân viên văn thư</v>
          </cell>
          <cell r="C51" t="str">
            <v>01.008</v>
          </cell>
          <cell r="D51">
            <v>1.35</v>
          </cell>
          <cell r="E51">
            <v>0.18</v>
          </cell>
          <cell r="F51" t="str">
            <v>C</v>
          </cell>
          <cell r="G51" t="str">
            <v>Nhân viên</v>
          </cell>
        </row>
        <row r="52">
          <cell r="B52" t="str">
            <v>Nhân viên phục vụ</v>
          </cell>
          <cell r="C52" t="str">
            <v>01.009</v>
          </cell>
          <cell r="D52">
            <v>1</v>
          </cell>
          <cell r="E52">
            <v>0.18</v>
          </cell>
          <cell r="F52" t="str">
            <v>C</v>
          </cell>
          <cell r="G52" t="str">
            <v>Nhân viên</v>
          </cell>
        </row>
        <row r="53">
          <cell r="B53" t="str">
            <v>Lái xe cơ quan</v>
          </cell>
          <cell r="C53" t="str">
            <v>01.010</v>
          </cell>
          <cell r="D53">
            <v>2.0499999999999998</v>
          </cell>
          <cell r="E53">
            <v>0.18</v>
          </cell>
          <cell r="F53" t="str">
            <v>C</v>
          </cell>
          <cell r="G53" t="str">
            <v>Nhân viên</v>
          </cell>
        </row>
        <row r="54">
          <cell r="B54" t="str">
            <v>Nhân viên bảo vệ</v>
          </cell>
          <cell r="C54" t="str">
            <v>01.011</v>
          </cell>
          <cell r="D54">
            <v>1.5</v>
          </cell>
          <cell r="E54">
            <v>0.18</v>
          </cell>
          <cell r="F54" t="str">
            <v>C</v>
          </cell>
          <cell r="G54" t="str">
            <v>Nhân viên</v>
          </cell>
        </row>
        <row r="55">
          <cell r="B55" t="str">
            <v>Thủ kho bảo quản</v>
          </cell>
          <cell r="C55" t="str">
            <v>19.185</v>
          </cell>
          <cell r="D55">
            <v>1.65</v>
          </cell>
          <cell r="E55">
            <v>0.18</v>
          </cell>
          <cell r="F55" t="str">
            <v>C</v>
          </cell>
          <cell r="G55" t="str">
            <v>Nhân viên</v>
          </cell>
        </row>
        <row r="56">
          <cell r="B56" t="str">
            <v>Thủ quỹ</v>
          </cell>
          <cell r="C56" t="str">
            <v>06.035</v>
          </cell>
          <cell r="D56">
            <v>1.5</v>
          </cell>
          <cell r="E56">
            <v>0.18</v>
          </cell>
          <cell r="F56" t="str">
            <v>C</v>
          </cell>
          <cell r="G56" t="str">
            <v>Nhân viên</v>
          </cell>
        </row>
        <row r="71">
          <cell r="B71" t="str">
            <v>CHỨC VỤ</v>
          </cell>
          <cell r="C71" t="str">
            <v>PC CV</v>
          </cell>
        </row>
        <row r="72">
          <cell r="B72" t="str">
            <v>Giám đốc Học viện</v>
          </cell>
          <cell r="C72">
            <v>1.3</v>
          </cell>
        </row>
        <row r="73">
          <cell r="B73" t="str">
            <v>Nguyên giám đốc Học viện</v>
          </cell>
          <cell r="C73">
            <v>1.3</v>
          </cell>
        </row>
        <row r="74">
          <cell r="B74" t="str">
            <v>Phó Giám đốc Học viện</v>
          </cell>
          <cell r="C74">
            <v>1.1000000000000001</v>
          </cell>
        </row>
        <row r="75">
          <cell r="B75" t="str">
            <v>Nguyên Phó giám đốc Học viện</v>
          </cell>
          <cell r="C75">
            <v>1.1000000000000001</v>
          </cell>
        </row>
        <row r="76">
          <cell r="B76" t="str">
            <v>Giám đốc phân viện</v>
          </cell>
          <cell r="C76" t="str">
            <v>1,2</v>
          </cell>
        </row>
        <row r="77">
          <cell r="B77" t="str">
            <v>Trưởng khoa</v>
          </cell>
          <cell r="C77" t="str">
            <v>1,0</v>
          </cell>
        </row>
        <row r="78">
          <cell r="B78" t="str">
            <v>Nguyên Trưởng khoa</v>
          </cell>
          <cell r="C78" t="str">
            <v>1,0</v>
          </cell>
        </row>
        <row r="79">
          <cell r="B79" t="str">
            <v>Phó Trưởng khoa</v>
          </cell>
          <cell r="C79" t="str">
            <v>0,8</v>
          </cell>
        </row>
        <row r="80">
          <cell r="B80" t="str">
            <v>Nguyên Phó trưởng khoa</v>
          </cell>
          <cell r="C80" t="str">
            <v>0,8</v>
          </cell>
        </row>
        <row r="81">
          <cell r="B81" t="str">
            <v>Trưởng ban</v>
          </cell>
          <cell r="C81" t="str">
            <v>1,0</v>
          </cell>
        </row>
        <row r="82">
          <cell r="B82" t="str">
            <v>Nguyên Trưởng ban</v>
          </cell>
          <cell r="C82" t="str">
            <v>1,0</v>
          </cell>
        </row>
        <row r="83">
          <cell r="B83" t="str">
            <v>Phó Trưởng ban</v>
          </cell>
          <cell r="C83" t="str">
            <v>0,8</v>
          </cell>
        </row>
        <row r="84">
          <cell r="B84" t="str">
            <v>Phó Trưởng ban (PT)</v>
          </cell>
          <cell r="C84" t="str">
            <v>0,8</v>
          </cell>
        </row>
        <row r="85">
          <cell r="B85" t="str">
            <v>Nguyên Phó trưởng ban</v>
          </cell>
          <cell r="C85" t="str">
            <v>0,8</v>
          </cell>
        </row>
        <row r="86">
          <cell r="B86" t="str">
            <v>Trưởng phòng</v>
          </cell>
          <cell r="C86" t="str">
            <v>0,6</v>
          </cell>
        </row>
        <row r="87">
          <cell r="B87" t="str">
            <v>Q. Trưởng phòng</v>
          </cell>
          <cell r="C87" t="str">
            <v>0,6</v>
          </cell>
        </row>
        <row r="88">
          <cell r="B88" t="str">
            <v>Phó Trưởng phòng</v>
          </cell>
          <cell r="C88" t="str">
            <v>0,4</v>
          </cell>
        </row>
        <row r="89">
          <cell r="B89" t="str">
            <v>Phó Trưởng phòng (PT)</v>
          </cell>
          <cell r="C89" t="str">
            <v>0,4</v>
          </cell>
        </row>
        <row r="90">
          <cell r="B90" t="str">
            <v>Trưởng bộ môn</v>
          </cell>
          <cell r="C90" t="str">
            <v>0,6</v>
          </cell>
        </row>
        <row r="91">
          <cell r="B91" t="str">
            <v>Phó Trưởng bộ môn</v>
          </cell>
          <cell r="C91" t="str">
            <v>0,4</v>
          </cell>
        </row>
        <row r="92">
          <cell r="B92" t="str">
            <v>Tổng Biên tập</v>
          </cell>
          <cell r="C92" t="str">
            <v>1,0</v>
          </cell>
        </row>
        <row r="93">
          <cell r="B93" t="str">
            <v>Phó Tổng biên tập</v>
          </cell>
          <cell r="C93" t="str">
            <v>0,8</v>
          </cell>
        </row>
        <row r="94">
          <cell r="B94" t="str">
            <v>Trưởng ban (TC QLNN)</v>
          </cell>
          <cell r="C94" t="str">
            <v>0,6</v>
          </cell>
        </row>
        <row r="95">
          <cell r="B95" t="str">
            <v>Trưởng Ban Biên tập</v>
          </cell>
          <cell r="C95" t="str">
            <v>0,6</v>
          </cell>
        </row>
        <row r="96">
          <cell r="B96" t="str">
            <v>Phó Trưởng ban (TC QLNN)</v>
          </cell>
          <cell r="C96" t="str">
            <v>0,4</v>
          </cell>
        </row>
        <row r="97">
          <cell r="B97" t="str">
            <v>Phó Trưởng ban (TC QLNN)</v>
          </cell>
          <cell r="C97" t="str">
            <v>0,4</v>
          </cell>
        </row>
        <row r="98">
          <cell r="B98" t="str">
            <v>Viện Trưởng</v>
          </cell>
          <cell r="C98" t="str">
            <v>1,0</v>
          </cell>
        </row>
        <row r="99">
          <cell r="B99" t="str">
            <v>Nguyên Viện Trưởng</v>
          </cell>
          <cell r="C99" t="str">
            <v>1,0</v>
          </cell>
        </row>
        <row r="100">
          <cell r="B100" t="str">
            <v>Phó Viện Trưởng</v>
          </cell>
          <cell r="C100" t="str">
            <v>0,8</v>
          </cell>
        </row>
        <row r="101">
          <cell r="B101" t="str">
            <v>Nguyên Phó Viện Trưởng</v>
          </cell>
          <cell r="C101" t="str">
            <v>0,8</v>
          </cell>
        </row>
        <row r="102">
          <cell r="B102" t="str">
            <v>Chủ nhiệm TV</v>
          </cell>
          <cell r="C102" t="str">
            <v>0,6</v>
          </cell>
        </row>
        <row r="103">
          <cell r="B103" t="str">
            <v>Phó Chủ nhiệm TV</v>
          </cell>
          <cell r="C103" t="str">
            <v>0,4</v>
          </cell>
        </row>
        <row r="104">
          <cell r="B104" t="str">
            <v>Giám đốc (cấp vụ)</v>
          </cell>
          <cell r="C104" t="str">
            <v>1,0</v>
          </cell>
        </row>
        <row r="105">
          <cell r="B105" t="str">
            <v>Phó Giám đốc (cấp vụ)</v>
          </cell>
          <cell r="C105" t="str">
            <v>0,8</v>
          </cell>
        </row>
        <row r="106">
          <cell r="B106" t="str">
            <v>Giám đốc (cấp phòng)</v>
          </cell>
          <cell r="C106">
            <v>0.6</v>
          </cell>
        </row>
        <row r="107">
          <cell r="B107" t="str">
            <v>Phó Giám đốc (cấp phòng)</v>
          </cell>
          <cell r="C107" t="str">
            <v>0,4</v>
          </cell>
        </row>
        <row r="108">
          <cell r="B108" t="str">
            <v>Chánh văn phòng</v>
          </cell>
          <cell r="C108" t="str">
            <v>1,0</v>
          </cell>
        </row>
        <row r="109">
          <cell r="B109" t="str">
            <v>Phó Chánh văn phòng</v>
          </cell>
          <cell r="C109" t="str">
            <v>0,8</v>
          </cell>
        </row>
        <row r="110">
          <cell r="B110" t="str">
            <v>Đội Trưởng</v>
          </cell>
          <cell r="C110" t="str">
            <v>0,6</v>
          </cell>
        </row>
        <row r="111">
          <cell r="B111" t="str">
            <v>Đội Phó</v>
          </cell>
          <cell r="C111" t="str">
            <v>0,4</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cell r="C1" t="str">
            <v>MÃ SỐ</v>
          </cell>
          <cell r="D1" t="str">
            <v>HS bậc 1</v>
          </cell>
          <cell r="E1" t="str">
            <v>BƯỚC</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7"/>
  <sheetViews>
    <sheetView topLeftCell="B43" workbookViewId="0">
      <selection activeCell="N29" sqref="N29"/>
    </sheetView>
  </sheetViews>
  <sheetFormatPr defaultRowHeight="15" x14ac:dyDescent="0.25"/>
  <cols>
    <col min="1" max="1" width="9.140625" hidden="1" customWidth="1"/>
    <col min="2" max="2" width="5" customWidth="1"/>
    <col min="3" max="3" width="9.140625" hidden="1" customWidth="1"/>
    <col min="4" max="4" width="21.85546875" customWidth="1"/>
    <col min="5" max="5" width="6.28515625" customWidth="1"/>
    <col min="6" max="13" width="9.140625" hidden="1" customWidth="1"/>
    <col min="14" max="14" width="16.28515625" customWidth="1"/>
    <col min="15" max="15" width="21.140625" customWidth="1"/>
    <col min="16" max="18" width="9.140625" hidden="1" customWidth="1"/>
    <col min="19" max="19" width="13.140625" customWidth="1"/>
    <col min="20" max="20" width="9.85546875" customWidth="1"/>
    <col min="21" max="22" width="9.140625" hidden="1" customWidth="1"/>
    <col min="23" max="23" width="1.7109375" hidden="1" customWidth="1"/>
    <col min="24" max="24" width="3.28515625" customWidth="1"/>
    <col min="25" max="25" width="1.28515625" customWidth="1"/>
    <col min="26" max="26" width="3.42578125" customWidth="1"/>
    <col min="27" max="27" width="5.42578125" customWidth="1"/>
    <col min="28" max="28" width="3" customWidth="1"/>
    <col min="29" max="29" width="2.140625" customWidth="1"/>
    <col min="30" max="30" width="3" customWidth="1"/>
    <col min="31" max="31" width="5.85546875" customWidth="1"/>
    <col min="32" max="32" width="3" customWidth="1"/>
    <col min="33" max="33" width="1.7109375" customWidth="1"/>
    <col min="34" max="34" width="2.42578125" customWidth="1"/>
    <col min="35" max="35" width="0.85546875" customWidth="1"/>
    <col min="36" max="36" width="4.85546875" customWidth="1"/>
    <col min="37" max="37" width="0.140625" hidden="1" customWidth="1"/>
    <col min="38" max="50" width="9.140625" hidden="1" customWidth="1"/>
    <col min="51" max="51" width="0.140625" hidden="1" customWidth="1"/>
    <col min="52" max="59" width="9.140625" hidden="1" customWidth="1"/>
    <col min="60" max="60" width="6.42578125" customWidth="1"/>
    <col min="61" max="61" width="10.140625" customWidth="1"/>
    <col min="62" max="62" width="7.28515625" customWidth="1"/>
    <col min="63" max="63" width="7.42578125" customWidth="1"/>
    <col min="64" max="64" width="7.85546875" customWidth="1"/>
    <col min="65" max="70" width="9.140625" customWidth="1"/>
    <col min="71" max="71" width="16.42578125" customWidth="1"/>
  </cols>
  <sheetData>
    <row r="1" spans="1:126" s="4" customFormat="1" ht="16.5" x14ac:dyDescent="0.3">
      <c r="A1" s="1"/>
      <c r="B1" s="737" t="s">
        <v>0</v>
      </c>
      <c r="C1" s="737"/>
      <c r="D1" s="737"/>
      <c r="E1" s="737"/>
      <c r="F1" s="737"/>
      <c r="G1" s="737"/>
      <c r="H1" s="737"/>
      <c r="I1" s="737"/>
      <c r="J1" s="737"/>
      <c r="K1" s="737"/>
      <c r="L1" s="737"/>
      <c r="M1" s="737"/>
      <c r="N1" s="737"/>
      <c r="O1" s="2"/>
      <c r="P1" s="3"/>
      <c r="Q1" s="3"/>
      <c r="R1" s="3"/>
      <c r="S1" s="738" t="s">
        <v>1</v>
      </c>
      <c r="T1" s="738"/>
      <c r="U1" s="738"/>
      <c r="V1" s="738"/>
      <c r="W1" s="738"/>
      <c r="X1" s="738"/>
      <c r="Y1" s="738"/>
      <c r="Z1" s="738"/>
      <c r="AA1" s="738"/>
      <c r="AB1" s="738"/>
      <c r="AC1" s="738"/>
      <c r="AD1" s="738"/>
      <c r="AE1" s="738"/>
      <c r="AF1" s="3"/>
      <c r="AG1" s="3"/>
      <c r="AH1" s="3"/>
      <c r="AI1" s="3"/>
      <c r="AJ1" s="3"/>
      <c r="AK1" s="3"/>
    </row>
    <row r="2" spans="1:126" s="4" customFormat="1" ht="16.5" x14ac:dyDescent="0.3">
      <c r="A2" s="1"/>
      <c r="B2" s="738" t="s">
        <v>2</v>
      </c>
      <c r="C2" s="738"/>
      <c r="D2" s="738"/>
      <c r="E2" s="738"/>
      <c r="F2" s="738"/>
      <c r="G2" s="738"/>
      <c r="H2" s="738"/>
      <c r="I2" s="738"/>
      <c r="J2" s="738"/>
      <c r="K2" s="738"/>
      <c r="L2" s="738"/>
      <c r="M2" s="738"/>
      <c r="N2" s="738"/>
      <c r="O2" s="5"/>
      <c r="P2" s="3"/>
      <c r="Q2" s="3"/>
      <c r="R2" s="3"/>
      <c r="S2" s="739" t="s">
        <v>3</v>
      </c>
      <c r="T2" s="739"/>
      <c r="U2" s="739"/>
      <c r="V2" s="739"/>
      <c r="W2" s="739"/>
      <c r="X2" s="739"/>
      <c r="Y2" s="739"/>
      <c r="Z2" s="739"/>
      <c r="AA2" s="739"/>
      <c r="AB2" s="739"/>
      <c r="AC2" s="739"/>
      <c r="AD2" s="739"/>
      <c r="AE2" s="739"/>
      <c r="AF2" s="3"/>
      <c r="AG2" s="3"/>
      <c r="AH2" s="3"/>
      <c r="AI2" s="3"/>
      <c r="AJ2" s="3"/>
      <c r="AK2" s="3"/>
    </row>
    <row r="3" spans="1:126" s="11" customFormat="1" ht="22.5" customHeight="1" x14ac:dyDescent="0.3">
      <c r="A3" s="6"/>
      <c r="B3" s="6"/>
      <c r="C3" s="6"/>
      <c r="D3" s="7"/>
      <c r="E3" s="6"/>
      <c r="F3" s="6"/>
      <c r="G3" s="6"/>
      <c r="H3" s="6"/>
      <c r="I3" s="6"/>
      <c r="J3" s="6"/>
      <c r="K3" s="6"/>
      <c r="L3" s="6"/>
      <c r="M3" s="6"/>
      <c r="N3" s="7"/>
      <c r="O3" s="8"/>
      <c r="P3" s="9"/>
      <c r="Q3" s="9"/>
      <c r="R3" s="9"/>
      <c r="S3" s="740" t="s">
        <v>241</v>
      </c>
      <c r="T3" s="740"/>
      <c r="U3" s="740"/>
      <c r="V3" s="740"/>
      <c r="W3" s="740"/>
      <c r="X3" s="740"/>
      <c r="Y3" s="740"/>
      <c r="Z3" s="740"/>
      <c r="AA3" s="740"/>
      <c r="AB3" s="740"/>
      <c r="AC3" s="740"/>
      <c r="AD3" s="740"/>
      <c r="AE3" s="74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I3" s="10"/>
    </row>
    <row r="4" spans="1:126" s="11" customFormat="1" ht="35.25" customHeight="1" x14ac:dyDescent="0.3">
      <c r="A4" s="736" t="s">
        <v>232</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row>
    <row r="5" spans="1:126" s="17" customFormat="1" ht="4.5" customHeight="1" x14ac:dyDescent="0.25">
      <c r="A5" s="736"/>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12"/>
      <c r="BJ5" s="13"/>
      <c r="BK5" s="14"/>
      <c r="BL5" s="14"/>
      <c r="BM5" s="15"/>
      <c r="BN5" s="16"/>
      <c r="BP5" s="13"/>
      <c r="BQ5" s="13"/>
      <c r="BR5" s="13"/>
      <c r="BS5" s="13"/>
      <c r="BU5" s="18"/>
      <c r="BV5" s="19"/>
      <c r="BW5" s="20"/>
    </row>
    <row r="6" spans="1:126" s="5" customFormat="1" ht="5.25" hidden="1" customHeight="1" x14ac:dyDescent="0.3">
      <c r="A6" s="21"/>
      <c r="B6" s="22"/>
      <c r="C6" s="21"/>
      <c r="D6" s="23" t="s">
        <v>4</v>
      </c>
      <c r="E6" s="22" t="e">
        <f>#REF!+#REF!</f>
        <v>#REF!</v>
      </c>
      <c r="F6" s="23"/>
      <c r="G6" s="24"/>
      <c r="H6" s="24"/>
      <c r="I6" s="24"/>
      <c r="J6" s="25"/>
      <c r="K6" s="25" t="s">
        <v>5</v>
      </c>
      <c r="L6" s="25"/>
      <c r="M6" s="25"/>
      <c r="N6" s="26" t="s">
        <v>5</v>
      </c>
      <c r="O6" s="26"/>
      <c r="P6" s="27"/>
      <c r="Q6" s="27"/>
      <c r="R6" s="27"/>
      <c r="S6" s="28"/>
      <c r="T6" s="29"/>
      <c r="U6" s="30"/>
      <c r="V6" s="31"/>
      <c r="W6" s="31"/>
      <c r="X6" s="32"/>
      <c r="Y6" s="33"/>
      <c r="Z6" s="34"/>
      <c r="AA6" s="35"/>
      <c r="AB6" s="36"/>
      <c r="AC6" s="37"/>
      <c r="AD6" s="34"/>
      <c r="AE6" s="35"/>
      <c r="AF6" s="741"/>
      <c r="AG6" s="741"/>
      <c r="AH6" s="741"/>
      <c r="AI6" s="741"/>
      <c r="AJ6" s="741"/>
      <c r="AK6" s="38"/>
      <c r="AL6" s="39"/>
      <c r="AM6" s="40"/>
      <c r="AN6" s="24"/>
      <c r="AO6" s="33"/>
      <c r="AP6" s="41"/>
      <c r="AQ6" s="42"/>
      <c r="AR6" s="43"/>
      <c r="AS6" s="44"/>
      <c r="AT6" s="45"/>
      <c r="AU6" s="35"/>
      <c r="AV6" s="37"/>
      <c r="AW6" s="43"/>
      <c r="AX6" s="35"/>
      <c r="AY6" s="43"/>
      <c r="AZ6" s="46"/>
      <c r="BA6" s="47"/>
      <c r="BB6" s="48"/>
      <c r="BC6" s="48"/>
      <c r="BD6" s="49"/>
      <c r="BE6" s="49"/>
      <c r="BF6" s="35"/>
      <c r="BG6" s="50"/>
      <c r="BH6" s="51"/>
      <c r="BI6" s="52"/>
      <c r="BJ6" s="53"/>
      <c r="BK6" s="14"/>
      <c r="BL6" s="14"/>
      <c r="BM6" s="15"/>
      <c r="BN6" s="54"/>
      <c r="BP6" s="53"/>
      <c r="BQ6" s="53"/>
      <c r="BR6" s="53"/>
      <c r="BS6" s="53"/>
      <c r="BU6" s="55"/>
      <c r="BV6" s="56"/>
      <c r="BW6" s="57"/>
    </row>
    <row r="7" spans="1:126" s="90" customFormat="1" ht="16.5" x14ac:dyDescent="0.25">
      <c r="A7" s="58"/>
      <c r="B7" s="59" t="s">
        <v>83</v>
      </c>
      <c r="C7" s="58"/>
      <c r="D7" s="60"/>
      <c r="E7" s="61"/>
      <c r="F7" s="62"/>
      <c r="G7" s="60"/>
      <c r="H7" s="60"/>
      <c r="I7" s="60"/>
      <c r="J7" s="63"/>
      <c r="K7" s="63"/>
      <c r="L7" s="63"/>
      <c r="M7" s="63"/>
      <c r="N7" s="59"/>
      <c r="O7" s="59"/>
      <c r="P7" s="64"/>
      <c r="Q7" s="64"/>
      <c r="R7" s="64"/>
      <c r="S7" s="65"/>
      <c r="T7" s="66"/>
      <c r="U7" s="67"/>
      <c r="V7" s="66"/>
      <c r="W7" s="66"/>
      <c r="X7" s="60"/>
      <c r="Y7" s="68"/>
      <c r="Z7" s="69"/>
      <c r="AA7" s="70"/>
      <c r="AB7" s="71"/>
      <c r="AC7" s="68"/>
      <c r="AD7" s="69"/>
      <c r="AE7" s="70"/>
      <c r="AF7" s="72"/>
      <c r="AG7" s="61"/>
      <c r="AH7" s="61"/>
      <c r="AI7" s="73"/>
      <c r="AJ7" s="74"/>
      <c r="AK7" s="75"/>
      <c r="AL7" s="76"/>
      <c r="AM7" s="77"/>
      <c r="AN7" s="60"/>
      <c r="AO7" s="68"/>
      <c r="AP7" s="78"/>
      <c r="AQ7" s="79"/>
      <c r="AR7" s="80"/>
      <c r="AS7" s="60"/>
      <c r="AT7" s="81"/>
      <c r="AU7" s="70"/>
      <c r="AV7" s="68"/>
      <c r="AW7" s="80"/>
      <c r="AX7" s="70"/>
      <c r="AY7" s="82"/>
      <c r="AZ7" s="83"/>
      <c r="BA7" s="84"/>
      <c r="BB7" s="68"/>
      <c r="BC7" s="68"/>
      <c r="BD7" s="85"/>
      <c r="BE7" s="85"/>
      <c r="BF7" s="81"/>
      <c r="BG7" s="71"/>
      <c r="BH7" s="86"/>
      <c r="BI7" s="86"/>
      <c r="BJ7" s="87"/>
      <c r="BK7" s="88"/>
      <c r="BL7" s="88"/>
      <c r="BM7" s="88"/>
      <c r="BN7" s="89"/>
      <c r="BP7" s="87"/>
      <c r="BQ7" s="87"/>
      <c r="BR7" s="87"/>
      <c r="BS7" s="87"/>
      <c r="BV7" s="91"/>
      <c r="BW7" s="86"/>
    </row>
    <row r="8" spans="1:126" s="90" customFormat="1" ht="16.5" x14ac:dyDescent="0.25">
      <c r="A8" s="58"/>
      <c r="B8" s="59"/>
      <c r="C8" s="58"/>
      <c r="D8" s="63" t="s">
        <v>6</v>
      </c>
      <c r="E8" s="61"/>
      <c r="F8" s="62"/>
      <c r="G8" s="60"/>
      <c r="H8" s="60"/>
      <c r="I8" s="60"/>
      <c r="J8" s="63"/>
      <c r="K8" s="63"/>
      <c r="L8" s="63"/>
      <c r="M8" s="63"/>
      <c r="N8" s="59"/>
      <c r="O8" s="59"/>
      <c r="P8" s="64"/>
      <c r="Q8" s="64"/>
      <c r="R8" s="64"/>
      <c r="S8" s="65"/>
      <c r="T8" s="66"/>
      <c r="U8" s="67"/>
      <c r="V8" s="66"/>
      <c r="W8" s="66"/>
      <c r="X8" s="60"/>
      <c r="Y8" s="68"/>
      <c r="Z8" s="69"/>
      <c r="AA8" s="70"/>
      <c r="AB8" s="71"/>
      <c r="AC8" s="68"/>
      <c r="AD8" s="69"/>
      <c r="AE8" s="70"/>
      <c r="AF8" s="72"/>
      <c r="AG8" s="61"/>
      <c r="AH8" s="61"/>
      <c r="AI8" s="73"/>
      <c r="AJ8" s="74"/>
      <c r="AK8" s="75"/>
      <c r="AL8" s="76"/>
      <c r="AM8" s="77"/>
      <c r="AN8" s="60"/>
      <c r="AO8" s="68"/>
      <c r="AP8" s="78"/>
      <c r="AQ8" s="79"/>
      <c r="AR8" s="80"/>
      <c r="AS8" s="60"/>
      <c r="AT8" s="81"/>
      <c r="AU8" s="70"/>
      <c r="AV8" s="68"/>
      <c r="AW8" s="80"/>
      <c r="AX8" s="70"/>
      <c r="AY8" s="82"/>
      <c r="AZ8" s="83"/>
      <c r="BA8" s="84"/>
      <c r="BB8" s="68"/>
      <c r="BC8" s="68"/>
      <c r="BD8" s="85"/>
      <c r="BE8" s="85"/>
      <c r="BF8" s="81"/>
      <c r="BG8" s="71"/>
      <c r="BH8" s="86"/>
      <c r="BI8" s="86"/>
      <c r="BJ8" s="87"/>
      <c r="BK8" s="88"/>
      <c r="BL8" s="88"/>
      <c r="BM8" s="88"/>
      <c r="BN8" s="89"/>
      <c r="BP8" s="87"/>
      <c r="BQ8" s="87"/>
      <c r="BR8" s="87"/>
      <c r="BS8" s="87"/>
      <c r="BV8" s="91"/>
      <c r="BW8" s="86"/>
    </row>
    <row r="9" spans="1:126" s="93" customFormat="1" ht="50.25" customHeight="1" x14ac:dyDescent="0.25">
      <c r="A9" s="92"/>
      <c r="C9" s="94"/>
      <c r="D9" s="742" t="s">
        <v>245</v>
      </c>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c r="BG9" s="742"/>
      <c r="BH9" s="742"/>
      <c r="BI9" s="95"/>
      <c r="BJ9" s="96"/>
      <c r="BK9" s="97"/>
      <c r="BL9" s="97"/>
      <c r="BM9" s="97"/>
      <c r="BN9" s="98"/>
      <c r="BP9" s="96"/>
      <c r="BQ9" s="96"/>
      <c r="BR9" s="96"/>
      <c r="BS9" s="96"/>
      <c r="BV9" s="99"/>
      <c r="BW9" s="95"/>
    </row>
    <row r="10" spans="1:126" s="86" customFormat="1" ht="17.25" thickBot="1" x14ac:dyDescent="0.3">
      <c r="A10" s="100"/>
      <c r="B10" s="61"/>
      <c r="C10" s="58"/>
      <c r="D10" s="59" t="s">
        <v>242</v>
      </c>
      <c r="E10" s="61"/>
      <c r="F10" s="62"/>
      <c r="G10" s="60"/>
      <c r="H10" s="60"/>
      <c r="I10" s="60"/>
      <c r="J10" s="63"/>
      <c r="K10" s="63"/>
      <c r="L10" s="63"/>
      <c r="M10" s="63"/>
      <c r="N10" s="59"/>
      <c r="O10" s="59"/>
      <c r="P10" s="64"/>
      <c r="Q10" s="64"/>
      <c r="R10" s="64"/>
      <c r="S10" s="65"/>
      <c r="T10" s="66"/>
      <c r="U10" s="67"/>
      <c r="V10" s="66"/>
      <c r="W10" s="66"/>
      <c r="X10" s="60"/>
      <c r="Y10" s="68"/>
      <c r="Z10" s="69"/>
      <c r="AA10" s="70"/>
      <c r="AB10" s="71"/>
      <c r="AC10" s="68"/>
      <c r="AD10" s="69"/>
      <c r="AE10" s="70"/>
      <c r="AF10" s="101"/>
      <c r="AG10" s="78"/>
      <c r="AH10" s="102"/>
      <c r="AI10" s="103"/>
      <c r="AJ10" s="104"/>
      <c r="AK10" s="75"/>
      <c r="AL10" s="76"/>
      <c r="AM10" s="77"/>
      <c r="AN10" s="60"/>
      <c r="AO10" s="68"/>
      <c r="AP10" s="61"/>
      <c r="AQ10" s="79"/>
      <c r="AR10" s="80"/>
      <c r="AS10" s="60"/>
      <c r="AT10" s="70"/>
      <c r="AU10" s="70"/>
      <c r="AV10" s="68"/>
      <c r="AW10" s="80"/>
      <c r="AX10" s="70"/>
      <c r="AY10" s="80"/>
      <c r="AZ10" s="83"/>
      <c r="BA10" s="84"/>
      <c r="BB10" s="68"/>
      <c r="BC10" s="68"/>
      <c r="BD10" s="85"/>
      <c r="BE10" s="85"/>
      <c r="BF10" s="70"/>
      <c r="BG10" s="71"/>
      <c r="BK10" s="88"/>
      <c r="BL10" s="88"/>
      <c r="BM10" s="88"/>
    </row>
    <row r="11" spans="1:126" s="111" customFormat="1" ht="15" customHeight="1" thickTop="1" x14ac:dyDescent="0.25">
      <c r="A11" s="105"/>
      <c r="B11" s="61" t="s">
        <v>7</v>
      </c>
      <c r="C11" s="58"/>
      <c r="D11" s="59" t="s">
        <v>8</v>
      </c>
      <c r="E11" s="61"/>
      <c r="F11" s="62"/>
      <c r="G11" s="60"/>
      <c r="H11" s="60"/>
      <c r="I11" s="60"/>
      <c r="J11" s="63"/>
      <c r="K11" s="63"/>
      <c r="L11" s="63"/>
      <c r="M11" s="63"/>
      <c r="N11" s="59"/>
      <c r="O11" s="59"/>
      <c r="P11" s="64"/>
      <c r="Q11" s="64"/>
      <c r="R11" s="64"/>
      <c r="S11" s="65"/>
      <c r="T11" s="66"/>
      <c r="U11" s="67"/>
      <c r="V11" s="66"/>
      <c r="W11" s="66"/>
      <c r="X11" s="60"/>
      <c r="Y11" s="68"/>
      <c r="Z11" s="69"/>
      <c r="AA11" s="70"/>
      <c r="AB11" s="71"/>
      <c r="AC11" s="68"/>
      <c r="AD11" s="69"/>
      <c r="AE11" s="70"/>
      <c r="AF11" s="106"/>
      <c r="AG11" s="73"/>
      <c r="AH11" s="73"/>
      <c r="AI11" s="107"/>
      <c r="AJ11" s="74"/>
      <c r="AK11" s="75"/>
      <c r="AL11" s="76"/>
      <c r="AM11" s="77"/>
      <c r="AN11" s="60"/>
      <c r="AO11" s="68"/>
      <c r="AP11" s="78"/>
      <c r="AQ11" s="79"/>
      <c r="AR11" s="80"/>
      <c r="AS11" s="60"/>
      <c r="AT11" s="81"/>
      <c r="AU11" s="70"/>
      <c r="AV11" s="68"/>
      <c r="AW11" s="80"/>
      <c r="AX11" s="70"/>
      <c r="AY11" s="82"/>
      <c r="AZ11" s="83"/>
      <c r="BA11" s="84"/>
      <c r="BB11" s="68"/>
      <c r="BC11" s="68"/>
      <c r="BD11" s="85"/>
      <c r="BE11" s="85"/>
      <c r="BF11" s="81"/>
      <c r="BG11" s="71"/>
      <c r="BH11" s="86"/>
      <c r="BI11" s="551"/>
      <c r="BJ11" s="551"/>
      <c r="BK11" s="551"/>
      <c r="BL11" s="552"/>
      <c r="BM11" s="551"/>
      <c r="BN11" s="110"/>
      <c r="BO11" s="110"/>
      <c r="BU11" s="553"/>
      <c r="BV11" s="551"/>
      <c r="BW11" s="552"/>
      <c r="BX11" s="110"/>
      <c r="CQ11" s="108"/>
      <c r="CR11" s="105"/>
      <c r="CS11" s="112"/>
      <c r="CT11" s="109"/>
      <c r="CU11" s="112"/>
      <c r="CV11" s="112"/>
      <c r="CW11" s="108"/>
      <c r="CX11" s="108"/>
      <c r="CY11" s="108"/>
      <c r="CZ11" s="112"/>
      <c r="DA11" s="112"/>
      <c r="DB11" s="108"/>
      <c r="DC11" s="108"/>
    </row>
    <row r="12" spans="1:126" s="126" customFormat="1" ht="16.5" customHeight="1" x14ac:dyDescent="0.3">
      <c r="A12" s="113"/>
      <c r="B12" s="114"/>
      <c r="C12" s="114"/>
      <c r="D12" s="23" t="s">
        <v>9</v>
      </c>
      <c r="E12" s="115">
        <v>20</v>
      </c>
      <c r="F12" s="116"/>
      <c r="G12" s="116"/>
      <c r="H12" s="116"/>
      <c r="I12" s="117"/>
      <c r="J12" s="118"/>
      <c r="K12" s="118"/>
      <c r="L12" s="118"/>
      <c r="M12" s="118"/>
      <c r="N12" s="118"/>
      <c r="O12" s="25"/>
      <c r="P12" s="25"/>
      <c r="Q12" s="25"/>
      <c r="R12" s="25"/>
      <c r="S12" s="119"/>
      <c r="T12" s="22"/>
      <c r="U12" s="22"/>
      <c r="V12" s="116"/>
      <c r="W12" s="116"/>
      <c r="X12" s="25"/>
      <c r="Y12" s="116"/>
      <c r="Z12" s="25"/>
      <c r="AA12" s="116"/>
      <c r="AB12" s="25"/>
      <c r="AC12" s="25"/>
      <c r="AD12" s="25"/>
      <c r="AE12" s="29"/>
      <c r="AF12" s="120"/>
      <c r="AG12" s="121"/>
      <c r="AH12" s="122"/>
      <c r="AI12" s="123"/>
      <c r="AJ12" s="124"/>
      <c r="AK12" s="118"/>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554"/>
      <c r="BJ12" s="555"/>
      <c r="BK12" s="554"/>
      <c r="BL12" s="554"/>
      <c r="BM12" s="554"/>
      <c r="BN12" s="554"/>
      <c r="BO12" s="554"/>
      <c r="BP12" s="554"/>
      <c r="BQ12" s="554"/>
      <c r="BR12" s="554"/>
      <c r="BS12" s="554"/>
      <c r="BT12" s="554"/>
      <c r="BU12" s="554"/>
      <c r="BV12" s="554"/>
      <c r="BW12" s="554"/>
      <c r="BX12" s="554"/>
      <c r="BY12" s="554"/>
      <c r="BZ12" s="554"/>
      <c r="CA12" s="554"/>
      <c r="CB12" s="554"/>
      <c r="CC12" s="554"/>
      <c r="CD12" s="554"/>
      <c r="CE12" s="554"/>
      <c r="CF12" s="554"/>
      <c r="CG12" s="554"/>
      <c r="CH12" s="554"/>
      <c r="CI12" s="554"/>
      <c r="CJ12" s="554"/>
      <c r="CK12" s="554"/>
      <c r="CL12" s="554"/>
      <c r="CM12" s="554"/>
      <c r="CN12" s="554"/>
      <c r="CO12" s="554"/>
      <c r="CP12" s="554"/>
      <c r="CQ12" s="238"/>
      <c r="CR12" s="238"/>
      <c r="CS12" s="238"/>
      <c r="CT12" s="238"/>
      <c r="CU12" s="238"/>
      <c r="CV12" s="238"/>
      <c r="CW12" s="238"/>
      <c r="CX12" s="238"/>
      <c r="CY12" s="238"/>
    </row>
    <row r="13" spans="1:126" s="150" customFormat="1" ht="3" customHeight="1" x14ac:dyDescent="0.25">
      <c r="A13" s="127">
        <v>92</v>
      </c>
      <c r="B13" s="128"/>
      <c r="C13" s="128"/>
      <c r="D13" s="129"/>
      <c r="E13" s="130"/>
      <c r="F13" s="128"/>
      <c r="G13" s="128"/>
      <c r="H13" s="131"/>
      <c r="I13" s="132"/>
      <c r="J13" s="128"/>
      <c r="K13" s="128"/>
      <c r="L13" s="128"/>
      <c r="M13" s="128"/>
      <c r="N13" s="133"/>
      <c r="O13" s="133"/>
      <c r="P13" s="133"/>
      <c r="Q13" s="133"/>
      <c r="R13" s="133"/>
      <c r="S13" s="134"/>
      <c r="T13" s="135"/>
      <c r="U13" s="136"/>
      <c r="V13" s="135"/>
      <c r="W13" s="135"/>
      <c r="X13" s="137"/>
      <c r="Y13" s="138"/>
      <c r="Z13" s="136"/>
      <c r="AA13" s="139"/>
      <c r="AB13" s="140"/>
      <c r="AC13" s="137"/>
      <c r="AD13" s="141"/>
      <c r="AE13" s="137"/>
      <c r="AF13" s="142"/>
      <c r="AG13" s="143"/>
      <c r="AH13" s="144"/>
      <c r="AI13" s="145"/>
      <c r="AJ13" s="146"/>
      <c r="AK13" s="147"/>
      <c r="AL13" s="148"/>
      <c r="AM13" s="128"/>
      <c r="AN13" s="148"/>
      <c r="AO13" s="148"/>
      <c r="AP13" s="148"/>
      <c r="AQ13" s="148"/>
      <c r="AR13" s="148"/>
      <c r="AS13" s="148"/>
      <c r="AT13" s="148"/>
      <c r="AU13" s="148"/>
      <c r="AV13" s="148"/>
      <c r="AW13" s="148"/>
      <c r="AX13" s="149"/>
      <c r="AY13" s="148"/>
      <c r="AZ13" s="148"/>
      <c r="BA13" s="148"/>
      <c r="BB13" s="148"/>
      <c r="BC13" s="148"/>
      <c r="BD13" s="148"/>
      <c r="BE13" s="148"/>
      <c r="BF13" s="148"/>
      <c r="BG13" s="148"/>
      <c r="BH13" s="148"/>
      <c r="BI13" s="282"/>
      <c r="BJ13" s="269"/>
      <c r="BK13" s="270" t="s">
        <v>10</v>
      </c>
      <c r="BL13" s="271" t="e">
        <f>IF(#REF!="Cơ sở Học viện Hành chính khu vực miền Trung","B",IF(#REF!="Phân viện Khu vực Tây Nguyên","C",IF(#REF!="Cơ sở Học viện Hành chính tại thành phố Hồ Chí Minh","D","A")))</f>
        <v>#REF!</v>
      </c>
      <c r="BM13" s="270" t="e">
        <f>IF(AND(#REF!&gt;0,#REF!&lt;(#REF!-1),BN13&gt;0,BN13&lt;13,OR(AND(BT13="Cùg Ng",(#REF!-BP13)&gt;#REF!),BT13="- - -")),"Sớm TT","=&gt; s")</f>
        <v>#REF!</v>
      </c>
      <c r="BN13" s="272" t="e">
        <f>IF(#REF!=3,36-(12*(#REF!-#REF!)+(12-#REF!)-#REF!),IF(#REF!=2,24-(12*(#REF!-#REF!)+(12-#REF!)-#REF!),"---"))</f>
        <v>#REF!</v>
      </c>
      <c r="BO13" s="273" t="str">
        <f>IF(BP13&gt;1,"S","---")</f>
        <v>---</v>
      </c>
      <c r="BP13" s="274"/>
      <c r="BQ13" s="275"/>
      <c r="BR13" s="275"/>
      <c r="BS13" s="275"/>
      <c r="BT13" s="274" t="e">
        <f>IF(#REF!=BQ13,"Cùg Ng","- - -")</f>
        <v>#REF!</v>
      </c>
      <c r="BU13" s="273" t="str">
        <f>IF(BW13&gt;2000,"NN","- - -")</f>
        <v>- - -</v>
      </c>
      <c r="BV13" s="270"/>
      <c r="BW13" s="270"/>
      <c r="BX13" s="276"/>
      <c r="BY13" s="276"/>
      <c r="BZ13" s="276" t="str">
        <f>IF(CB13&gt;2000,"CN","- - -")</f>
        <v>- - -</v>
      </c>
      <c r="CA13" s="276"/>
      <c r="CB13" s="276"/>
      <c r="CC13" s="276"/>
      <c r="CD13" s="276"/>
      <c r="CE13" s="276" t="e">
        <f>IF(AND(CF13="Hưu",#REF!&lt;(#REF!-1),CM13&gt;0,CM13&lt;18,OR(#REF!&lt;4,AND(#REF!&gt;3,OR(#REF!&lt;3,#REF!&gt;5)))),"Lg Sớm",IF(AND(CF13="Hưu",#REF!&gt;(#REF!-2),OR(#REF!=0.33,#REF!=0.34),OR(#REF!&lt;4,AND(#REF!&gt;3,OR(#REF!&lt;3,#REF!&gt;5)))),"Nâng Ngạch",IF(AND(CF13="Hưu",#REF!=1,CM13&gt;2,CM13&lt;6,OR(#REF!&lt;4,AND(#REF!&gt;3,OR(#REF!&lt;3,#REF!&gt;5)))),"Nâng PcVK cùng QĐ",IF(AND(CF13="Hưu",#REF!&gt;3,#REF!&gt;2,#REF!&lt;6,#REF!&lt;(#REF!-1),CM13&gt;17,OR(#REF!&gt;1,AND(#REF!=1,OR(CM13&lt;3,CM13&gt;5)))),"Nâng PcNG cùng QĐ",IF(AND(CF13="Hưu",#REF!&lt;(#REF!-1),CM13&gt;0,CM13&lt;18,#REF!&gt;3,#REF!&gt;2,#REF!&lt;6),"Nâng Lg Sớm +(PcNG cùng QĐ)",IF(AND(CF13="Hưu",#REF!&gt;(#REF!-2),OR(#REF!=0.33,#REF!=0.34),#REF!&gt;3,#REF!&gt;2,#REF!&lt;6),"Nâng Ngạch +(PcNG cùng QĐ)",IF(AND(CF13="Hưu",#REF!=1,CM13&gt;2,CM13&lt;6,#REF!&gt;3,#REF!&gt;2,#REF!&lt;6),"Nâng (PcVK +PcNG) cùng QĐ",("---"))))))))</f>
        <v>#REF!</v>
      </c>
      <c r="CF13" s="276" t="e">
        <f>IF(AND(CQ13&gt;CP13,CQ13&lt;(CP13+13)),"Hưu",IF(AND(CQ13&gt;(CP13+12),CQ13&lt;1000),"Quá","/-/ /-/"))</f>
        <v>#REF!</v>
      </c>
      <c r="CG13" s="276" t="e">
        <f>IF((#REF!+0)&lt;12,(#REF!+0)+1,IF((#REF!+0)=12,1,IF((#REF!+0)&gt;12,(#REF!+0)-12)))</f>
        <v>#REF!</v>
      </c>
      <c r="CH13" s="276" t="e">
        <f>IF(OR((#REF!+0)=12,(#REF!+0)&gt;12),#REF!+CP13/12+1,IF(AND((#REF!+0)&gt;0,(#REF!+0)&lt;12),#REF!+CP13/12,"---"))</f>
        <v>#REF!</v>
      </c>
      <c r="CI13" s="276" t="e">
        <f>IF(AND(CG13&gt;3,CG13&lt;13),CG13-3,IF(CG13&lt;4,CG13-3+12))</f>
        <v>#REF!</v>
      </c>
      <c r="CJ13" s="276" t="e">
        <f>IF(CI13&lt;CG13,CH13,IF(CI13&gt;CG13,CH13-1))</f>
        <v>#REF!</v>
      </c>
      <c r="CK13" s="276" t="e">
        <f>IF(CG13&gt;6,CG13-6,IF(CG13=6,12,IF(CG13&lt;6,CG13+6)))</f>
        <v>#REF!</v>
      </c>
      <c r="CL13" s="276" t="e">
        <f>IF(CG13&gt;6,CH13,IF(CG13&lt;7,CH13-1))</f>
        <v>#REF!</v>
      </c>
      <c r="CM13" s="276" t="e">
        <f>IF(AND(CF13="Hưu",#REF!=3),36+#REF!-(12*(CL13-#REF!)+(CK13-#REF!)),IF(AND(CF13="Hưu",#REF!=2),24+#REF!-(12*(CL13-#REF!)+(CK13-#REF!)),IF(AND(CF13="Hưu",#REF!=1),12+#REF!-(12*(CL13-#REF!)+(CK13-#REF!)),"- - -")))</f>
        <v>#REF!</v>
      </c>
      <c r="CN13" s="277" t="str">
        <f>IF(CO13&gt;0,"K.Dài",". .")</f>
        <v>. .</v>
      </c>
      <c r="CO13" s="274"/>
      <c r="CP13" s="278" t="e">
        <f>IF(#REF!="Nam",(60+CO13)*12,IF(#REF!="Nữ",(55+CO13)*12,))</f>
        <v>#REF!</v>
      </c>
      <c r="CQ13" s="550" t="e">
        <f>12*(#REF!-#REF!)+(12-#REF!)</f>
        <v>#REF!</v>
      </c>
      <c r="CR13" s="239" t="e">
        <f>#REF!-#REF!</f>
        <v>#REF!</v>
      </c>
      <c r="CS13" s="240" t="e">
        <f>IF(AND(CR13&lt;35,#REF!="Nam"),"Nam dưới 35",IF(AND(CR13&lt;30,#REF!="Nữ"),"Nữ dưới 30",IF(AND(CR13&gt;34,CR13&lt;46,#REF!="Nam"),"Nam từ 35 - 45",IF(AND(CR13&gt;29,CR13&lt;41,#REF!="Nữ"),"Nữ từ 30 - 40",IF(AND(CR13&gt;45,CR13&lt;56,#REF!="Nam"),"Nam trên 45 - 55",IF(AND(CR13&gt;40,CR13&lt;51,#REF!="Nữ"),"Nữ trên 40 - 50",IF(AND(CR13&gt;55,#REF!="Nam"),"Nam trên 55","Nữ trên 50")))))))</f>
        <v>#REF!</v>
      </c>
      <c r="CT13" s="241"/>
      <c r="CU13" s="242"/>
      <c r="CV13" s="243" t="e">
        <f>IF(CR13&lt;31,"Đến 30",IF(AND(CR13&gt;30,CR13&lt;46),"31 - 45",IF(AND(CR13&gt;45,CR13&lt;70),"Trên 45")))</f>
        <v>#REF!</v>
      </c>
      <c r="CW13" s="244" t="str">
        <f>IF(CX13&gt;0,"TD","--")</f>
        <v>TD</v>
      </c>
      <c r="CX13" s="244">
        <v>2009</v>
      </c>
      <c r="CY13" s="241"/>
      <c r="CZ13" s="151"/>
      <c r="DA13" s="152"/>
      <c r="DB13" s="153"/>
      <c r="DC13" s="153"/>
      <c r="DH13" s="150" t="s">
        <v>11</v>
      </c>
      <c r="DI13" s="150" t="s">
        <v>12</v>
      </c>
      <c r="DJ13" s="150" t="s">
        <v>13</v>
      </c>
      <c r="DK13" s="150" t="s">
        <v>12</v>
      </c>
      <c r="DL13" s="150">
        <v>2009</v>
      </c>
      <c r="DM13" s="150">
        <f>(DH13+0)-(DO13+0)</f>
        <v>0</v>
      </c>
      <c r="DN13" s="150" t="str">
        <f>IF(DM13&gt;0,"Sửa","- - -")</f>
        <v>- - -</v>
      </c>
      <c r="DO13" s="150" t="s">
        <v>11</v>
      </c>
      <c r="DP13" s="150" t="s">
        <v>12</v>
      </c>
      <c r="DQ13" s="150" t="s">
        <v>13</v>
      </c>
      <c r="DR13" s="150" t="s">
        <v>12</v>
      </c>
      <c r="DS13" s="150">
        <v>2009</v>
      </c>
      <c r="DU13" s="150" t="e">
        <f>IF(AND(#REF!&gt;0.34,#REF!=1,OR(#REF!=6.2,#REF!=5.75)),((#REF!-DT13)-2*0.34),IF(AND(#REF!&gt;0.33,#REF!=1,OR(#REF!=4.4,#REF!=4)),((#REF!-DT13)-2*0.33),"- - -"))</f>
        <v>#REF!</v>
      </c>
      <c r="DV13" s="150" t="e">
        <f>IF(CF13="Hưu",12*(CL13-#REF!)+(CK13-#REF!),"---")</f>
        <v>#REF!</v>
      </c>
    </row>
    <row r="14" spans="1:126" s="159" customFormat="1" ht="24.75" customHeight="1" x14ac:dyDescent="0.25">
      <c r="A14" s="170"/>
      <c r="B14" s="743" t="s">
        <v>14</v>
      </c>
      <c r="C14" s="559"/>
      <c r="D14" s="743" t="s">
        <v>15</v>
      </c>
      <c r="E14" s="743" t="s">
        <v>16</v>
      </c>
      <c r="F14" s="155"/>
      <c r="G14" s="155"/>
      <c r="H14" s="155"/>
      <c r="I14" s="155"/>
      <c r="J14" s="155"/>
      <c r="K14" s="559"/>
      <c r="L14" s="559"/>
      <c r="M14" s="559"/>
      <c r="N14" s="743" t="s">
        <v>17</v>
      </c>
      <c r="O14" s="743"/>
      <c r="P14" s="561"/>
      <c r="Q14" s="561"/>
      <c r="R14" s="561"/>
      <c r="S14" s="745" t="s">
        <v>18</v>
      </c>
      <c r="T14" s="746"/>
      <c r="U14" s="743" t="s">
        <v>19</v>
      </c>
      <c r="V14" s="743" t="s">
        <v>20</v>
      </c>
      <c r="W14" s="559"/>
      <c r="X14" s="743" t="s">
        <v>21</v>
      </c>
      <c r="Y14" s="743"/>
      <c r="Z14" s="743"/>
      <c r="AA14" s="743"/>
      <c r="AB14" s="743"/>
      <c r="AC14" s="743"/>
      <c r="AD14" s="743"/>
      <c r="AE14" s="743"/>
      <c r="AF14" s="743"/>
      <c r="AG14" s="743"/>
      <c r="AH14" s="743"/>
      <c r="AI14" s="743"/>
      <c r="AJ14" s="743"/>
      <c r="AK14" s="743" t="s">
        <v>22</v>
      </c>
      <c r="AL14" s="559"/>
      <c r="AM14" s="743" t="s">
        <v>23</v>
      </c>
      <c r="AN14" s="559"/>
      <c r="AO14" s="559"/>
      <c r="AP14" s="559"/>
      <c r="AQ14" s="559"/>
      <c r="AR14" s="559"/>
      <c r="AS14" s="559"/>
      <c r="AT14" s="559"/>
      <c r="AU14" s="559"/>
      <c r="AV14" s="559"/>
      <c r="AW14" s="559"/>
      <c r="AX14" s="743" t="s">
        <v>24</v>
      </c>
      <c r="AY14" s="559"/>
      <c r="AZ14" s="559"/>
      <c r="BA14" s="559"/>
      <c r="BB14" s="559"/>
      <c r="BC14" s="559"/>
      <c r="BD14" s="559"/>
      <c r="BE14" s="559"/>
      <c r="BF14" s="559"/>
      <c r="BG14" s="559"/>
      <c r="BH14" s="744" t="s">
        <v>24</v>
      </c>
      <c r="BI14" s="282"/>
      <c r="BJ14" s="269"/>
      <c r="BK14" s="270"/>
      <c r="BL14" s="271"/>
      <c r="BM14" s="270"/>
      <c r="BN14" s="272"/>
      <c r="BO14" s="273"/>
      <c r="BP14" s="274"/>
      <c r="BQ14" s="275"/>
      <c r="BR14" s="275"/>
      <c r="BS14" s="275"/>
      <c r="BT14" s="274"/>
      <c r="BU14" s="273"/>
      <c r="BV14" s="270"/>
      <c r="BW14" s="270"/>
      <c r="BX14" s="276"/>
      <c r="BY14" s="276"/>
      <c r="BZ14" s="276"/>
      <c r="CA14" s="276"/>
      <c r="CB14" s="276"/>
      <c r="CC14" s="276"/>
      <c r="CD14" s="276"/>
      <c r="CE14" s="276"/>
      <c r="CF14" s="276"/>
      <c r="CG14" s="276"/>
      <c r="CH14" s="276"/>
      <c r="CI14" s="276"/>
      <c r="CJ14" s="276"/>
      <c r="CK14" s="276"/>
      <c r="CL14" s="276"/>
      <c r="CM14" s="276"/>
      <c r="CN14" s="277"/>
      <c r="CO14" s="274"/>
      <c r="CP14" s="278"/>
      <c r="CQ14" s="279"/>
      <c r="CR14" s="280"/>
      <c r="CS14" s="281"/>
      <c r="CT14" s="282"/>
      <c r="CU14" s="280"/>
      <c r="CV14" s="283"/>
      <c r="CW14" s="268"/>
      <c r="CX14" s="246"/>
      <c r="CY14" s="245"/>
      <c r="CZ14" s="163"/>
      <c r="DA14" s="164"/>
      <c r="DB14" s="165"/>
      <c r="DC14" s="165"/>
    </row>
    <row r="15" spans="1:126" s="159" customFormat="1" ht="28.5" customHeight="1" x14ac:dyDescent="0.25">
      <c r="A15" s="170">
        <v>163</v>
      </c>
      <c r="B15" s="744"/>
      <c r="C15" s="166"/>
      <c r="D15" s="744"/>
      <c r="E15" s="744"/>
      <c r="F15" s="167"/>
      <c r="G15" s="167"/>
      <c r="H15" s="167"/>
      <c r="I15" s="167"/>
      <c r="J15" s="167"/>
      <c r="K15" s="166"/>
      <c r="L15" s="166"/>
      <c r="M15" s="166"/>
      <c r="N15" s="744"/>
      <c r="O15" s="744"/>
      <c r="P15" s="562"/>
      <c r="Q15" s="562"/>
      <c r="R15" s="562"/>
      <c r="S15" s="747"/>
      <c r="T15" s="748"/>
      <c r="U15" s="744"/>
      <c r="V15" s="744"/>
      <c r="W15" s="166"/>
      <c r="X15" s="750" t="s">
        <v>25</v>
      </c>
      <c r="Y15" s="750"/>
      <c r="Z15" s="750"/>
      <c r="AA15" s="168" t="s">
        <v>26</v>
      </c>
      <c r="AB15" s="750" t="s">
        <v>27</v>
      </c>
      <c r="AC15" s="750"/>
      <c r="AD15" s="750"/>
      <c r="AE15" s="168" t="s">
        <v>28</v>
      </c>
      <c r="AF15" s="750" t="s">
        <v>29</v>
      </c>
      <c r="AG15" s="750"/>
      <c r="AH15" s="750"/>
      <c r="AI15" s="750"/>
      <c r="AJ15" s="750"/>
      <c r="AK15" s="744"/>
      <c r="AL15" s="166"/>
      <c r="AM15" s="744"/>
      <c r="AN15" s="166"/>
      <c r="AO15" s="166"/>
      <c r="AP15" s="166"/>
      <c r="AQ15" s="166"/>
      <c r="AR15" s="166"/>
      <c r="AS15" s="166"/>
      <c r="AT15" s="166"/>
      <c r="AU15" s="166"/>
      <c r="AV15" s="166"/>
      <c r="AW15" s="166"/>
      <c r="AX15" s="744"/>
      <c r="AY15" s="166"/>
      <c r="AZ15" s="166"/>
      <c r="BA15" s="166"/>
      <c r="BB15" s="166"/>
      <c r="BC15" s="166"/>
      <c r="BD15" s="166"/>
      <c r="BE15" s="166"/>
      <c r="BF15" s="166"/>
      <c r="BG15" s="166"/>
      <c r="BH15" s="749"/>
      <c r="BI15" s="282"/>
      <c r="BJ15" s="269"/>
      <c r="BK15" s="270" t="s">
        <v>30</v>
      </c>
      <c r="BL15" s="271" t="e">
        <f>IF(#REF!="Cơ sở Học viện Hành chính khu vực miền Trung","B",IF(#REF!="Phân viện Khu vực Tây Nguyên","C",IF(#REF!="Cơ sở Học viện Hành chính tại thành phố Hồ Chí Minh","D","A")))</f>
        <v>#REF!</v>
      </c>
      <c r="BM15" s="270" t="e">
        <f>IF(AND(#REF!&gt;0,#REF!&lt;(#REF!-1),BN15&gt;0,BN15&lt;13,OR(AND(BT15="Cùg Ng",(#REF!-BP15)&gt;#REF!),BT15="- - -")),"Sớm TT","=&gt; s")</f>
        <v>#REF!</v>
      </c>
      <c r="BN15" s="272" t="e">
        <f>IF(#REF!=3,36-(12*(#REF!-#REF!)+(12-#REF!)-#REF!),IF(#REF!=2,24-(12*(#REF!-#REF!)+(12-#REF!)-#REF!),"---"))</f>
        <v>#REF!</v>
      </c>
      <c r="BO15" s="273" t="str">
        <f>IF(BP15&gt;1,"S","---")</f>
        <v>---</v>
      </c>
      <c r="BP15" s="274"/>
      <c r="BQ15" s="275"/>
      <c r="BR15" s="275"/>
      <c r="BS15" s="275"/>
      <c r="BT15" s="274" t="e">
        <f>IF(#REF!=BQ15,"Cùg Ng","- - -")</f>
        <v>#REF!</v>
      </c>
      <c r="BU15" s="273" t="str">
        <f>IF(BW15&gt;2000,"NN","- - -")</f>
        <v>- - -</v>
      </c>
      <c r="BV15" s="270"/>
      <c r="BW15" s="270"/>
      <c r="BX15" s="276"/>
      <c r="BY15" s="276"/>
      <c r="BZ15" s="276" t="str">
        <f>IF(CB15&gt;2000,"CN","- - -")</f>
        <v>- - -</v>
      </c>
      <c r="CA15" s="276"/>
      <c r="CB15" s="276"/>
      <c r="CC15" s="276"/>
      <c r="CD15" s="276"/>
      <c r="CE15" s="276" t="e">
        <f>IF(AND(CF15="Hưu",#REF!&lt;(#REF!-1),CM15&gt;0,CM15&lt;18,OR(#REF!&lt;4,AND(#REF!&gt;3,OR(#REF!&lt;3,#REF!&gt;5)))),"Lg Sớm",IF(AND(CF15="Hưu",#REF!&gt;(#REF!-2),OR(#REF!=0.33,#REF!=0.34),OR(#REF!&lt;4,AND(#REF!&gt;3,OR(#REF!&lt;3,#REF!&gt;5)))),"Nâng Ngạch",IF(AND(CF15="Hưu",#REF!=1,CM15&gt;2,CM15&lt;6,OR(#REF!&lt;4,AND(#REF!&gt;3,OR(#REF!&lt;3,#REF!&gt;5)))),"Nâng PcVK cùng QĐ",IF(AND(CF15="Hưu",#REF!&gt;3,#REF!&gt;2,#REF!&lt;6,#REF!&lt;(#REF!-1),CM15&gt;17,OR(#REF!&gt;1,AND(#REF!=1,OR(CM15&lt;3,CM15&gt;5)))),"Nâng PcNG cùng QĐ",IF(AND(CF15="Hưu",#REF!&lt;(#REF!-1),CM15&gt;0,CM15&lt;18,#REF!&gt;3,#REF!&gt;2,#REF!&lt;6),"Nâng Lg Sớm +(PcNG cùng QĐ)",IF(AND(CF15="Hưu",#REF!&gt;(#REF!-2),OR(#REF!=0.33,#REF!=0.34),#REF!&gt;3,#REF!&gt;2,#REF!&lt;6),"Nâng Ngạch +(PcNG cùng QĐ)",IF(AND(CF15="Hưu",#REF!=1,CM15&gt;2,CM15&lt;6,#REF!&gt;3,#REF!&gt;2,#REF!&lt;6),"Nâng (PcVK +PcNG) cùng QĐ",("---"))))))))</f>
        <v>#REF!</v>
      </c>
      <c r="CF15" s="276" t="e">
        <f>IF(AND(CQ15&gt;CP15,CQ15&lt;(CP15+13)),"Hưu",IF(AND(CQ15&gt;(CP15+12),CQ15&lt;1000),"Quá","/-/ /-/"))</f>
        <v>#REF!</v>
      </c>
      <c r="CG15" s="276" t="e">
        <f>IF((#REF!+0)&lt;12,(#REF!+0)+1,IF((#REF!+0)=12,1,IF((#REF!+0)&gt;12,(#REF!+0)-12)))</f>
        <v>#REF!</v>
      </c>
      <c r="CH15" s="276" t="e">
        <f>IF(OR((#REF!+0)=12,(#REF!+0)&gt;12),#REF!+CP15/12+1,IF(AND((#REF!+0)&gt;0,(#REF!+0)&lt;12),#REF!+CP15/12,"---"))</f>
        <v>#REF!</v>
      </c>
      <c r="CI15" s="276" t="e">
        <f>IF(AND(CG15&gt;3,CG15&lt;13),CG15-3,IF(CG15&lt;4,CG15-3+12))</f>
        <v>#REF!</v>
      </c>
      <c r="CJ15" s="276" t="e">
        <f>IF(CI15&lt;CG15,CH15,IF(CI15&gt;CG15,CH15-1))</f>
        <v>#REF!</v>
      </c>
      <c r="CK15" s="276" t="e">
        <f>IF(CG15&gt;6,CG15-6,IF(CG15=6,12,IF(CG15&lt;6,CG15+6)))</f>
        <v>#REF!</v>
      </c>
      <c r="CL15" s="276" t="e">
        <f>IF(CG15&gt;6,CH15,IF(CG15&lt;7,CH15-1))</f>
        <v>#REF!</v>
      </c>
      <c r="CM15" s="276" t="e">
        <f>IF(AND(CF15="Hưu",#REF!=3),36+#REF!-(12*(CL15-#REF!)+(CK15-#REF!)),IF(AND(CF15="Hưu",#REF!=2),24+#REF!-(12*(CL15-#REF!)+(CK15-#REF!)),IF(AND(CF15="Hưu",#REF!=1),12+#REF!-(12*(CL15-#REF!)+(CK15-#REF!)),"- - -")))</f>
        <v>#REF!</v>
      </c>
      <c r="CN15" s="277" t="str">
        <f>IF(CO15&gt;0,"K.Dài",". .")</f>
        <v>. .</v>
      </c>
      <c r="CO15" s="274"/>
      <c r="CP15" s="278" t="e">
        <f>IF(#REF!="Nam",(60+CO15)*12,IF(#REF!="Nữ",(55+CO15)*12,))</f>
        <v>#REF!</v>
      </c>
      <c r="CQ15" s="279" t="e">
        <f>12*(#REF!-#REF!)+(12-#REF!)</f>
        <v>#REF!</v>
      </c>
      <c r="CR15" s="280" t="e">
        <f>#REF!-#REF!</f>
        <v>#REF!</v>
      </c>
      <c r="CS15" s="281" t="e">
        <f>IF(AND(CR15&lt;35,#REF!="Nam"),"Nam dưới 35",IF(AND(CR15&lt;30,#REF!="Nữ"),"Nữ dưới 30",IF(AND(CR15&gt;34,CR15&lt;46,#REF!="Nam"),"Nam từ 35 - 45",IF(AND(CR15&gt;29,CR15&lt;41,#REF!="Nữ"),"Nữ từ 30 - 40",IF(AND(CR15&gt;45,CR15&lt;56,#REF!="Nam"),"Nam trên 45 - 55",IF(AND(CR15&gt;40,CR15&lt;51,#REF!="Nữ"),"Nữ trên 40 - 50",IF(AND(CR15&gt;55,#REF!="Nam"),"Nam trên 55","Nữ trên 50")))))))</f>
        <v>#REF!</v>
      </c>
      <c r="CT15" s="282"/>
      <c r="CU15" s="280"/>
      <c r="CV15" s="283" t="e">
        <f>IF(CR15&lt;31,"Đến 30",IF(AND(CR15&gt;30,CR15&lt;46),"31 - 45",IF(AND(CR15&gt;45,CR15&lt;70),"Trên 45")))</f>
        <v>#REF!</v>
      </c>
      <c r="CW15" s="268" t="str">
        <f>IF(CX15&gt;0,"TD","--")</f>
        <v>--</v>
      </c>
      <c r="CX15" s="246"/>
      <c r="CY15" s="245"/>
      <c r="CZ15" s="163"/>
      <c r="DA15" s="164"/>
      <c r="DB15" s="165"/>
      <c r="DC15" s="165"/>
      <c r="DG15" s="159" t="s">
        <v>31</v>
      </c>
      <c r="DH15" s="159" t="s">
        <v>11</v>
      </c>
      <c r="DI15" s="159" t="s">
        <v>12</v>
      </c>
      <c r="DJ15" s="159" t="s">
        <v>32</v>
      </c>
      <c r="DK15" s="159" t="s">
        <v>12</v>
      </c>
      <c r="DL15" s="159" t="s">
        <v>33</v>
      </c>
      <c r="DM15" s="159">
        <f>(DH15+0)-(DO15+0)</f>
        <v>0</v>
      </c>
      <c r="DN15" s="159" t="str">
        <f>IF(DM15&gt;0,"Sửa","- - -")</f>
        <v>- - -</v>
      </c>
      <c r="DO15" s="159" t="s">
        <v>11</v>
      </c>
      <c r="DP15" s="159" t="s">
        <v>12</v>
      </c>
      <c r="DQ15" s="159" t="s">
        <v>32</v>
      </c>
      <c r="DR15" s="159" t="s">
        <v>12</v>
      </c>
      <c r="DS15" s="159" t="s">
        <v>33</v>
      </c>
      <c r="DU15" s="159" t="e">
        <f>IF(AND(#REF!&gt;0.34,#REF!=1,OR(#REF!=6.2,#REF!=5.75)),((#REF!-DT15)-2*0.34),IF(AND(#REF!&gt;0.33,#REF!=1,OR(#REF!=4.4,#REF!=4)),((#REF!-DT15)-2*0.33),"- - -"))</f>
        <v>#REF!</v>
      </c>
      <c r="DV15" s="159" t="e">
        <f>IF(CF15="Hưu",12*(CL15-#REF!)+(CK15-#REF!),"---")</f>
        <v>#REF!</v>
      </c>
    </row>
    <row r="16" spans="1:126" s="169" customFormat="1" ht="12.75" x14ac:dyDescent="0.25">
      <c r="B16" s="560">
        <v>1</v>
      </c>
      <c r="C16" s="560"/>
      <c r="D16" s="560">
        <v>2</v>
      </c>
      <c r="E16" s="560">
        <v>3</v>
      </c>
      <c r="F16" s="560"/>
      <c r="G16" s="560"/>
      <c r="H16" s="560"/>
      <c r="I16" s="560"/>
      <c r="J16" s="560"/>
      <c r="K16" s="560"/>
      <c r="L16" s="560"/>
      <c r="M16" s="560"/>
      <c r="N16" s="756">
        <v>4</v>
      </c>
      <c r="O16" s="756"/>
      <c r="P16" s="560"/>
      <c r="Q16" s="560"/>
      <c r="R16" s="560"/>
      <c r="S16" s="756">
        <v>5</v>
      </c>
      <c r="T16" s="756"/>
      <c r="U16" s="560">
        <v>5</v>
      </c>
      <c r="V16" s="560">
        <v>6</v>
      </c>
      <c r="W16" s="560"/>
      <c r="X16" s="756">
        <v>6</v>
      </c>
      <c r="Y16" s="756"/>
      <c r="Z16" s="756"/>
      <c r="AA16" s="560">
        <v>7</v>
      </c>
      <c r="AB16" s="756">
        <v>8</v>
      </c>
      <c r="AC16" s="756"/>
      <c r="AD16" s="756"/>
      <c r="AE16" s="560">
        <v>9</v>
      </c>
      <c r="AF16" s="756">
        <v>10</v>
      </c>
      <c r="AG16" s="756"/>
      <c r="AH16" s="756"/>
      <c r="AI16" s="756"/>
      <c r="AJ16" s="756"/>
      <c r="AK16" s="560">
        <v>12</v>
      </c>
      <c r="AL16" s="560"/>
      <c r="AM16" s="560"/>
      <c r="AN16" s="560"/>
      <c r="AO16" s="560"/>
      <c r="AP16" s="560"/>
      <c r="AQ16" s="560"/>
      <c r="AR16" s="560"/>
      <c r="AS16" s="560"/>
      <c r="AT16" s="560"/>
      <c r="AU16" s="560"/>
      <c r="AV16" s="560"/>
      <c r="AW16" s="560"/>
      <c r="AX16" s="560">
        <v>12</v>
      </c>
      <c r="AY16" s="560"/>
      <c r="AZ16" s="560"/>
      <c r="BA16" s="560"/>
      <c r="BB16" s="560"/>
      <c r="BC16" s="560"/>
      <c r="BD16" s="560"/>
      <c r="BE16" s="560"/>
      <c r="BF16" s="560"/>
      <c r="BG16" s="560"/>
      <c r="BH16" s="560">
        <v>11</v>
      </c>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47"/>
      <c r="CX16" s="247"/>
      <c r="CY16" s="247"/>
    </row>
    <row r="17" spans="1:126" s="437" customFormat="1" ht="25.5" customHeight="1" x14ac:dyDescent="0.25">
      <c r="A17" s="388">
        <v>64</v>
      </c>
      <c r="B17" s="389" t="s">
        <v>190</v>
      </c>
      <c r="C17" s="390"/>
      <c r="D17" s="391" t="s">
        <v>191</v>
      </c>
      <c r="E17" s="392"/>
      <c r="F17" s="393"/>
      <c r="G17" s="394"/>
      <c r="H17" s="394"/>
      <c r="I17" s="394"/>
      <c r="J17" s="394"/>
      <c r="K17" s="394"/>
      <c r="L17" s="394"/>
      <c r="M17" s="394"/>
      <c r="N17" s="395"/>
      <c r="O17" s="396"/>
      <c r="P17" s="397"/>
      <c r="Q17" s="397"/>
      <c r="R17" s="398"/>
      <c r="S17" s="717"/>
      <c r="T17" s="718"/>
      <c r="U17" s="393"/>
      <c r="V17" s="401"/>
      <c r="W17" s="402"/>
      <c r="X17" s="403"/>
      <c r="Y17" s="408"/>
      <c r="Z17" s="719"/>
      <c r="AA17" s="406"/>
      <c r="AB17" s="720"/>
      <c r="AC17" s="408"/>
      <c r="AD17" s="409"/>
      <c r="AE17" s="410"/>
      <c r="AF17" s="721"/>
      <c r="AG17" s="412"/>
      <c r="AH17" s="413"/>
      <c r="AI17" s="722"/>
      <c r="AJ17" s="723"/>
      <c r="AK17" s="415"/>
      <c r="AL17" s="416"/>
      <c r="AM17" s="417"/>
      <c r="AN17" s="418"/>
      <c r="AO17" s="419"/>
      <c r="AP17" s="402"/>
      <c r="AQ17" s="420"/>
      <c r="AR17" s="421"/>
      <c r="AS17" s="421"/>
      <c r="AT17" s="422" t="e">
        <v>#N/A</v>
      </c>
      <c r="AU17" s="423" t="e">
        <v>#N/A</v>
      </c>
      <c r="AV17" s="423"/>
      <c r="AW17" s="424"/>
      <c r="AX17" s="425"/>
      <c r="AY17" s="423"/>
      <c r="AZ17" s="426"/>
      <c r="BA17" s="426"/>
      <c r="BB17" s="426"/>
      <c r="BC17" s="426"/>
      <c r="BD17" s="426"/>
      <c r="BE17" s="426"/>
      <c r="BF17" s="427"/>
      <c r="BG17" s="644"/>
      <c r="BH17" s="724"/>
      <c r="BI17" s="645"/>
      <c r="BJ17" s="646" t="s">
        <v>10</v>
      </c>
      <c r="BK17" s="647" t="e">
        <f>IF(#REF!="Cơ sở Học viện Hành chính khu vực miền Trung","B",IF(#REF!="Phân viện Khu vực Tây Nguyên","C",IF(#REF!="Cơ sở Học viện Hành chính tại thành phố Hồ Chí Minh","D","A")))</f>
        <v>#REF!</v>
      </c>
      <c r="BL17" s="646" t="e">
        <f>IF(AND(#REF!&gt;0,#REF!&lt;(#REF!-1),BM17&gt;0,BM17&lt;13,OR(AND(BS17="Cùg Ng",(#REF!-BO17)&gt;#REF!),BS17="- - -")),"Sớm TT","=&gt; s")</f>
        <v>#REF!</v>
      </c>
      <c r="BM17" s="648" t="e">
        <f>IF(#REF!=3,36-(12*(#REF!-#REF!)+(12-#REF!)-#REF!),IF(#REF!=2,24-(12*(#REF!-#REF!)+(12-#REF!)-#REF!),"---"))</f>
        <v>#REF!</v>
      </c>
      <c r="BN17" s="649" t="str">
        <f t="shared" ref="BN17" si="0">IF(BO17&gt;1,"S","---")</f>
        <v>---</v>
      </c>
      <c r="BO17" s="650"/>
      <c r="BP17" s="651"/>
      <c r="BQ17" s="652"/>
      <c r="BR17" s="652"/>
      <c r="BS17" s="650" t="e">
        <f>IF(#REF!=BP17,"Cùg Ng","- - -")</f>
        <v>#REF!</v>
      </c>
      <c r="BT17" s="653" t="str">
        <f t="shared" ref="BT17" si="1">IF(BV17&gt;2000,"NN","- - -")</f>
        <v>NN</v>
      </c>
      <c r="BU17" s="646">
        <v>1</v>
      </c>
      <c r="BV17" s="646">
        <v>2012</v>
      </c>
      <c r="BW17" s="654"/>
      <c r="BX17" s="654"/>
      <c r="BY17" s="654" t="str">
        <f t="shared" ref="BY17" si="2">IF(CA17&gt;2000,"CN","- - -")</f>
        <v>- - -</v>
      </c>
      <c r="BZ17" s="654"/>
      <c r="CA17" s="654"/>
      <c r="CB17" s="654"/>
      <c r="CC17" s="654"/>
      <c r="CD17" s="654" t="e">
        <f>IF(AND(CE17="Hưu",#REF!&lt;(#REF!-1),CL17&gt;0,CL17&lt;18,OR(#REF!&lt;4,AND(#REF!&gt;3,OR(#REF!&lt;3,#REF!&gt;5)))),"Lg Sớm",IF(AND(CE17="Hưu",#REF!&gt;(#REF!-2),OR(#REF!=0.33,#REF!=0.34),OR(#REF!&lt;4,AND(#REF!&gt;3,OR(#REF!&lt;3,#REF!&gt;5)))),"Nâng Ngạch",IF(AND(CE17="Hưu",#REF!=1,CL17&gt;2,CL17&lt;6,OR(#REF!&lt;4,AND(#REF!&gt;3,OR(#REF!&lt;3,#REF!&gt;5)))),"Nâng PcVK cùng QĐ",IF(AND(CE17="Hưu",#REF!&gt;3,#REF!&gt;2,#REF!&lt;6,#REF!&lt;(#REF!-1),CL17&gt;17,OR(#REF!&gt;1,AND(#REF!=1,OR(CL17&lt;3,CL17&gt;5)))),"Nâng PcNG cùng QĐ",IF(AND(CE17="Hưu",#REF!&lt;(#REF!-1),CL17&gt;0,CL17&lt;18,#REF!&gt;3,#REF!&gt;2,#REF!&lt;6),"Nâng Lg Sớm +(PcNG cùng QĐ)",IF(AND(CE17="Hưu",#REF!&gt;(#REF!-2),OR(#REF!=0.33,#REF!=0.34),#REF!&gt;3,#REF!&gt;2,#REF!&lt;6),"Nâng Ngạch +(PcNG cùng QĐ)",IF(AND(CE17="Hưu",#REF!=1,CL17&gt;2,CL17&lt;6,#REF!&gt;3,#REF!&gt;2,#REF!&lt;6),"Nâng (PcVK +PcNG) cùng QĐ",("---"))))))))</f>
        <v>#REF!</v>
      </c>
      <c r="CE17" s="654" t="e">
        <f t="shared" ref="CE17" si="3">IF(AND(CP17&gt;CO17,CP17&lt;(CO17+13)),"Hưu",IF(AND(CP17&gt;(CO17+12),CP17&lt;1000),"Quá","/-/ /-/"))</f>
        <v>#REF!</v>
      </c>
      <c r="CF17" s="654" t="e">
        <f>IF((#REF!+0)&lt;12,(#REF!+0)+1,IF((#REF!+0)=12,1,IF((#REF!+0)&gt;12,(#REF!+0)-12)))</f>
        <v>#REF!</v>
      </c>
      <c r="CG17" s="654" t="e">
        <f>IF(OR((#REF!+0)=12,(#REF!+0)&gt;12),#REF!+CO17/12+1,IF(AND((#REF!+0)&gt;0,(#REF!+0)&lt;12),#REF!+CO17/12,"---"))</f>
        <v>#REF!</v>
      </c>
      <c r="CH17" s="654" t="e">
        <f t="shared" ref="CH17" si="4">IF(AND(CF17&gt;3,CF17&lt;13),CF17-3,IF(CF17&lt;4,CF17-3+12))</f>
        <v>#REF!</v>
      </c>
      <c r="CI17" s="654" t="e">
        <f t="shared" ref="CI17" si="5">IF(CH17&lt;CF17,CG17,IF(CH17&gt;CF17,CG17-1))</f>
        <v>#REF!</v>
      </c>
      <c r="CJ17" s="654" t="e">
        <f t="shared" ref="CJ17" si="6">IF(CF17&gt;6,CF17-6,IF(CF17=6,12,IF(CF17&lt;6,CF17+6)))</f>
        <v>#REF!</v>
      </c>
      <c r="CK17" s="654" t="e">
        <f t="shared" ref="CK17" si="7">IF(CF17&gt;6,CG17,IF(CF17&lt;7,CG17-1))</f>
        <v>#REF!</v>
      </c>
      <c r="CL17" s="654" t="e">
        <f>IF(AND(CE17="Hưu",#REF!=3),36+#REF!-(12*(CK17-#REF!)+(CJ17-#REF!)),IF(AND(CE17="Hưu",#REF!=2),24+#REF!-(12*(CK17-#REF!)+(CJ17-#REF!)),IF(AND(CE17="Hưu",#REF!=1),12+#REF!-(12*(CK17-#REF!)+(CJ17-#REF!)),"- - -")))</f>
        <v>#REF!</v>
      </c>
      <c r="CM17" s="655" t="str">
        <f t="shared" ref="CM17" si="8">IF(CN17&gt;0,"K.Dài",". .")</f>
        <v>. .</v>
      </c>
      <c r="CN17" s="656"/>
      <c r="CO17" s="657" t="e">
        <f>IF(#REF!="Nam",(60+CN17)*12,IF(#REF!="Nữ",(55+CN17)*12,))</f>
        <v>#REF!</v>
      </c>
      <c r="CP17" s="658" t="e">
        <f>12*(#REF!-#REF!)+(12-#REF!)</f>
        <v>#REF!</v>
      </c>
      <c r="CQ17" s="659" t="e">
        <f>#REF!-#REF!</f>
        <v>#REF!</v>
      </c>
      <c r="CR17" s="429" t="e">
        <f>IF(AND(CQ17&lt;35,#REF!="Nam"),"Nam dưới 35",IF(AND(CQ17&lt;30,#REF!="Nữ"),"Nữ dưới 30",IF(AND(CQ17&gt;34,CQ17&lt;46,#REF!="Nam"),"Nam từ 35 - 45",IF(AND(CQ17&gt;29,CQ17&lt;41,#REF!="Nữ"),"Nữ từ 30 - 40",IF(AND(CQ17&gt;45,CQ17&lt;56,#REF!="Nam"),"Nam trên 45 - 55",IF(AND(CQ17&gt;40,CQ17&lt;51,#REF!="Nữ"),"Nữ trên 40 - 50",IF(AND(CQ17&gt;55,#REF!="Nam"),"Nam trên 55","Nữ trên 50")))))))</f>
        <v>#REF!</v>
      </c>
      <c r="CS17" s="428"/>
      <c r="CT17" s="430"/>
      <c r="CU17" s="431" t="e">
        <f t="shared" ref="CU17" si="9">IF(CQ17&lt;31,"Đến 30",IF(AND(CQ17&gt;30,CQ17&lt;46),"31 - 45",IF(AND(CQ17&gt;45,CQ17&lt;70),"Trên 45")))</f>
        <v>#REF!</v>
      </c>
      <c r="CV17" s="432" t="str">
        <f t="shared" ref="CV17" si="10">IF(CW17&gt;0,"TD","--")</f>
        <v>--</v>
      </c>
      <c r="CW17" s="432"/>
      <c r="CX17" s="433"/>
      <c r="CY17" s="434"/>
      <c r="CZ17" s="435"/>
      <c r="DA17" s="436"/>
      <c r="DB17" s="436"/>
      <c r="DG17" s="437" t="s">
        <v>11</v>
      </c>
      <c r="DH17" s="437" t="s">
        <v>12</v>
      </c>
      <c r="DI17" s="437" t="s">
        <v>11</v>
      </c>
      <c r="DJ17" s="437" t="s">
        <v>12</v>
      </c>
      <c r="DK17" s="437">
        <v>2012</v>
      </c>
      <c r="DL17" s="437">
        <f t="shared" ref="DL17" si="11">(DG17+0)-(DN17+0)</f>
        <v>0</v>
      </c>
      <c r="DM17" s="437" t="str">
        <f t="shared" ref="DM17" si="12">IF(DL17&gt;0,"Sửa","- - -")</f>
        <v>- - -</v>
      </c>
      <c r="DN17" s="437" t="s">
        <v>11</v>
      </c>
      <c r="DO17" s="437" t="s">
        <v>12</v>
      </c>
      <c r="DP17" s="437" t="s">
        <v>11</v>
      </c>
      <c r="DQ17" s="437" t="s">
        <v>12</v>
      </c>
      <c r="DR17" s="437">
        <v>2012</v>
      </c>
      <c r="DS17" s="437">
        <v>5.76</v>
      </c>
      <c r="DT17" s="437" t="e">
        <f>IF(AND(#REF!&gt;0.34,#REF!=1,OR(#REF!=6.2,#REF!=5.75)),((#REF!-DS17)-2*0.34),IF(AND(#REF!&gt;0.33,#REF!=1,OR(#REF!=4.4,#REF!=4)),((#REF!-DS17)-2*0.33),"- - -"))</f>
        <v>#REF!</v>
      </c>
      <c r="DU17" s="437" t="e">
        <f>IF(CE17="Hưu",12*(CK17-#REF!)+(CJ17-#REF!),"---")</f>
        <v>#REF!</v>
      </c>
    </row>
    <row r="18" spans="1:126" s="150" customFormat="1" ht="24.75" customHeight="1" x14ac:dyDescent="0.25">
      <c r="A18" s="564">
        <v>193</v>
      </c>
      <c r="B18" s="438" t="s">
        <v>34</v>
      </c>
      <c r="C18" s="439"/>
      <c r="D18" s="440" t="s">
        <v>192</v>
      </c>
      <c r="E18" s="441"/>
      <c r="F18" s="442"/>
      <c r="G18" s="443"/>
      <c r="H18" s="443"/>
      <c r="I18" s="443"/>
      <c r="J18" s="443"/>
      <c r="K18" s="443"/>
      <c r="L18" s="443"/>
      <c r="M18" s="443"/>
      <c r="N18" s="444"/>
      <c r="O18" s="445"/>
      <c r="P18" s="446"/>
      <c r="Q18" s="446"/>
      <c r="R18" s="447"/>
      <c r="S18" s="624"/>
      <c r="T18" s="725"/>
      <c r="U18" s="448"/>
      <c r="V18" s="449"/>
      <c r="W18" s="450"/>
      <c r="X18" s="726"/>
      <c r="Y18" s="452"/>
      <c r="Z18" s="573"/>
      <c r="AA18" s="451"/>
      <c r="AB18" s="626"/>
      <c r="AC18" s="452"/>
      <c r="AD18" s="574"/>
      <c r="AE18" s="453"/>
      <c r="AF18" s="727"/>
      <c r="AG18" s="454"/>
      <c r="AH18" s="455"/>
      <c r="AI18" s="575"/>
      <c r="AJ18" s="728"/>
      <c r="AK18" s="456"/>
      <c r="AL18" s="457"/>
      <c r="AM18" s="458"/>
      <c r="AN18" s="459"/>
      <c r="AO18" s="460"/>
      <c r="AP18" s="450"/>
      <c r="AQ18" s="461"/>
      <c r="AR18" s="462"/>
      <c r="AS18" s="462"/>
      <c r="AT18" s="463"/>
      <c r="AU18" s="464"/>
      <c r="AV18" s="464"/>
      <c r="AW18" s="465"/>
      <c r="AX18" s="466"/>
      <c r="AY18" s="464"/>
      <c r="AZ18" s="467"/>
      <c r="BA18" s="468"/>
      <c r="BB18" s="468"/>
      <c r="BC18" s="468"/>
      <c r="BD18" s="468"/>
      <c r="BE18" s="468"/>
      <c r="BF18" s="468"/>
      <c r="BG18" s="729"/>
      <c r="BH18" s="730"/>
      <c r="BI18" s="629"/>
      <c r="BJ18" s="630" t="s">
        <v>10</v>
      </c>
      <c r="BK18" s="631" t="e">
        <f>IF(#REF!="Cơ sở Học viện Hành chính khu vực miền Trung","B",IF(#REF!="Phân viện Khu vực Tây Nguyên","C",IF(#REF!="Cơ sở Học viện Hành chính tại thành phố Hồ Chí Minh","D","A")))</f>
        <v>#REF!</v>
      </c>
      <c r="BL18" s="630" t="e">
        <f>IF(AND(#REF!&gt;0,#REF!&lt;(#REF!-1),BM18&gt;0,BM18&lt;13,OR(AND(BS18="Cùg Ng",(#REF!-BO18)&gt;#REF!),BS18="- - -")),"Sớm TT","=&gt; s")</f>
        <v>#REF!</v>
      </c>
      <c r="BM18" s="632" t="e">
        <f>IF(#REF!=3,36-(12*(#REF!-#REF!)+(12-#REF!)-#REF!),IF(#REF!=2,24-(12*(#REF!-#REF!)+(12-#REF!)-#REF!),"---"))</f>
        <v>#REF!</v>
      </c>
      <c r="BN18" s="633" t="str">
        <f>IF(BO18&gt;1,"S","---")</f>
        <v>S</v>
      </c>
      <c r="BO18" s="634">
        <v>2012</v>
      </c>
      <c r="BP18" s="635" t="s">
        <v>193</v>
      </c>
      <c r="BQ18" s="636"/>
      <c r="BR18" s="636"/>
      <c r="BS18" s="634" t="e">
        <f>IF(#REF!=BP18,"Cùg Ng","- - -")</f>
        <v>#REF!</v>
      </c>
      <c r="BT18" s="637" t="str">
        <f>IF(BV18&gt;2000,"NN","- - -")</f>
        <v>- - -</v>
      </c>
      <c r="BU18" s="630"/>
      <c r="BV18" s="630"/>
      <c r="BW18" s="638"/>
      <c r="BX18" s="638"/>
      <c r="BY18" s="638" t="str">
        <f>IF(CA18&gt;2000,"CN","- - -")</f>
        <v>- - -</v>
      </c>
      <c r="BZ18" s="638"/>
      <c r="CA18" s="638"/>
      <c r="CB18" s="638"/>
      <c r="CC18" s="638"/>
      <c r="CD18" s="638" t="e">
        <f>IF(AND(CE18="Hưu",#REF!&lt;(#REF!-1),CL18&gt;0,CL18&lt;18,OR(#REF!&lt;4,AND(#REF!&gt;3,OR(#REF!&lt;3,#REF!&gt;5)))),"Lg Sớm",IF(AND(CE18="Hưu",#REF!&gt;(#REF!-2),OR(#REF!=0.33,#REF!=0.34),OR(#REF!&lt;4,AND(#REF!&gt;3,OR(#REF!&lt;3,#REF!&gt;5)))),"Nâng Ngạch",IF(AND(CE18="Hưu",#REF!=1,CL18&gt;2,CL18&lt;6,OR(#REF!&lt;4,AND(#REF!&gt;3,OR(#REF!&lt;3,#REF!&gt;5)))),"Nâng PcVK cùng QĐ",IF(AND(CE18="Hưu",#REF!&gt;3,#REF!&gt;2,#REF!&lt;6,#REF!&lt;(#REF!-1),CL18&gt;17,OR(#REF!&gt;1,AND(#REF!=1,OR(CL18&lt;3,CL18&gt;5)))),"Nâng PcNG cùng QĐ",IF(AND(CE18="Hưu",#REF!&lt;(#REF!-1),CL18&gt;0,CL18&lt;18,#REF!&gt;3,#REF!&gt;2,#REF!&lt;6),"Nâng Lg Sớm +(PcNG cùng QĐ)",IF(AND(CE18="Hưu",#REF!&gt;(#REF!-2),OR(#REF!=0.33,#REF!=0.34),#REF!&gt;3,#REF!&gt;2,#REF!&lt;6),"Nâng Ngạch +(PcNG cùng QĐ)",IF(AND(CE18="Hưu",#REF!=1,CL18&gt;2,CL18&lt;6,#REF!&gt;3,#REF!&gt;2,#REF!&lt;6),"Nâng (PcVK +PcNG) cùng QĐ",("---"))))))))</f>
        <v>#REF!</v>
      </c>
      <c r="CE18" s="638" t="e">
        <f>IF(AND(CP18&gt;CO18,CP18&lt;(CO18+13)),"Hưu",IF(AND(CP18&gt;(CO18+12),CP18&lt;1000),"Quá","/-/ /-/"))</f>
        <v>#REF!</v>
      </c>
      <c r="CF18" s="638" t="e">
        <f>IF((#REF!+0)&lt;12,(#REF!+0)+1,IF((#REF!+0)=12,1,IF((#REF!+0)&gt;12,(#REF!+0)-12)))</f>
        <v>#REF!</v>
      </c>
      <c r="CG18" s="638" t="e">
        <f>IF(OR((#REF!+0)=12,(#REF!+0)&gt;12),#REF!+CO18/12+1,IF(AND((#REF!+0)&gt;0,(#REF!+0)&lt;12),#REF!+CO18/12,"---"))</f>
        <v>#REF!</v>
      </c>
      <c r="CH18" s="638" t="e">
        <f>IF(AND(CF18&gt;3,CF18&lt;13),CF18-3,IF(CF18&lt;4,CF18-3+12))</f>
        <v>#REF!</v>
      </c>
      <c r="CI18" s="638" t="e">
        <f>IF(CH18&lt;CF18,CG18,IF(CH18&gt;CF18,CG18-1))</f>
        <v>#REF!</v>
      </c>
      <c r="CJ18" s="638" t="e">
        <f>IF(CF18&gt;6,CF18-6,IF(CF18=6,12,IF(CF18&lt;6,CF18+6)))</f>
        <v>#REF!</v>
      </c>
      <c r="CK18" s="638" t="e">
        <f>IF(CF18&gt;6,CG18,IF(CF18&lt;7,CG18-1))</f>
        <v>#REF!</v>
      </c>
      <c r="CL18" s="638" t="e">
        <f>IF(AND(CE18="Hưu",#REF!=3),36+#REF!-(12*(CK18-#REF!)+(CJ18-#REF!)),IF(AND(CE18="Hưu",#REF!=2),24+#REF!-(12*(CK18-#REF!)+(CJ18-#REF!)),IF(AND(CE18="Hưu",#REF!=1),12+#REF!-(12*(CK18-#REF!)+(CJ18-#REF!)),"- - -")))</f>
        <v>#REF!</v>
      </c>
      <c r="CM18" s="639" t="str">
        <f>IF(CN18&gt;0,"K.Dài",". .")</f>
        <v>. .</v>
      </c>
      <c r="CN18" s="640"/>
      <c r="CO18" s="641" t="e">
        <f>IF(#REF!="Nam",(60+CN18)*12,IF(#REF!="Nữ",(55+CN18)*12,))</f>
        <v>#REF!</v>
      </c>
      <c r="CP18" s="642" t="e">
        <f>12*(#REF!-#REF!)+(12-#REF!)</f>
        <v>#REF!</v>
      </c>
      <c r="CQ18" s="577" t="e">
        <f>#REF!-#REF!</f>
        <v>#REF!</v>
      </c>
      <c r="CR18" s="470" t="e">
        <f>IF(AND(CQ18&lt;35,#REF!="Nam"),"Nam dưới 35",IF(AND(CQ18&lt;30,#REF!="Nữ"),"Nữ dưới 30",IF(AND(CQ18&gt;34,CQ18&lt;46,#REF!="Nam"),"Nam từ 35 - 45",IF(AND(CQ18&gt;29,CQ18&lt;41,#REF!="Nữ"),"Nữ từ 30 - 40",IF(AND(CQ18&gt;45,CQ18&lt;56,#REF!="Nam"),"Nam trên 45 - 55",IF(AND(CQ18&gt;40,CQ18&lt;51,#REF!="Nữ"),"Nữ trên 40 - 50",IF(AND(CQ18&gt;55,#REF!="Nam"),"Nam trên 55","Nữ trên 50")))))))</f>
        <v>#REF!</v>
      </c>
      <c r="CS18" s="469"/>
      <c r="CT18" s="471"/>
      <c r="CU18" s="472" t="e">
        <f>IF(CQ18&lt;31,"Đến 30",IF(AND(CQ18&gt;30,CQ18&lt;46),"31 - 45",IF(AND(CQ18&gt;45,CQ18&lt;70),"Trên 45")))</f>
        <v>#REF!</v>
      </c>
      <c r="CV18" s="203" t="str">
        <f>IF(CW18&gt;0,"TD","--")</f>
        <v>TD</v>
      </c>
      <c r="CW18" s="203">
        <v>2012</v>
      </c>
      <c r="CX18" s="156"/>
      <c r="CY18" s="204"/>
      <c r="CZ18" s="205"/>
      <c r="DA18" s="159"/>
      <c r="DB18" s="159"/>
      <c r="DF18" s="150" t="s">
        <v>124</v>
      </c>
      <c r="DG18" s="150" t="s">
        <v>11</v>
      </c>
      <c r="DH18" s="150" t="s">
        <v>12</v>
      </c>
      <c r="DI18" s="150" t="s">
        <v>11</v>
      </c>
      <c r="DJ18" s="150" t="s">
        <v>12</v>
      </c>
      <c r="DK18" s="150">
        <v>2012</v>
      </c>
      <c r="DL18" s="150">
        <f>(DG18+0)-(DN18+0)</f>
        <v>0</v>
      </c>
      <c r="DM18" s="150" t="str">
        <f>IF(DL18&gt;0,"Sửa","- - -")</f>
        <v>- - -</v>
      </c>
      <c r="DN18" s="150" t="s">
        <v>11</v>
      </c>
      <c r="DO18" s="150" t="s">
        <v>12</v>
      </c>
      <c r="DP18" s="150" t="s">
        <v>11</v>
      </c>
      <c r="DQ18" s="150" t="s">
        <v>12</v>
      </c>
      <c r="DR18" s="150">
        <v>2012</v>
      </c>
      <c r="DT18" s="150" t="e">
        <f>IF(AND(#REF!&gt;0.34,#REF!=1,OR(#REF!=6.2,#REF!=5.75)),((#REF!-DS18)-2*0.34),IF(AND(#REF!&gt;0.33,#REF!=1,OR(#REF!=4.4,#REF!=4)),((#REF!-DS18)-2*0.33),"- - -"))</f>
        <v>#REF!</v>
      </c>
      <c r="DU18" s="150" t="e">
        <f>IF(CE18="Hưu",12*(CK18-#REF!)+(CJ18-#REF!),"---")</f>
        <v>#REF!</v>
      </c>
    </row>
    <row r="19" spans="1:126" s="378" customFormat="1" ht="34.5" customHeight="1" x14ac:dyDescent="0.25">
      <c r="A19" s="386">
        <v>98</v>
      </c>
      <c r="B19" s="578">
        <v>1</v>
      </c>
      <c r="C19" s="359" t="str">
        <f t="shared" ref="C19" si="13">IF(E19="Nam","Ông","Bà")</f>
        <v>Ông</v>
      </c>
      <c r="D19" s="579" t="s">
        <v>238</v>
      </c>
      <c r="E19" s="578" t="s">
        <v>43</v>
      </c>
      <c r="F19" s="580" t="s">
        <v>47</v>
      </c>
      <c r="G19" s="581" t="s">
        <v>12</v>
      </c>
      <c r="H19" s="581" t="s">
        <v>64</v>
      </c>
      <c r="I19" s="581" t="s">
        <v>12</v>
      </c>
      <c r="J19" s="582">
        <v>1980</v>
      </c>
      <c r="K19" s="583"/>
      <c r="L19" s="583"/>
      <c r="M19" s="583" t="e">
        <f>VLOOKUP(L19,'[1]- DLiêu Gốc -'!$B$2:$G$121,2,0)</f>
        <v>#N/A</v>
      </c>
      <c r="N19" s="584"/>
      <c r="O19" s="585" t="s">
        <v>48</v>
      </c>
      <c r="P19" s="586" t="str">
        <f>VLOOKUP(U19,'[1]- DLiêu Gốc -'!$B$2:$G$56,5,0)</f>
        <v>A1</v>
      </c>
      <c r="Q19" s="586" t="str">
        <f>VLOOKUP(U19,'[1]- DLiêu Gốc -'!$B$2:$G$56,6,0)</f>
        <v>- - -</v>
      </c>
      <c r="R19" s="587" t="s">
        <v>37</v>
      </c>
      <c r="S19" s="588" t="str">
        <f t="shared" ref="S19" si="14">IF(OR(U19="Kỹ thuật viên đánh máy",U19="Nhân viên đánh máy",U19="Nhân viên kỹ thuật",U19="Nhân viên văn thư",U19="Nhân viên phục vụ",U19="Lái xe cơ quan",U19="Nhân viên bảo vệ"),"Nhân viên",U19)</f>
        <v>Giảng viên (hạng III)</v>
      </c>
      <c r="T19" s="589" t="str">
        <f t="shared" ref="T19" si="15">IF(S19="Nhân viên","01.005",V19)</f>
        <v>V.07.01.03</v>
      </c>
      <c r="U19" s="590" t="s">
        <v>38</v>
      </c>
      <c r="V19" s="589" t="str">
        <f>VLOOKUP(U19,'[1]- DLiêu Gốc -'!$B$1:$G$121,2,0)</f>
        <v>V.07.01.03</v>
      </c>
      <c r="W19" s="591" t="str">
        <f t="shared" ref="W19" si="16">IF(OR(AND(AN19=36,AM19=3),AND(AN19=24,AM19=2),AND(AN19=12,AM19=1)),"Đến $",IF(AND(AN19&lt;12*10,OR(AND(AN19&gt;36,AM19=3),AND(AN19&gt;24,AN19&lt;120,AM19=2),AND(AN19&gt;12,AM19=1))),"Dừng $","Lương"))</f>
        <v>Lương</v>
      </c>
      <c r="X19" s="592">
        <v>2</v>
      </c>
      <c r="Y19" s="593" t="str">
        <f t="shared" ref="Y19" si="17">IF(Z19&gt;0,"/")</f>
        <v>/</v>
      </c>
      <c r="Z19" s="594">
        <f t="shared" ref="Z19" si="18">IF(OR(AR19=0.18,AR19=0.2),12,IF(AR19=0.31,10,IF(AR19=0.33,9,IF(AR19=0.34,8,IF(AR19=0.36,6)))))</f>
        <v>9</v>
      </c>
      <c r="AA19" s="595">
        <f t="shared" ref="AA19" si="19">AQ19+(X19-1)*AR19</f>
        <v>2.67</v>
      </c>
      <c r="AB19" s="596">
        <f t="shared" ref="AB19" si="20">X19+1</f>
        <v>3</v>
      </c>
      <c r="AC19" s="583" t="str">
        <f t="shared" ref="AC19" si="21">IF(Z19=X19,"%",IF(Z19&gt;X19,"/"))</f>
        <v>/</v>
      </c>
      <c r="AD19" s="594">
        <f t="shared" ref="AD19" si="22">IF(AND(Z19=X19,AB19=4),5,IF(AND(Z19=X19,AB19&gt;4),AB19+1,IF(Z19&gt;X19,Z19)))</f>
        <v>9</v>
      </c>
      <c r="AE19" s="597">
        <f t="shared" ref="AE19" si="23">IF(Z19=X19,"%",IF(Z19&gt;X19,AA19+AR19))</f>
        <v>3</v>
      </c>
      <c r="AF19" s="598" t="s">
        <v>11</v>
      </c>
      <c r="AG19" s="599" t="s">
        <v>12</v>
      </c>
      <c r="AH19" s="600" t="s">
        <v>133</v>
      </c>
      <c r="AI19" s="601" t="s">
        <v>12</v>
      </c>
      <c r="AJ19" s="602">
        <v>2013</v>
      </c>
      <c r="AK19" s="603" t="s">
        <v>239</v>
      </c>
      <c r="AL19" s="604"/>
      <c r="AM19" s="605">
        <f t="shared" ref="AM19" si="24">IF(AND(Z19&gt;X19,OR(AR19=0.18,AR19=0.2)),2,IF(AND(Z19&gt;X19,OR(AR19=0.31,AR19=0.33,AR19=0.34,AR19=0.36)),3,IF(Z19=X19,1)))</f>
        <v>3</v>
      </c>
      <c r="AN19" s="605">
        <f t="shared" ref="AN19" si="25">12*($W$2-AJ19)+($W$4-AH19)-AO19</f>
        <v>-24159</v>
      </c>
      <c r="AO19" s="606"/>
      <c r="AP19" s="607"/>
      <c r="AQ19" s="608">
        <f>VLOOKUP(U19,'[1]- DLiêu Gốc -'!$B$1:$E$56,3,0)</f>
        <v>2.34</v>
      </c>
      <c r="AR19" s="609">
        <f>VLOOKUP(U19,'[1]- DLiêu Gốc -'!$B$1:$E$56,4,0)</f>
        <v>0.33</v>
      </c>
      <c r="AS19" s="610"/>
      <c r="AT19" s="611" t="str">
        <f t="shared" ref="AT19" si="26">IF(AND(AU19&gt;3,BF19=12),"Đến %",IF(AND(AU19&gt;3,BF19&gt;12,BF19&lt;120),"Dừng %",IF(AND(AU19&gt;3,BF19&lt;12),"PCTN","o-o-o")))</f>
        <v>o-o-o</v>
      </c>
      <c r="AU19" s="612"/>
      <c r="AV19" s="612"/>
      <c r="AW19" s="609">
        <f t="shared" ref="AW19" si="27">IF(AU19&gt;3,AU19+1,0)</f>
        <v>0</v>
      </c>
      <c r="AX19" s="613"/>
      <c r="AY19" s="614"/>
      <c r="AZ19" s="615"/>
      <c r="BA19" s="615"/>
      <c r="BB19" s="615"/>
      <c r="BC19" s="615"/>
      <c r="BD19" s="615"/>
      <c r="BE19" s="615"/>
      <c r="BF19" s="616" t="str">
        <f t="shared" ref="BF19" si="28">IF(AU19&gt;3,(($AT$2-BA19)*12+($AT$4-AY19)-BC19),"- - -")</f>
        <v>- - -</v>
      </c>
      <c r="BG19" s="617" t="str">
        <f t="shared" ref="BG19" si="29">IF(AND(CF19="Hưu",AU19&gt;3),12-(12*(CL19-BA19)+(CK19-AY19))-BC19,"- - -")</f>
        <v>- - -</v>
      </c>
      <c r="BH19" s="618" t="str">
        <f t="shared" ref="BH19" si="30">IF(BK19="công chức, viên chức","CC,VC",IF(BK19="người lao động","NLĐ","- - -"))</f>
        <v>NLĐ</v>
      </c>
      <c r="BI19" s="282"/>
      <c r="BJ19" s="269"/>
      <c r="BK19" s="270" t="s">
        <v>53</v>
      </c>
      <c r="BL19" s="271" t="str">
        <f t="shared" ref="BL19" si="31">IF(O19="Cơ sở Học viện Hành chính khu vực miền Trung","B",IF(O19="Phân viện Khu vực Tây Nguyên","C",IF(O19="Cơ sở Học viện Hành chính tại thành phố Hồ Chí Minh","D","A")))</f>
        <v>A</v>
      </c>
      <c r="BM19" s="270" t="str">
        <f t="shared" ref="BM19" si="32">IF(AND(AB19&gt;0,X19&lt;(Z19-1),BN19&gt;0,BN19&lt;13,OR(AND(BT19="Cùg Ng",($BM$2-BP19)&gt;AM19),BT19="- - -")),"Sớm TT","=&gt; s")</f>
        <v>=&gt; s</v>
      </c>
      <c r="BN19" s="272">
        <f t="shared" ref="BN19" si="33">IF(AM19=3,36-(12*($BM$2-AJ19)+(12-AH19)-AO19),IF(AM19=2,24-(12*($BM$2-AJ19)+(12-AH19)-AO19),"---"))</f>
        <v>24183</v>
      </c>
      <c r="BO19" s="273" t="str">
        <f t="shared" ref="BO19" si="34">IF(BP19&gt;1,"S","---")</f>
        <v>---</v>
      </c>
      <c r="BP19" s="274"/>
      <c r="BQ19" s="275"/>
      <c r="BR19" s="275"/>
      <c r="BS19" s="275"/>
      <c r="BT19" s="274" t="str">
        <f t="shared" ref="BT19" si="35">IF(T19=BQ19,"Cùg Ng","- - -")</f>
        <v>- - -</v>
      </c>
      <c r="BU19" s="273" t="str">
        <f t="shared" ref="BU19" si="36">IF(BW19&gt;2000,"NN","- - -")</f>
        <v>- - -</v>
      </c>
      <c r="BV19" s="270"/>
      <c r="BW19" s="270"/>
      <c r="BX19" s="276"/>
      <c r="BY19" s="276"/>
      <c r="BZ19" s="276" t="str">
        <f t="shared" ref="BZ19" si="37">IF(CB19&gt;2000,"CN","- - -")</f>
        <v>- - -</v>
      </c>
      <c r="CA19" s="276"/>
      <c r="CB19" s="276"/>
      <c r="CC19" s="276"/>
      <c r="CE19" s="378" t="str">
        <f t="shared" ref="CE19" si="38">IF(AND(CF19="Hưu",X19&lt;(Z19-1),CM19&gt;0,CM19&lt;18,OR(AU19&lt;4,AND(AU19&gt;3,OR(BG19&lt;3,BG19&gt;5)))),"Lg Sớm",IF(AND(CF19="Hưu",X19&gt;(Z19-2),OR(AR19=0.33,AR19=0.34),OR(AU19&lt;4,AND(AU19&gt;3,OR(BG19&lt;3,BG19&gt;5)))),"Nâng Ngạch",IF(AND(CF19="Hưu",AM19=1,CM19&gt;2,CM19&lt;6,OR(AU19&lt;4,AND(AU19&gt;3,OR(BG19&lt;3,BG19&gt;5)))),"Nâng PcVK cùng QĐ",IF(AND(CF19="Hưu",AU19&gt;3,BG19&gt;2,BG19&lt;6,X19&lt;(Z19-1),CM19&gt;17,OR(AM19&gt;1,AND(AM19=1,OR(CM19&lt;3,CM19&gt;5)))),"Nâng PcNG cùng QĐ",IF(AND(CF19="Hưu",X19&lt;(Z19-1),CM19&gt;0,CM19&lt;18,AU19&gt;3,BG19&gt;2,BG19&lt;6),"Nâng Lg Sớm +(PcNG cùng QĐ)",IF(AND(CF19="Hưu",X19&gt;(Z19-2),OR(AR19=0.33,AR19=0.34),AU19&gt;3,BG19&gt;2,BG19&lt;6),"Nâng Ngạch +(PcNG cùng QĐ)",IF(AND(CF19="Hưu",AM19=1,CM19&gt;2,CM19&lt;6,AU19&gt;3,BG19&gt;2,BG19&lt;6),"Nâng (PcVK +PcNG) cùng QĐ",("---"))))))))</f>
        <v>---</v>
      </c>
      <c r="CF19" s="378" t="str">
        <f t="shared" ref="CF19" si="39">IF(AND(CQ19&gt;CP19,CQ19&lt;(CP19+13)),"Hưu",IF(AND(CQ19&gt;(CP19+12),CQ19&lt;1000),"Quá","/-/ /-/"))</f>
        <v>/-/ /-/</v>
      </c>
      <c r="CG19" s="378">
        <f t="shared" ref="CG19" si="40">IF((H19+0)&lt;12,(H19+0)+1,IF((H19+0)=12,1,IF((H19+0)&gt;12,(H19+0)-12)))</f>
        <v>7</v>
      </c>
      <c r="CH19" s="378">
        <f t="shared" ref="CH19" si="41">IF(OR((H19+0)=12,(H19+0)&gt;12),J19+CP19/12+1,IF(AND((H19+0)&gt;0,(H19+0)&lt;12),J19+CP19/12,"---"))</f>
        <v>2040</v>
      </c>
      <c r="CI19" s="378">
        <f t="shared" ref="CI19" si="42">IF(AND(CG19&gt;3,CG19&lt;13),CG19-3,IF(CG19&lt;4,CG19-3+12))</f>
        <v>4</v>
      </c>
      <c r="CJ19" s="378">
        <f t="shared" ref="CJ19" si="43">IF(CI19&lt;CG19,CH19,IF(CI19&gt;CG19,CH19-1))</f>
        <v>2040</v>
      </c>
      <c r="CK19" s="378">
        <f t="shared" ref="CK19" si="44">IF(CG19&gt;6,CG19-6,IF(CG19=6,12,IF(CG19&lt;6,CG19+6)))</f>
        <v>1</v>
      </c>
      <c r="CL19" s="378">
        <f t="shared" ref="CL19" si="45">IF(CG19&gt;6,CH19,IF(CG19&lt;7,CH19-1))</f>
        <v>2040</v>
      </c>
      <c r="CM19" s="378" t="str">
        <f t="shared" ref="CM19" si="46">IF(AND(CF19="Hưu",AM19=3),36+AO19-(12*(CL19-AJ19)+(CK19-AH19)),IF(AND(CF19="Hưu",AM19=2),24+AO19-(12*(CL19-AJ19)+(CK19-AH19)),IF(AND(CF19="Hưu",AM19=1),12+AO19-(12*(CL19-AJ19)+(CK19-AH19)),"- - -")))</f>
        <v>- - -</v>
      </c>
      <c r="CN19" s="619" t="str">
        <f t="shared" ref="CN19" si="47">IF(CO19&gt;0,"K.Dài",". .")</f>
        <v>. .</v>
      </c>
      <c r="CO19" s="620"/>
      <c r="CP19" s="497">
        <f t="shared" ref="CP19" si="48">IF(E19="Nam",(60+CO19)*12,IF(E19="Nữ",(55+CO19)*12,))</f>
        <v>720</v>
      </c>
      <c r="CQ19" s="379">
        <f t="shared" ref="CQ19" si="49">12*($CF$4-J19)+(12-H19)</f>
        <v>-23754</v>
      </c>
      <c r="CR19" s="498">
        <f t="shared" ref="CR19" si="50">$CV$4-J19</f>
        <v>-1980</v>
      </c>
      <c r="CS19" s="371" t="str">
        <f t="shared" ref="CS19" si="51">IF(AND(CR19&lt;35,E19="Nam"),"Nam dưới 35",IF(AND(CR19&lt;30,E19="Nữ"),"Nữ dưới 30",IF(AND(CR19&gt;34,CR19&lt;46,E19="Nam"),"Nam từ 35 - 45",IF(AND(CR19&gt;29,CR19&lt;41,E19="Nữ"),"Nữ từ 30 - 40",IF(AND(CR19&gt;45,CR19&lt;56,E19="Nam"),"Nam trên 45 - 55",IF(AND(CR19&gt;40,CR19&lt;51,E19="Nữ"),"Nữ trên 40 - 50",IF(AND(CR19&gt;55,E19="Nam"),"Nam trên 55","Nữ trên 50")))))))</f>
        <v>Nam dưới 35</v>
      </c>
      <c r="CT19" s="369"/>
      <c r="CU19" s="499"/>
      <c r="CV19" s="500" t="str">
        <f t="shared" ref="CV19" si="52">IF(CR19&lt;31,"Đến 30",IF(AND(CR19&gt;30,CR19&lt;46),"31 - 45",IF(AND(CR19&gt;45,CR19&lt;70),"Trên 45")))</f>
        <v>Đến 30</v>
      </c>
      <c r="CW19" s="368" t="str">
        <f t="shared" ref="CW19" si="53">IF(CX19&gt;0,"TD","--")</f>
        <v>--</v>
      </c>
      <c r="CX19" s="368"/>
      <c r="CY19" s="369"/>
      <c r="CZ19" s="505"/>
      <c r="DA19" s="381"/>
      <c r="DB19" s="370"/>
      <c r="DC19" s="370"/>
      <c r="DH19" s="378" t="s">
        <v>11</v>
      </c>
      <c r="DI19" s="378" t="s">
        <v>12</v>
      </c>
      <c r="DJ19" s="378" t="s">
        <v>133</v>
      </c>
      <c r="DK19" s="378" t="s">
        <v>12</v>
      </c>
      <c r="DL19" s="378">
        <v>2010</v>
      </c>
      <c r="DM19" s="378">
        <f t="shared" ref="DM19" si="54">(DH19+0)-(DO19+0)</f>
        <v>0</v>
      </c>
      <c r="DN19" s="378" t="str">
        <f t="shared" ref="DN19" si="55">IF(DM19&gt;0,"Sửa","- - -")</f>
        <v>- - -</v>
      </c>
      <c r="DO19" s="378" t="s">
        <v>11</v>
      </c>
      <c r="DP19" s="378" t="s">
        <v>12</v>
      </c>
      <c r="DQ19" s="378" t="s">
        <v>133</v>
      </c>
      <c r="DR19" s="378" t="s">
        <v>12</v>
      </c>
      <c r="DS19" s="378">
        <v>2010</v>
      </c>
      <c r="DU19" s="378" t="str">
        <f t="shared" ref="DU19" si="56">IF(AND(AR19&gt;0.34,AB19=1,OR(AQ19=6.2,AQ19=5.75)),((AQ19-DT19)-2*0.34),IF(AND(AR19&gt;0.33,AB19=1,OR(AQ19=4.4,AQ19=4)),((AQ19-DT19)-2*0.33),"- - -"))</f>
        <v>- - -</v>
      </c>
      <c r="DV19" s="378" t="str">
        <f t="shared" ref="DV19" si="57">IF(CF19="Hưu",12*(CL19-AJ19)+(CK19-AH19),"---")</f>
        <v>---</v>
      </c>
    </row>
    <row r="20" spans="1:126" s="378" customFormat="1" ht="36" customHeight="1" x14ac:dyDescent="0.25">
      <c r="A20" s="386"/>
      <c r="B20" s="621"/>
      <c r="C20" s="359"/>
      <c r="D20" s="754" t="s">
        <v>240</v>
      </c>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16"/>
      <c r="AL20" s="716"/>
      <c r="AM20" s="716"/>
      <c r="AN20" s="716"/>
      <c r="AO20" s="716"/>
      <c r="AP20" s="716"/>
      <c r="AQ20" s="716"/>
      <c r="AR20" s="716"/>
      <c r="AS20" s="716"/>
      <c r="AT20" s="716"/>
      <c r="AU20" s="716"/>
      <c r="AV20" s="716"/>
      <c r="AW20" s="716"/>
      <c r="AX20" s="716"/>
      <c r="AY20" s="716"/>
      <c r="AZ20" s="716"/>
      <c r="BA20" s="716"/>
      <c r="BB20" s="716"/>
      <c r="BC20" s="716"/>
      <c r="BD20" s="716"/>
      <c r="BE20" s="716"/>
      <c r="BF20" s="716"/>
      <c r="BG20" s="716"/>
      <c r="BH20" s="731"/>
      <c r="BI20" s="282"/>
      <c r="BJ20" s="269"/>
      <c r="BK20" s="270"/>
      <c r="BL20" s="271"/>
      <c r="BM20" s="270"/>
      <c r="BN20" s="272"/>
      <c r="BO20" s="273"/>
      <c r="BP20" s="274"/>
      <c r="BQ20" s="275"/>
      <c r="BR20" s="275"/>
      <c r="BS20" s="275"/>
      <c r="BT20" s="274"/>
      <c r="BU20" s="273"/>
      <c r="BV20" s="270"/>
      <c r="BW20" s="270"/>
      <c r="BX20" s="276"/>
      <c r="BY20" s="276"/>
      <c r="BZ20" s="276"/>
      <c r="CA20" s="276"/>
      <c r="CB20" s="276"/>
      <c r="CC20" s="276"/>
      <c r="CN20" s="619"/>
      <c r="CO20" s="620"/>
      <c r="CP20" s="497"/>
      <c r="CQ20" s="379"/>
      <c r="CR20" s="498"/>
      <c r="CS20" s="371"/>
      <c r="CT20" s="369"/>
      <c r="CU20" s="499"/>
      <c r="CV20" s="500"/>
      <c r="CW20" s="368"/>
      <c r="CX20" s="368"/>
      <c r="CY20" s="369"/>
      <c r="CZ20" s="505"/>
      <c r="DA20" s="381"/>
      <c r="DB20" s="370"/>
      <c r="DC20" s="370"/>
    </row>
    <row r="21" spans="1:126" s="378" customFormat="1" ht="34.5" customHeight="1" x14ac:dyDescent="0.25">
      <c r="A21" s="386">
        <v>263</v>
      </c>
      <c r="B21" s="359">
        <v>2</v>
      </c>
      <c r="C21" s="359" t="str">
        <f>IF(E21="Nam","Ông","Bà")</f>
        <v>Bà</v>
      </c>
      <c r="D21" s="473" t="s">
        <v>159</v>
      </c>
      <c r="E21" s="359" t="s">
        <v>35</v>
      </c>
      <c r="F21" s="474" t="s">
        <v>160</v>
      </c>
      <c r="G21" s="475" t="s">
        <v>12</v>
      </c>
      <c r="H21" s="475" t="s">
        <v>118</v>
      </c>
      <c r="I21" s="475" t="s">
        <v>12</v>
      </c>
      <c r="J21" s="476">
        <v>1981</v>
      </c>
      <c r="K21" s="477"/>
      <c r="L21" s="477"/>
      <c r="M21" s="477" t="e">
        <f>VLOOKUP(L21,'[1]- DLiêu Gốc -'!$B$2:$G$121,2,0)</f>
        <v>#N/A</v>
      </c>
      <c r="N21" s="478" t="s">
        <v>161</v>
      </c>
      <c r="O21" s="479" t="s">
        <v>132</v>
      </c>
      <c r="P21" s="480" t="str">
        <f>VLOOKUP(U21,'[1]- DLiêu Gốc -'!$B$2:$G$56,5,0)</f>
        <v>A1</v>
      </c>
      <c r="Q21" s="480" t="str">
        <f>VLOOKUP(U21,'[1]- DLiêu Gốc -'!$B$2:$G$56,6,0)</f>
        <v>- - -</v>
      </c>
      <c r="R21" s="481" t="s">
        <v>37</v>
      </c>
      <c r="S21" s="482" t="str">
        <f>IF(OR(U21="Kỹ thuật viên đánh máy",U21="Nhân viên đánh máy",U21="Nhân viên kỹ thuật",U21="Nhân viên văn thư",U21="Nhân viên phục vụ",U21="Lái xe cơ quan",U21="Nhân viên bảo vệ"),"Nhân viên",U21)</f>
        <v>Giảng viên (hạng III)</v>
      </c>
      <c r="T21" s="483" t="str">
        <f>IF(S21="Nhân viên","01.005",V21)</f>
        <v>V.07.01.03</v>
      </c>
      <c r="U21" s="484" t="s">
        <v>38</v>
      </c>
      <c r="V21" s="483" t="str">
        <f>VLOOKUP(U21,'[1]- DLiêu Gốc -'!$B$1:$G$121,2,0)</f>
        <v>V.07.01.03</v>
      </c>
      <c r="W21" s="485" t="str">
        <f>IF(OR(AND(AN21=36,AM21=3),AND(AN21=24,AM21=2),AND(AN21=12,AM21=1)),"Đến $",IF(AND(AN21&lt;12*10,OR(AND(AN21&gt;36,AM21=3),AND(AN21&gt;24,AN21&lt;120,AM21=2),AND(AN21&gt;12,AM21=1))),"Dừng $","Lương"))</f>
        <v>Lương</v>
      </c>
      <c r="X21" s="486">
        <v>3</v>
      </c>
      <c r="Y21" s="487" t="str">
        <f>IF(Z21&gt;0,"/")</f>
        <v>/</v>
      </c>
      <c r="Z21" s="488">
        <f>IF(OR(AR21=0.18,AR21=0.2),12,IF(AR21=0.31,10,IF(AR21=0.33,9,IF(AR21=0.34,8,IF(AR21=0.36,6)))))</f>
        <v>9</v>
      </c>
      <c r="AA21" s="365">
        <f>AQ21+(X21-1)*AR21</f>
        <v>3</v>
      </c>
      <c r="AB21" s="489">
        <f>X21+1</f>
        <v>4</v>
      </c>
      <c r="AC21" s="477" t="str">
        <f>IF(Z21=X21,"%",IF(Z21&gt;X21,"/"))</f>
        <v>/</v>
      </c>
      <c r="AD21" s="488">
        <f>IF(AND(Z21=X21,AB21=4),5,IF(AND(Z21=X21,AB21&gt;4),AB21+1,IF(Z21&gt;X21,Z21)))</f>
        <v>9</v>
      </c>
      <c r="AE21" s="490">
        <f>IF(Z21=X21,"%",IF(Z21&gt;X21,AA21+AR21))</f>
        <v>3.33</v>
      </c>
      <c r="AF21" s="491" t="s">
        <v>11</v>
      </c>
      <c r="AG21" s="492" t="s">
        <v>12</v>
      </c>
      <c r="AH21" s="376" t="s">
        <v>133</v>
      </c>
      <c r="AI21" s="493" t="s">
        <v>12</v>
      </c>
      <c r="AJ21" s="494">
        <v>2015</v>
      </c>
      <c r="AK21" s="495" t="s">
        <v>162</v>
      </c>
      <c r="AL21" s="496"/>
      <c r="AM21" s="497">
        <f>IF(AND(Z21&gt;X21,OR(AR21=0.18,AR21=0.2)),2,IF(AND(Z21&gt;X21,OR(AR21=0.31,AR21=0.33,AR21=0.34,AR21=0.36)),3,IF(Z21=X21,1)))</f>
        <v>3</v>
      </c>
      <c r="AN21" s="497">
        <f>12*($W$2-AJ21)+($W$4-AH21)-AO21</f>
        <v>-24183</v>
      </c>
      <c r="AO21" s="358"/>
      <c r="AP21" s="498"/>
      <c r="AQ21" s="371">
        <f>VLOOKUP(U21,'[1]- DLiêu Gốc -'!$B$1:$E$56,3,0)</f>
        <v>2.34</v>
      </c>
      <c r="AR21" s="369">
        <f>VLOOKUP(U21,'[1]- DLiêu Gốc -'!$B$1:$E$56,4,0)</f>
        <v>0.33</v>
      </c>
      <c r="AS21" s="499"/>
      <c r="AT21" s="500" t="str">
        <f>IF(AND(AU21&gt;3,BF21=12),"Đến %",IF(AND(AU21&gt;3,BF21&gt;12,BF21&lt;120),"Dừng %",IF(AND(AU21&gt;3,BF21&lt;12),"PCTN","o-o-o")))</f>
        <v>PCTN</v>
      </c>
      <c r="AU21" s="368">
        <v>6</v>
      </c>
      <c r="AV21" s="368" t="s">
        <v>41</v>
      </c>
      <c r="AW21" s="369">
        <f>IF(AU21&gt;3,AU21+1,0)</f>
        <v>7</v>
      </c>
      <c r="AX21" s="501" t="s">
        <v>41</v>
      </c>
      <c r="AY21" s="502">
        <v>3</v>
      </c>
      <c r="AZ21" s="370" t="s">
        <v>12</v>
      </c>
      <c r="BA21" s="370">
        <v>2014</v>
      </c>
      <c r="BB21" s="370"/>
      <c r="BC21" s="370"/>
      <c r="BD21" s="370"/>
      <c r="BE21" s="370">
        <v>3</v>
      </c>
      <c r="BF21" s="380">
        <f>IF(AU21&gt;3,(($AT$2-BA21)*12+($AT$4-AY21)-BC21),"- - -")</f>
        <v>-24171</v>
      </c>
      <c r="BG21" s="503" t="str">
        <f>IF(AND(CF21="Hưu",AU21&gt;3),12-(12*(CL21-BA21)+(CK21-AY21))-BC21,"- - -")</f>
        <v>- - -</v>
      </c>
      <c r="BH21" s="504" t="str">
        <f>IF(BK21="công chức, viên chức","CC,VC",IF(BK21="người lao động","NLĐ","- - -"))</f>
        <v>CC,VC</v>
      </c>
      <c r="BI21" s="282"/>
      <c r="BJ21" s="269"/>
      <c r="BK21" s="270" t="s">
        <v>10</v>
      </c>
      <c r="BL21" s="271" t="str">
        <f>IF(O21="Cơ sở Học viện Hành chính khu vực miền Trung","B",IF(O21="Phân viện Khu vực Tây Nguyên","C",IF(O21="Cơ sở Học viện Hành chính tại thành phố Hồ Chí Minh","D","A")))</f>
        <v>A</v>
      </c>
      <c r="BM21" s="270" t="str">
        <f>IF(AND(AB21&gt;0,X21&lt;(Z21-1),BN21&gt;0,BN21&lt;13,OR(AND(BT21="Cùg Ng",($BM$2-BP21)&gt;AM21),BT21="- - -")),"Sớm TT","=&gt; s")</f>
        <v>=&gt; s</v>
      </c>
      <c r="BN21" s="272">
        <f>IF(AM21=3,36-(12*($BM$2-AJ21)+(12-AH21)-AO21),IF(AM21=2,24-(12*($BM$2-AJ21)+(12-AH21)-AO21),"---"))</f>
        <v>24207</v>
      </c>
      <c r="BO21" s="273" t="str">
        <f>IF(BP21&gt;1,"S","---")</f>
        <v>S</v>
      </c>
      <c r="BP21" s="274">
        <v>2012</v>
      </c>
      <c r="BQ21" s="275" t="s">
        <v>39</v>
      </c>
      <c r="BR21" s="275"/>
      <c r="BS21" s="275"/>
      <c r="BT21" s="274" t="str">
        <f>IF(T21=BQ21,"Cùg Ng","- - -")</f>
        <v>Cùg Ng</v>
      </c>
      <c r="BU21" s="273" t="str">
        <f>IF(BW21&gt;2000,"NN","- - -")</f>
        <v>- - -</v>
      </c>
      <c r="BV21" s="270"/>
      <c r="BW21" s="270"/>
      <c r="BX21" s="276"/>
      <c r="BY21" s="276"/>
      <c r="BZ21" s="276" t="str">
        <f>IF(CB21&gt;2000,"CN","- - -")</f>
        <v>- - -</v>
      </c>
      <c r="CA21" s="276"/>
      <c r="CB21" s="276"/>
      <c r="CC21" s="276"/>
      <c r="CE21" s="378" t="str">
        <f>IF(AND(CF21="Hưu",X21&lt;(Z21-1),CM21&gt;0,CM21&lt;18,OR(AU21&lt;4,AND(AU21&gt;3,OR(BG21&lt;3,BG21&gt;5)))),"Lg Sớm",IF(AND(CF21="Hưu",X21&gt;(Z21-2),OR(AR21=0.33,AR21=0.34),OR(AU21&lt;4,AND(AU21&gt;3,OR(BG21&lt;3,BG21&gt;5)))),"Nâng Ngạch",IF(AND(CF21="Hưu",AM21=1,CM21&gt;2,CM21&lt;6,OR(AU21&lt;4,AND(AU21&gt;3,OR(BG21&lt;3,BG21&gt;5)))),"Nâng PcVK cùng QĐ",IF(AND(CF21="Hưu",AU21&gt;3,BG21&gt;2,BG21&lt;6,X21&lt;(Z21-1),CM21&gt;17,OR(AM21&gt;1,AND(AM21=1,OR(CM21&lt;3,CM21&gt;5)))),"Nâng PcNG cùng QĐ",IF(AND(CF21="Hưu",X21&lt;(Z21-1),CM21&gt;0,CM21&lt;18,AU21&gt;3,BG21&gt;2,BG21&lt;6),"Nâng Lg Sớm +(PcNG cùng QĐ)",IF(AND(CF21="Hưu",X21&gt;(Z21-2),OR(AR21=0.33,AR21=0.34),AU21&gt;3,BG21&gt;2,BG21&lt;6),"Nâng Ngạch +(PcNG cùng QĐ)",IF(AND(CF21="Hưu",AM21=1,CM21&gt;2,CM21&lt;6,AU21&gt;3,BG21&gt;2,BG21&lt;6),"Nâng (PcVK +PcNG) cùng QĐ",("---"))))))))</f>
        <v>---</v>
      </c>
      <c r="CF21" s="378" t="str">
        <f>IF(AND(CQ21&gt;CP21,CQ21&lt;(CP21+13)),"Hưu",IF(AND(CQ21&gt;(CP21+12),CQ21&lt;1000),"Quá","/-/ /-/"))</f>
        <v>/-/ /-/</v>
      </c>
      <c r="CG21" s="378">
        <f>IF((H21+0)&lt;12,(H21+0)+1,IF((H21+0)=12,1,IF((H21+0)&gt;12,(H21+0)-12)))</f>
        <v>10</v>
      </c>
      <c r="CH21" s="378">
        <f>IF(OR((H21+0)=12,(H21+0)&gt;12),J21+CP21/12+1,IF(AND((H21+0)&gt;0,(H21+0)&lt;12),J21+CP21/12,"---"))</f>
        <v>2036</v>
      </c>
      <c r="CI21" s="378">
        <f>IF(AND(CG21&gt;3,CG21&lt;13),CG21-3,IF(CG21&lt;4,CG21-3+12))</f>
        <v>7</v>
      </c>
      <c r="CJ21" s="378">
        <f>IF(CI21&lt;CG21,CH21,IF(CI21&gt;CG21,CH21-1))</f>
        <v>2036</v>
      </c>
      <c r="CK21" s="378">
        <f>IF(CG21&gt;6,CG21-6,IF(CG21=6,12,IF(CG21&lt;6,CG21+6)))</f>
        <v>4</v>
      </c>
      <c r="CL21" s="378">
        <f>IF(CG21&gt;6,CH21,IF(CG21&lt;7,CH21-1))</f>
        <v>2036</v>
      </c>
      <c r="CM21" s="378" t="str">
        <f>IF(AND(CF21="Hưu",AM21=3),36+AO21-(12*(CL21-AJ21)+(CK21-AH21)),IF(AND(CF21="Hưu",AM21=2),24+AO21-(12*(CL21-AJ21)+(CK21-AH21)),IF(AND(CF21="Hưu",AM21=1),12+AO21-(12*(CL21-AJ21)+(CK21-AH21)),"- - -")))</f>
        <v>- - -</v>
      </c>
      <c r="CN21" s="619" t="str">
        <f>IF(CO21&gt;0,"K.Dài",". .")</f>
        <v>. .</v>
      </c>
      <c r="CO21" s="620"/>
      <c r="CP21" s="497">
        <f>IF(E21="Nam",(60+CO21)*12,IF(E21="Nữ",(55+CO21)*12,))</f>
        <v>660</v>
      </c>
      <c r="CQ21" s="379">
        <f>12*($CF$4-J21)+(12-H21)</f>
        <v>-23769</v>
      </c>
      <c r="CR21" s="498">
        <f>$CV$4-J21</f>
        <v>-1981</v>
      </c>
      <c r="CS21" s="371" t="str">
        <f>IF(AND(CR21&lt;35,E21="Nam"),"Nam dưới 35",IF(AND(CR21&lt;30,E21="Nữ"),"Nữ dưới 30",IF(AND(CR21&gt;34,CR21&lt;46,E21="Nam"),"Nam từ 35 - 45",IF(AND(CR21&gt;29,CR21&lt;41,E21="Nữ"),"Nữ từ 30 - 40",IF(AND(CR21&gt;45,CR21&lt;56,E21="Nam"),"Nam trên 45 - 55",IF(AND(CR21&gt;40,CR21&lt;51,E21="Nữ"),"Nữ trên 40 - 50",IF(AND(CR21&gt;55,E21="Nam"),"Nam trên 55","Nữ trên 50")))))))</f>
        <v>Nữ dưới 30</v>
      </c>
      <c r="CT21" s="369"/>
      <c r="CU21" s="499"/>
      <c r="CV21" s="500" t="str">
        <f>IF(CR21&lt;31,"Đến 30",IF(AND(CR21&gt;30,CR21&lt;46),"31 - 45",IF(AND(CR21&gt;45,CR21&lt;70),"Trên 45")))</f>
        <v>Đến 30</v>
      </c>
      <c r="CW21" s="368" t="str">
        <f>IF(CX21&gt;0,"TD","--")</f>
        <v>TD</v>
      </c>
      <c r="CX21" s="368">
        <v>2012</v>
      </c>
      <c r="CY21" s="369"/>
      <c r="CZ21" s="505"/>
      <c r="DA21" s="381"/>
      <c r="DB21" s="370"/>
      <c r="DC21" s="370"/>
      <c r="DE21" s="378" t="s">
        <v>163</v>
      </c>
      <c r="DF21" s="378" t="s">
        <v>164</v>
      </c>
      <c r="DG21" s="378" t="s">
        <v>161</v>
      </c>
      <c r="DH21" s="378" t="s">
        <v>11</v>
      </c>
      <c r="DI21" s="378" t="s">
        <v>12</v>
      </c>
      <c r="DJ21" s="378" t="s">
        <v>133</v>
      </c>
      <c r="DK21" s="378" t="s">
        <v>12</v>
      </c>
      <c r="DL21" s="378">
        <v>2012</v>
      </c>
      <c r="DM21" s="378">
        <f>(DH21+0)-(DO21+0)</f>
        <v>0</v>
      </c>
      <c r="DN21" s="378" t="str">
        <f>IF(DM21&gt;0,"Sửa","- - -")</f>
        <v>- - -</v>
      </c>
      <c r="DO21" s="378" t="s">
        <v>11</v>
      </c>
      <c r="DP21" s="378" t="s">
        <v>12</v>
      </c>
      <c r="DQ21" s="378" t="s">
        <v>133</v>
      </c>
      <c r="DR21" s="378" t="s">
        <v>12</v>
      </c>
      <c r="DS21" s="378">
        <v>2012</v>
      </c>
      <c r="DU21" s="378" t="str">
        <f>IF(AND(AR21&gt;0.34,AB21=1,OR(AQ21=6.2,AQ21=5.75)),((AQ21-DT21)-2*0.34),IF(AND(AR21&gt;0.33,AB21=1,OR(AQ21=4.4,AQ21=4)),((AQ21-DT21)-2*0.33),"- - -"))</f>
        <v>- - -</v>
      </c>
      <c r="DV21" s="378" t="str">
        <f>IF(CF21="Hưu",12*(CL21-AJ21)+(CK21-AH21),"---")</f>
        <v>---</v>
      </c>
    </row>
    <row r="22" spans="1:126" s="150" customFormat="1" ht="51.75" customHeight="1" x14ac:dyDescent="0.25">
      <c r="A22" s="564">
        <v>807</v>
      </c>
      <c r="B22" s="157">
        <v>3</v>
      </c>
      <c r="C22" s="157" t="str">
        <f>IF(E22="Nam","Ông","Bà")</f>
        <v>Ông</v>
      </c>
      <c r="D22" s="171" t="s">
        <v>194</v>
      </c>
      <c r="E22" s="157" t="s">
        <v>43</v>
      </c>
      <c r="F22" s="172" t="s">
        <v>54</v>
      </c>
      <c r="G22" s="173" t="s">
        <v>12</v>
      </c>
      <c r="H22" s="173" t="s">
        <v>40</v>
      </c>
      <c r="I22" s="173" t="s">
        <v>12</v>
      </c>
      <c r="J22" s="174">
        <v>1979</v>
      </c>
      <c r="K22" s="565" t="str">
        <f>IF(AND((M22+0)&gt;0.3,(M22+0)&lt;1.5),"CVụ","- -")</f>
        <v>CVụ</v>
      </c>
      <c r="L22" s="565" t="s">
        <v>195</v>
      </c>
      <c r="M22" s="565" t="str">
        <f>VLOOKUP(L22,'[1]- DLiêu Gốc -'!$B$2:$G$121,2,0)</f>
        <v>0,4</v>
      </c>
      <c r="N22" s="175" t="s">
        <v>196</v>
      </c>
      <c r="O22" s="176" t="s">
        <v>67</v>
      </c>
      <c r="P22" s="177" t="str">
        <f>VLOOKUP(U22,'[1]- DLiêu Gốc -'!$B$2:$G$56,5,0)</f>
        <v>A1</v>
      </c>
      <c r="Q22" s="177" t="str">
        <f>VLOOKUP(U22,'[1]- DLiêu Gốc -'!$B$2:$G$56,6,0)</f>
        <v>- - -</v>
      </c>
      <c r="R22" s="178" t="s">
        <v>45</v>
      </c>
      <c r="S22" s="179" t="str">
        <f>IF(OR(U22="Kỹ thuật viên đánh máy",U22="Nhân viên đánh máy",U22="Nhân viên kỹ thuật",U22="Nhân viên văn thư",U22="Nhân viên phục vụ",U22="Lái xe cơ quan",U22="Nhân viên bảo vệ"),"Nhân viên",U22)</f>
        <v>Chuyên viên</v>
      </c>
      <c r="T22" s="180" t="str">
        <f>IF(S22="Nhân viên","01.005",V22)</f>
        <v>01.003</v>
      </c>
      <c r="U22" s="181" t="s">
        <v>46</v>
      </c>
      <c r="V22" s="180" t="str">
        <f>VLOOKUP(U22,'[1]- DLiêu Gốc -'!$B$1:$G$121,2,0)</f>
        <v>01.003</v>
      </c>
      <c r="W22" s="182" t="str">
        <f>IF(OR(AND(AN22=36,AM22=3),AND(AN22=24,AM22=2),AND(AN22=12,AM22=1)),"Đến $",IF(AND(AN22&lt;12*10,OR(AND(AN22&gt;36,AM22=3),AND(AN22&gt;24,AN22&lt;120,AM22=2),AND(AN22&gt;12,AM22=1))),"Dừng $","Lương"))</f>
        <v>Lương</v>
      </c>
      <c r="X22" s="183">
        <v>4</v>
      </c>
      <c r="Y22" s="184" t="str">
        <f>IF(Z22&gt;0,"/")</f>
        <v>/</v>
      </c>
      <c r="Z22" s="185">
        <f>IF(OR(AR22=0.18,AR22=0.2),12,IF(AR22=0.31,10,IF(AR22=0.33,9,IF(AR22=0.34,8,IF(AR22=0.36,6)))))</f>
        <v>9</v>
      </c>
      <c r="AA22" s="186">
        <f>AQ22+(X22-1)*AR22</f>
        <v>3.33</v>
      </c>
      <c r="AB22" s="187">
        <f>X22+1</f>
        <v>5</v>
      </c>
      <c r="AC22" s="565" t="str">
        <f>IF(Z22=X22,"%",IF(Z22&gt;X22,"/"))</f>
        <v>/</v>
      </c>
      <c r="AD22" s="185">
        <f>IF(AND(Z22=X22,AB22=4),5,IF(AND(Z22=X22,AB22&gt;4),AB22+1,IF(Z22&gt;X22,Z22)))</f>
        <v>9</v>
      </c>
      <c r="AE22" s="188">
        <f>IF(Z22=X22,"%",IF(Z22&gt;X22,AA22+AR22))</f>
        <v>3.66</v>
      </c>
      <c r="AF22" s="189" t="s">
        <v>11</v>
      </c>
      <c r="AG22" s="190" t="s">
        <v>12</v>
      </c>
      <c r="AH22" s="191" t="s">
        <v>133</v>
      </c>
      <c r="AI22" s="192" t="s">
        <v>12</v>
      </c>
      <c r="AJ22" s="193">
        <v>2015</v>
      </c>
      <c r="AK22" s="194"/>
      <c r="AL22" s="195"/>
      <c r="AM22" s="160">
        <f>IF(AND(Z22&gt;X22,OR(AR22=0.18,AR22=0.2)),2,IF(AND(Z22&gt;X22,OR(AR22=0.31,AR22=0.33,AR22=0.34,AR22=0.36)),3,IF(Z22=X22,1)))</f>
        <v>3</v>
      </c>
      <c r="AN22" s="160">
        <f>12*($W$2-AJ22)+($W$4-AH22)-AO22</f>
        <v>-24183</v>
      </c>
      <c r="AO22" s="154"/>
      <c r="AP22" s="196"/>
      <c r="AQ22" s="162">
        <f>VLOOKUP(U22,'[1]- DLiêu Gốc -'!$B$1:$E$56,3,0)</f>
        <v>2.34</v>
      </c>
      <c r="AR22" s="156">
        <f>VLOOKUP(U22,'[1]- DLiêu Gốc -'!$B$1:$E$56,4,0)</f>
        <v>0.33</v>
      </c>
      <c r="AS22" s="197"/>
      <c r="AT22" s="198" t="str">
        <f>IF(AND(AU22&gt;3,BF22=12),"Đến %",IF(AND(AU22&gt;3,BF22&gt;12,BF22&lt;120),"Dừng %",IF(AND(AU22&gt;3,BF22&lt;12),"PCTN","o-o-o")))</f>
        <v>o-o-o</v>
      </c>
      <c r="AU22" s="199"/>
      <c r="AV22" s="199"/>
      <c r="AW22" s="156">
        <f>IF(AU22&gt;3,AU22+1,0)</f>
        <v>0</v>
      </c>
      <c r="AX22" s="200"/>
      <c r="AY22" s="201"/>
      <c r="AZ22" s="159"/>
      <c r="BA22" s="159"/>
      <c r="BB22" s="159"/>
      <c r="BC22" s="159"/>
      <c r="BD22" s="159"/>
      <c r="BE22" s="159"/>
      <c r="BF22" s="161" t="str">
        <f>IF(AU22&gt;3,(($AT$2-BA22)*12+($AT$4-AY22)-BC22),"- - -")</f>
        <v>- - -</v>
      </c>
      <c r="BG22" s="202" t="str">
        <f>IF(AND(CF22="Hưu",AU22&gt;3),12-(12*(CL22-BA22)+(CK22-AY22))-BC22,"- - -")</f>
        <v>- - -</v>
      </c>
      <c r="BH22" s="506" t="str">
        <f>IF(BK22="công chức, viên chức","CC,VC",IF(BK22="người lao động","NLĐ","- - -"))</f>
        <v>CC,VC</v>
      </c>
      <c r="BI22" s="282"/>
      <c r="BJ22" s="269"/>
      <c r="BK22" s="270" t="s">
        <v>10</v>
      </c>
      <c r="BL22" s="271" t="str">
        <f>IF(O22="Cơ sở Học viện Hành chính khu vực miền Trung","B",IF(O22="Phân viện Khu vực Tây Nguyên","C",IF(O22="Cơ sở Học viện Hành chính tại thành phố Hồ Chí Minh","D","A")))</f>
        <v>A</v>
      </c>
      <c r="BM22" s="270" t="str">
        <f>IF(AND(AB22&gt;0,X22&lt;(Z22-1),BN22&gt;0,BN22&lt;13,OR(AND(BT22="Cùg Ng",($BM$2-BP22)&gt;AM22),BT22="- - -")),"Sớm TT","=&gt; s")</f>
        <v>=&gt; s</v>
      </c>
      <c r="BN22" s="272">
        <f>IF(AM22=3,36-(12*($BM$2-AJ22)+(12-AH22)-AO22),IF(AM22=2,24-(12*($BM$2-AJ22)+(12-AH22)-AO22),"---"))</f>
        <v>24207</v>
      </c>
      <c r="BO22" s="273" t="str">
        <f>IF(BP22&gt;1,"S","---")</f>
        <v>S</v>
      </c>
      <c r="BP22" s="274">
        <v>2012</v>
      </c>
      <c r="BQ22" s="275" t="s">
        <v>197</v>
      </c>
      <c r="BR22" s="275"/>
      <c r="BS22" s="275"/>
      <c r="BT22" s="274" t="str">
        <f>IF(T22=BQ22,"Cùg Ng","- - -")</f>
        <v>Cùg Ng</v>
      </c>
      <c r="BU22" s="273" t="str">
        <f>IF(BW22&gt;2000,"NN","- - -")</f>
        <v>- - -</v>
      </c>
      <c r="BV22" s="270"/>
      <c r="BW22" s="270"/>
      <c r="BX22" s="276"/>
      <c r="BY22" s="276"/>
      <c r="BZ22" s="276" t="str">
        <f>IF(CB22&gt;2000,"CN","- - -")</f>
        <v>- - -</v>
      </c>
      <c r="CA22" s="276"/>
      <c r="CB22" s="276"/>
      <c r="CC22" s="276"/>
      <c r="CE22" s="150" t="str">
        <f>IF(AND(CF22="Hưu",X22&lt;(Z22-1),CM22&gt;0,CM22&lt;18,OR(AU22&lt;4,AND(AU22&gt;3,OR(BG22&lt;3,BG22&gt;5)))),"Lg Sớm",IF(AND(CF22="Hưu",X22&gt;(Z22-2),OR(AR22=0.33,AR22=0.34),OR(AU22&lt;4,AND(AU22&gt;3,OR(BG22&lt;3,BG22&gt;5)))),"Nâng Ngạch",IF(AND(CF22="Hưu",AM22=1,CM22&gt;2,CM22&lt;6,OR(AU22&lt;4,AND(AU22&gt;3,OR(BG22&lt;3,BG22&gt;5)))),"Nâng PcVK cùng QĐ",IF(AND(CF22="Hưu",AU22&gt;3,BG22&gt;2,BG22&lt;6,X22&lt;(Z22-1),CM22&gt;17,OR(AM22&gt;1,AND(AM22=1,OR(CM22&lt;3,CM22&gt;5)))),"Nâng PcNG cùng QĐ",IF(AND(CF22="Hưu",X22&lt;(Z22-1),CM22&gt;0,CM22&lt;18,AU22&gt;3,BG22&gt;2,BG22&lt;6),"Nâng Lg Sớm +(PcNG cùng QĐ)",IF(AND(CF22="Hưu",X22&gt;(Z22-2),OR(AR22=0.33,AR22=0.34),AU22&gt;3,BG22&gt;2,BG22&lt;6),"Nâng Ngạch +(PcNG cùng QĐ)",IF(AND(CF22="Hưu",AM22=1,CM22&gt;2,CM22&lt;6,AU22&gt;3,BG22&gt;2,BG22&lt;6),"Nâng (PcVK +PcNG) cùng QĐ",("---"))))))))</f>
        <v>---</v>
      </c>
      <c r="CF22" s="150" t="str">
        <f>IF(AND(CQ22&gt;CP22,CQ22&lt;(CP22+13)),"Hưu",IF(AND(CQ22&gt;(CP22+12),CQ22&lt;1000),"Quá","/-/ /-/"))</f>
        <v>/-/ /-/</v>
      </c>
      <c r="CG22" s="150">
        <f>IF((H22+0)&lt;12,(H22+0)+1,IF((H22+0)=12,1,IF((H22+0)&gt;12,(H22+0)-12)))</f>
        <v>3</v>
      </c>
      <c r="CH22" s="150">
        <f>IF(OR((H22+0)=12,(H22+0)&gt;12),J22+CP22/12+1,IF(AND((H22+0)&gt;0,(H22+0)&lt;12),J22+CP22/12,"---"))</f>
        <v>2039</v>
      </c>
      <c r="CI22" s="150">
        <f>IF(AND(CG22&gt;3,CG22&lt;13),CG22-3,IF(CG22&lt;4,CG22-3+12))</f>
        <v>12</v>
      </c>
      <c r="CJ22" s="150">
        <f>IF(CI22&lt;CG22,CH22,IF(CI22&gt;CG22,CH22-1))</f>
        <v>2038</v>
      </c>
      <c r="CK22" s="150">
        <f>IF(CG22&gt;6,CG22-6,IF(CG22=6,12,IF(CG22&lt;6,CG22+6)))</f>
        <v>9</v>
      </c>
      <c r="CL22" s="150">
        <f>IF(CG22&gt;6,CH22,IF(CG22&lt;7,CH22-1))</f>
        <v>2038</v>
      </c>
      <c r="CM22" s="150" t="str">
        <f>IF(AND(CF22="Hưu",AM22=3),36+AO22-(12*(CL22-AJ22)+(CK22-AH22)),IF(AND(CF22="Hưu",AM22=2),24+AO22-(12*(CL22-AJ22)+(CK22-AH22)),IF(AND(CF22="Hưu",AM22=1),12+AO22-(12*(CL22-AJ22)+(CK22-AH22)),"- - -")))</f>
        <v>- - -</v>
      </c>
      <c r="CN22" s="622" t="str">
        <f>IF(CO22&gt;0,"K.Dài",". .")</f>
        <v>. .</v>
      </c>
      <c r="CO22" s="623"/>
      <c r="CP22" s="160">
        <f>IF(E22="Nam",(60+CO22)*12,IF(E22="Nữ",(55+CO22)*12,))</f>
        <v>720</v>
      </c>
      <c r="CQ22" s="155">
        <f>12*($CF$4-J22)+(12-H22)</f>
        <v>-23738</v>
      </c>
      <c r="CR22" s="196">
        <f>$CV$4-J22</f>
        <v>-1979</v>
      </c>
      <c r="CS22" s="162" t="str">
        <f>IF(AND(CR22&lt;35,E22="Nam"),"Nam dưới 35",IF(AND(CR22&lt;30,E22="Nữ"),"Nữ dưới 30",IF(AND(CR22&gt;34,CR22&lt;46,E22="Nam"),"Nam từ 35 - 45",IF(AND(CR22&gt;29,CR22&lt;41,E22="Nữ"),"Nữ từ 30 - 40",IF(AND(CR22&gt;45,CR22&lt;56,E22="Nam"),"Nam trên 45 - 55",IF(AND(CR22&gt;40,CR22&lt;51,E22="Nữ"),"Nữ trên 40 - 50",IF(AND(CR22&gt;55,E22="Nam"),"Nam trên 55","Nữ trên 50")))))))</f>
        <v>Nam dưới 35</v>
      </c>
      <c r="CT22" s="156"/>
      <c r="CU22" s="197"/>
      <c r="CV22" s="198" t="str">
        <f>IF(CR22&lt;31,"Đến 30",IF(AND(CR22&gt;30,CR22&lt;46),"31 - 45",IF(AND(CR22&gt;45,CR22&lt;70),"Trên 45")))</f>
        <v>Đến 30</v>
      </c>
      <c r="CW22" s="203" t="str">
        <f>IF(CX22&gt;0,"TD","--")</f>
        <v>--</v>
      </c>
      <c r="CX22" s="203"/>
      <c r="CY22" s="156"/>
      <c r="CZ22" s="204"/>
      <c r="DA22" s="205"/>
      <c r="DB22" s="159"/>
      <c r="DC22" s="159"/>
      <c r="DE22" s="150" t="s">
        <v>163</v>
      </c>
      <c r="DF22" s="150" t="s">
        <v>198</v>
      </c>
      <c r="DG22" s="150" t="s">
        <v>74</v>
      </c>
      <c r="DH22" s="150" t="s">
        <v>11</v>
      </c>
      <c r="DI22" s="150" t="s">
        <v>12</v>
      </c>
      <c r="DJ22" s="150" t="s">
        <v>133</v>
      </c>
      <c r="DK22" s="150" t="s">
        <v>12</v>
      </c>
      <c r="DL22" s="150">
        <v>2012</v>
      </c>
      <c r="DM22" s="150">
        <f>(DH22+0)-(DO22+0)</f>
        <v>0</v>
      </c>
      <c r="DN22" s="150" t="str">
        <f>IF(DM22&gt;0,"Sửa","- - -")</f>
        <v>- - -</v>
      </c>
      <c r="DO22" s="150" t="s">
        <v>11</v>
      </c>
      <c r="DP22" s="150" t="s">
        <v>12</v>
      </c>
      <c r="DQ22" s="150" t="s">
        <v>133</v>
      </c>
      <c r="DR22" s="150" t="s">
        <v>12</v>
      </c>
      <c r="DS22" s="150">
        <v>2012</v>
      </c>
      <c r="DU22" s="150" t="str">
        <f>IF(AND(AR22&gt;0.34,AB22=1,OR(AQ22=6.2,AQ22=5.75)),((AQ22-DT22)-2*0.34),IF(AND(AR22&gt;0.33,AB22=1,OR(AQ22=4.4,AQ22=4)),((AQ22-DT22)-2*0.33),"- - -"))</f>
        <v>- - -</v>
      </c>
      <c r="DV22" s="150" t="str">
        <f>IF(CF22="Hưu",12*(CL22-AJ22)+(CK22-AH22),"---")</f>
        <v>---</v>
      </c>
    </row>
    <row r="23" spans="1:126" s="150" customFormat="1" ht="21.75" customHeight="1" x14ac:dyDescent="0.25">
      <c r="A23" s="564">
        <v>796</v>
      </c>
      <c r="B23" s="507" t="s">
        <v>42</v>
      </c>
      <c r="C23" s="508"/>
      <c r="D23" s="509" t="s">
        <v>199</v>
      </c>
      <c r="E23" s="510"/>
      <c r="F23" s="511"/>
      <c r="G23" s="512"/>
      <c r="H23" s="512"/>
      <c r="I23" s="512"/>
      <c r="J23" s="512"/>
      <c r="K23" s="512"/>
      <c r="L23" s="512"/>
      <c r="M23" s="512"/>
      <c r="N23" s="513"/>
      <c r="O23" s="514"/>
      <c r="P23" s="515"/>
      <c r="Q23" s="515"/>
      <c r="R23" s="516"/>
      <c r="S23" s="624"/>
      <c r="T23" s="625"/>
      <c r="U23" s="511"/>
      <c r="V23" s="113"/>
      <c r="W23" s="517"/>
      <c r="X23" s="518"/>
      <c r="Y23" s="520"/>
      <c r="Z23" s="573"/>
      <c r="AA23" s="519"/>
      <c r="AB23" s="626"/>
      <c r="AC23" s="452"/>
      <c r="AD23" s="521"/>
      <c r="AE23" s="627"/>
      <c r="AF23" s="522"/>
      <c r="AG23" s="523"/>
      <c r="AH23" s="524"/>
      <c r="AI23" s="628"/>
      <c r="AJ23" s="576"/>
      <c r="AK23" s="525"/>
      <c r="AL23" s="526"/>
      <c r="AM23" s="527"/>
      <c r="AN23" s="528"/>
      <c r="AO23" s="529"/>
      <c r="AP23" s="517"/>
      <c r="AQ23" s="530"/>
      <c r="AR23" s="531"/>
      <c r="AS23" s="531"/>
      <c r="AT23" s="532" t="e">
        <v>#N/A</v>
      </c>
      <c r="AU23" s="533" t="e">
        <v>#N/A</v>
      </c>
      <c r="AV23" s="533"/>
      <c r="AW23" s="534"/>
      <c r="AX23" s="535"/>
      <c r="AY23" s="533"/>
      <c r="AZ23" s="536"/>
      <c r="BA23" s="536"/>
      <c r="BB23" s="536"/>
      <c r="BC23" s="536"/>
      <c r="BD23" s="536"/>
      <c r="BE23" s="536"/>
      <c r="BF23" s="537"/>
      <c r="BG23" s="538"/>
      <c r="BH23" s="469"/>
      <c r="BI23" s="269"/>
      <c r="BJ23" s="270" t="s">
        <v>10</v>
      </c>
      <c r="BK23" s="271" t="e">
        <f>IF(#REF!="Cơ sở Học viện Hành chính khu vực miền Trung","B",IF(#REF!="Phân viện Khu vực Tây Nguyên","C",IF(#REF!="Cơ sở Học viện Hành chính tại thành phố Hồ Chí Minh","D","A")))</f>
        <v>#REF!</v>
      </c>
      <c r="BL23" s="270" t="e">
        <f>IF(AND(#REF!&gt;0,#REF!&lt;(#REF!-1),BM23&gt;0,BM23&lt;13,OR(AND(BS23="Cùg Ng",(#REF!-BO23)&gt;#REF!),BS23="- - -")),"Sớm TT","=&gt; s")</f>
        <v>#REF!</v>
      </c>
      <c r="BM23" s="272" t="e">
        <f>IF(#REF!=3,36-(12*(#REF!-#REF!)+(12-#REF!)-#REF!),IF(#REF!=2,24-(12*(#REF!-#REF!)+(12-#REF!)-#REF!),"---"))</f>
        <v>#REF!</v>
      </c>
      <c r="BN23" s="273" t="str">
        <f t="shared" ref="BN23:BN25" si="58">IF(BO23&gt;1,"S","---")</f>
        <v>---</v>
      </c>
      <c r="BO23" s="274"/>
      <c r="BP23" s="275"/>
      <c r="BQ23" s="275"/>
      <c r="BR23" s="275"/>
      <c r="BS23" s="274" t="e">
        <f>IF(#REF!=BP23,"Cùg Ng","- - -")</f>
        <v>#REF!</v>
      </c>
      <c r="BT23" s="273" t="str">
        <f t="shared" ref="BT23:BT25" si="59">IF(BV23&gt;2000,"NN","- - -")</f>
        <v>- - -</v>
      </c>
      <c r="BU23" s="270"/>
      <c r="BV23" s="270"/>
      <c r="BW23" s="276"/>
      <c r="BX23" s="276"/>
      <c r="BY23" s="276" t="str">
        <f t="shared" ref="BY23:BY25" si="60">IF(CA23&gt;2000,"CN","- - -")</f>
        <v>- - -</v>
      </c>
      <c r="BZ23" s="276"/>
      <c r="CA23" s="276"/>
      <c r="CB23" s="276"/>
      <c r="CC23" s="276"/>
      <c r="CD23" s="638" t="e">
        <f>IF(AND(CE23="Hưu",#REF!&lt;(#REF!-1),CL23&gt;0,CL23&lt;18,OR(#REF!&lt;4,AND(#REF!&gt;3,OR(#REF!&lt;3,#REF!&gt;5)))),"Lg Sớm",IF(AND(CE23="Hưu",#REF!&gt;(#REF!-2),OR(#REF!=0.33,#REF!=0.34),OR(#REF!&lt;4,AND(#REF!&gt;3,OR(#REF!&lt;3,#REF!&gt;5)))),"Nâng Ngạch",IF(AND(CE23="Hưu",#REF!=1,CL23&gt;2,CL23&lt;6,OR(#REF!&lt;4,AND(#REF!&gt;3,OR(#REF!&lt;3,#REF!&gt;5)))),"Nâng PcVK cùng QĐ",IF(AND(CE23="Hưu",#REF!&gt;3,#REF!&gt;2,#REF!&lt;6,#REF!&lt;(#REF!-1),CL23&gt;17,OR(#REF!&gt;1,AND(#REF!=1,OR(CL23&lt;3,CL23&gt;5)))),"Nâng PcNG cùng QĐ",IF(AND(CE23="Hưu",#REF!&lt;(#REF!-1),CL23&gt;0,CL23&lt;18,#REF!&gt;3,#REF!&gt;2,#REF!&lt;6),"Nâng Lg Sớm +(PcNG cùng QĐ)",IF(AND(CE23="Hưu",#REF!&gt;(#REF!-2),OR(#REF!=0.33,#REF!=0.34),#REF!&gt;3,#REF!&gt;2,#REF!&lt;6),"Nâng Ngạch +(PcNG cùng QĐ)",IF(AND(CE23="Hưu",#REF!=1,CL23&gt;2,CL23&lt;6,#REF!&gt;3,#REF!&gt;2,#REF!&lt;6),"Nâng (PcVK +PcNG) cùng QĐ",("---"))))))))</f>
        <v>#REF!</v>
      </c>
      <c r="CE23" s="638" t="e">
        <f t="shared" ref="CE23:CE25" si="61">IF(AND(CP23&gt;CO23,CP23&lt;(CO23+13)),"Hưu",IF(AND(CP23&gt;(CO23+12),CP23&lt;1000),"Quá","/-/ /-/"))</f>
        <v>#REF!</v>
      </c>
      <c r="CF23" s="638" t="e">
        <f>IF((#REF!+0)&lt;12,(#REF!+0)+1,IF((#REF!+0)=12,1,IF((#REF!+0)&gt;12,(#REF!+0)-12)))</f>
        <v>#REF!</v>
      </c>
      <c r="CG23" s="638" t="e">
        <f>IF(OR((#REF!+0)=12,(#REF!+0)&gt;12),#REF!+CO23/12+1,IF(AND((#REF!+0)&gt;0,(#REF!+0)&lt;12),#REF!+CO23/12,"---"))</f>
        <v>#REF!</v>
      </c>
      <c r="CH23" s="638" t="e">
        <f t="shared" ref="CH23:CH25" si="62">IF(AND(CF23&gt;3,CF23&lt;13),CF23-3,IF(CF23&lt;4,CF23-3+12))</f>
        <v>#REF!</v>
      </c>
      <c r="CI23" s="638" t="e">
        <f t="shared" ref="CI23:CI25" si="63">IF(CH23&lt;CF23,CG23,IF(CH23&gt;CF23,CG23-1))</f>
        <v>#REF!</v>
      </c>
      <c r="CJ23" s="638" t="e">
        <f t="shared" ref="CJ23:CJ25" si="64">IF(CF23&gt;6,CF23-6,IF(CF23=6,12,IF(CF23&lt;6,CF23+6)))</f>
        <v>#REF!</v>
      </c>
      <c r="CK23" s="638" t="e">
        <f t="shared" ref="CK23:CK25" si="65">IF(CF23&gt;6,CG23,IF(CF23&lt;7,CG23-1))</f>
        <v>#REF!</v>
      </c>
      <c r="CL23" s="638" t="e">
        <f>IF(AND(CE23="Hưu",#REF!=3),36+#REF!-(12*(CK23-#REF!)+(CJ23-#REF!)),IF(AND(CE23="Hưu",#REF!=2),24+#REF!-(12*(CK23-#REF!)+(CJ23-#REF!)),IF(AND(CE23="Hưu",#REF!=1),12+#REF!-(12*(CK23-#REF!)+(CJ23-#REF!)),"- - -")))</f>
        <v>#REF!</v>
      </c>
      <c r="CM23" s="639" t="str">
        <f t="shared" ref="CM23:CM25" si="66">IF(CN23&gt;0,"K.Dài",". .")</f>
        <v>. .</v>
      </c>
      <c r="CN23" s="640"/>
      <c r="CO23" s="641" t="e">
        <f>IF(#REF!="Nam",(60+CN23)*12,IF(#REF!="Nữ",(55+CN23)*12,))</f>
        <v>#REF!</v>
      </c>
      <c r="CP23" s="642" t="e">
        <f>12*(#REF!-#REF!)+(12-#REF!)</f>
        <v>#REF!</v>
      </c>
      <c r="CQ23" s="577" t="e">
        <f>#REF!-#REF!</f>
        <v>#REF!</v>
      </c>
      <c r="CR23" s="470" t="e">
        <f>IF(AND(CQ23&lt;35,#REF!="Nam"),"Nam dưới 35",IF(AND(CQ23&lt;30,#REF!="Nữ"),"Nữ dưới 30",IF(AND(CQ23&gt;34,CQ23&lt;46,#REF!="Nam"),"Nam từ 35 - 45",IF(AND(CQ23&gt;29,CQ23&lt;41,#REF!="Nữ"),"Nữ từ 30 - 40",IF(AND(CQ23&gt;45,CQ23&lt;56,#REF!="Nam"),"Nam trên 45 - 55",IF(AND(CQ23&gt;40,CQ23&lt;51,#REF!="Nữ"),"Nữ trên 40 - 50",IF(AND(CQ23&gt;55,#REF!="Nam"),"Nam trên 55","Nữ trên 50")))))))</f>
        <v>#REF!</v>
      </c>
      <c r="CS23" s="469"/>
      <c r="CT23" s="471"/>
      <c r="CU23" s="472" t="e">
        <f t="shared" ref="CU23:CU25" si="67">IF(CQ23&lt;31,"Đến 30",IF(AND(CQ23&gt;30,CQ23&lt;46),"31 - 45",IF(AND(CQ23&gt;45,CQ23&lt;70),"Trên 45")))</f>
        <v>#REF!</v>
      </c>
      <c r="CV23" s="203" t="str">
        <f t="shared" ref="CV23:CV25" si="68">IF(CW23&gt;0,"TD","--")</f>
        <v>--</v>
      </c>
      <c r="CW23" s="203"/>
      <c r="CX23" s="156"/>
      <c r="CY23" s="204"/>
      <c r="CZ23" s="205"/>
      <c r="DA23" s="159"/>
      <c r="DB23" s="159"/>
      <c r="DF23" s="150" t="s">
        <v>74</v>
      </c>
      <c r="DG23" s="150" t="s">
        <v>11</v>
      </c>
      <c r="DH23" s="150" t="s">
        <v>12</v>
      </c>
      <c r="DI23" s="150" t="s">
        <v>11</v>
      </c>
      <c r="DJ23" s="150" t="s">
        <v>12</v>
      </c>
      <c r="DK23" s="150">
        <v>2013</v>
      </c>
      <c r="DL23" s="150">
        <f t="shared" ref="DL23:DL25" si="69">(DG23+0)-(DN23+0)</f>
        <v>0</v>
      </c>
      <c r="DM23" s="150" t="str">
        <f t="shared" ref="DM23:DM25" si="70">IF(DL23&gt;0,"Sửa","- - -")</f>
        <v>- - -</v>
      </c>
      <c r="DN23" s="150" t="s">
        <v>11</v>
      </c>
      <c r="DO23" s="150" t="s">
        <v>12</v>
      </c>
      <c r="DP23" s="150" t="s">
        <v>11</v>
      </c>
      <c r="DQ23" s="150" t="s">
        <v>12</v>
      </c>
      <c r="DR23" s="150">
        <v>2013</v>
      </c>
      <c r="DT23" s="150" t="e">
        <f>IF(AND(#REF!&gt;0.34,#REF!=1,OR(#REF!=6.2,#REF!=5.75)),((#REF!-DS23)-2*0.34),IF(AND(#REF!&gt;0.33,#REF!=1,OR(#REF!=4.4,#REF!=4)),((#REF!-DS23)-2*0.33),"- - -"))</f>
        <v>#REF!</v>
      </c>
      <c r="DU23" s="150" t="e">
        <f>IF(CE23="Hưu",12*(CK23-#REF!)+(CJ23-#REF!),"---")</f>
        <v>#REF!</v>
      </c>
    </row>
    <row r="24" spans="1:126" s="548" customFormat="1" ht="34.5" customHeight="1" x14ac:dyDescent="0.25">
      <c r="A24" s="539">
        <v>177</v>
      </c>
      <c r="B24" s="157">
        <v>1</v>
      </c>
      <c r="C24" s="157" t="str">
        <f>IF(E24="Nam","Ông","Bà")</f>
        <v>Ông</v>
      </c>
      <c r="D24" s="171" t="s">
        <v>200</v>
      </c>
      <c r="E24" s="157" t="s">
        <v>43</v>
      </c>
      <c r="F24" s="172" t="s">
        <v>47</v>
      </c>
      <c r="G24" s="173" t="s">
        <v>12</v>
      </c>
      <c r="H24" s="173" t="s">
        <v>40</v>
      </c>
      <c r="I24" s="173" t="s">
        <v>12</v>
      </c>
      <c r="J24" s="174" t="s">
        <v>201</v>
      </c>
      <c r="K24" s="540" t="str">
        <f>IF(AND((M24+0)&gt;0.3,(M24+0)&lt;1.5),"CVụ","- -")</f>
        <v>CVụ</v>
      </c>
      <c r="L24" s="541" t="s">
        <v>145</v>
      </c>
      <c r="M24" s="541" t="str">
        <f>VLOOKUP(L24,'[1]- DLiêu Gốc -'!$B$2:$G$121,2,0)</f>
        <v>0,8</v>
      </c>
      <c r="N24" s="542"/>
      <c r="O24" s="543" t="s">
        <v>125</v>
      </c>
      <c r="P24" s="177" t="str">
        <f>VLOOKUP(U24,'[1]- DLiêu Gốc -'!$B$2:$G$56,5,0)</f>
        <v>A2</v>
      </c>
      <c r="Q24" s="177" t="str">
        <f>VLOOKUP(U24,'[1]- DLiêu Gốc -'!$B$2:$G$56,6,0)</f>
        <v>A2.1</v>
      </c>
      <c r="R24" s="178" t="s">
        <v>37</v>
      </c>
      <c r="S24" s="544" t="str">
        <f>IF(OR(U24="Kỹ thuật viên đánh máy",U24="Nhân viên đánh máy",U24="Nhân viên kỹ thuật",U24="Nhân viên văn thư",U24="Nhân viên phục vụ",U24="Lái xe cơ quan",U24="Nhân viên bảo vệ"),"Nhân viên",U24)</f>
        <v>Giảng viên chính (hạng II)</v>
      </c>
      <c r="T24" s="180" t="str">
        <f>IF(S24="Nhân viên","01.005",V24)</f>
        <v>V.07.01.02</v>
      </c>
      <c r="U24" s="181" t="s">
        <v>59</v>
      </c>
      <c r="V24" s="180" t="str">
        <f>VLOOKUP(U24,'[1]- DLiêu Gốc -'!$B$1:$G$121,2,0)</f>
        <v>V.07.01.02</v>
      </c>
      <c r="W24" s="182" t="str">
        <f>IF(OR(AND(AN24=36,AM24=3),AND(AN24=24,AM24=2),AND(AN24=12,AM24=1)),"Đến $",IF(AND(AN24&lt;12*10,OR(AND(AN24&gt;36,AM24=3),AND(AN24&gt;24,AN24&lt;120,AM24=2),AND(AN24&gt;12,AM24=1))),"Dừng $","Lương"))</f>
        <v>Lương</v>
      </c>
      <c r="X24" s="183">
        <v>8</v>
      </c>
      <c r="Y24" s="184" t="str">
        <f>IF(Z24&gt;0,"/")</f>
        <v>/</v>
      </c>
      <c r="Z24" s="185">
        <f>IF(OR(AR24=0.18,AR24=0.2),12,IF(AR24=0.31,10,IF(AR24=0.33,9,IF(AR24=0.34,8,IF(AR24=0.36,6)))))</f>
        <v>8</v>
      </c>
      <c r="AA24" s="186">
        <f>AQ24+(X24-1)*AR24</f>
        <v>6.7800000000000011</v>
      </c>
      <c r="AB24" s="187">
        <v>7</v>
      </c>
      <c r="AC24" s="185" t="str">
        <f>IF(Z24=X24,"%",IF(Z24&gt;X24,"/"))</f>
        <v>%</v>
      </c>
      <c r="AD24" s="187">
        <f>IF(AND(Z24=X24,AB24=4),5,IF(AND(Z24=X24,AB24&gt;4),AB24+1,IF(Z24&gt;X24,Z24)))</f>
        <v>8</v>
      </c>
      <c r="AE24" s="545" t="str">
        <f>IF(Z24=X24,"%",IF(Z24&gt;X24,AA24+AR24))</f>
        <v>%</v>
      </c>
      <c r="AF24" s="189" t="s">
        <v>11</v>
      </c>
      <c r="AG24" s="190" t="s">
        <v>12</v>
      </c>
      <c r="AH24" s="191" t="s">
        <v>133</v>
      </c>
      <c r="AI24" s="192" t="s">
        <v>12</v>
      </c>
      <c r="AJ24" s="193">
        <v>2015</v>
      </c>
      <c r="AK24" s="194"/>
      <c r="AL24" s="195"/>
      <c r="AM24" s="160">
        <f>IF(AND(Z24&gt;X24,OR(AR24=0.18,AR24=0.2)),2,IF(AND(Z24&gt;X24,OR(AR24=0.31,AR24=0.33,AR24=0.34,AR24=0.36)),3,IF(Z24=X24,1)))</f>
        <v>1</v>
      </c>
      <c r="AN24" s="160">
        <f>12*($W$2-AJ24)+($W$4-AH24)-AO24</f>
        <v>-24183</v>
      </c>
      <c r="AO24" s="154"/>
      <c r="AP24" s="196"/>
      <c r="AQ24" s="162">
        <f>VLOOKUP(U24,'[1]- DLiêu Gốc -'!$B$1:$E$56,3,0)</f>
        <v>4.4000000000000004</v>
      </c>
      <c r="AR24" s="156">
        <f>VLOOKUP(U24,'[1]- DLiêu Gốc -'!$B$1:$E$56,4,0)</f>
        <v>0.34</v>
      </c>
      <c r="AS24" s="197"/>
      <c r="AT24" s="198" t="str">
        <f>IF(AND(AU24&gt;3,BF24=12),"Đến %",IF(AND(AU24&gt;3,BF24&gt;12,BF24&lt;120),"Dừng %",IF(AND(AU24&gt;3,BF24&lt;12),"PCTN","o-o-o")))</f>
        <v>PCTN</v>
      </c>
      <c r="AU24" s="199">
        <v>34</v>
      </c>
      <c r="AV24" s="199" t="s">
        <v>41</v>
      </c>
      <c r="AW24" s="156">
        <f>IF(AU24&gt;3,AU24+1,0)</f>
        <v>35</v>
      </c>
      <c r="AX24" s="200" t="s">
        <v>41</v>
      </c>
      <c r="AY24" s="546">
        <v>9</v>
      </c>
      <c r="AZ24" s="547" t="s">
        <v>12</v>
      </c>
      <c r="BA24" s="159">
        <v>2014</v>
      </c>
      <c r="BB24" s="159"/>
      <c r="BC24" s="159"/>
      <c r="BD24" s="159"/>
      <c r="BE24" s="159">
        <v>9</v>
      </c>
      <c r="BF24" s="161">
        <f>IF(AU24&gt;3,(($AT$2-BA24)*12+($AT$4-AY24)-BC24),"- - -")</f>
        <v>-24177</v>
      </c>
      <c r="BG24" s="202" t="str">
        <f>IF(AND(CF24="Hưu",AU24&gt;3),12-(12*(CL24-BA24)+(CK24-AY24))-BC24,"- - -")</f>
        <v>- - -</v>
      </c>
      <c r="BH24" s="506" t="str">
        <f>IF(BK24="công chức, viên chức","CC,VC",IF(BK24="người lao động","NLĐ","- - -"))</f>
        <v>CC,VC</v>
      </c>
      <c r="BI24" s="556"/>
      <c r="BJ24" s="286"/>
      <c r="BK24" s="286" t="s">
        <v>10</v>
      </c>
      <c r="BL24" s="557" t="str">
        <f>IF(O24="Cơ sở Học viện Hành chính khu vực miền Trung","B",IF(O24="Phân viện Khu vực Tây Nguyên","C",IF(O24="Cơ sở Học viện Hành chính tại thành phố Hồ Chí Minh","D","A")))</f>
        <v>A</v>
      </c>
      <c r="BM24" s="557" t="str">
        <f>IF(AND(AB24&gt;0,X24&lt;(Z24-1),BN24&gt;0,BN24&lt;13,OR(AND(BT24="Cùg Ng",($BM$2-BP24)&gt;AM24),BT24="- - -")),"Sớm TT","=&gt; s")</f>
        <v>=&gt; s</v>
      </c>
      <c r="BN24" s="558" t="str">
        <f>IF(AM24=3,36-(12*($BM$2-AJ24)+(12-AH24)-AO24),IF(AM24=2,24-(12*($BM$2-AJ24)+(12-AH24)-AO24),"---"))</f>
        <v>---</v>
      </c>
      <c r="BO24" s="557" t="str">
        <f>IF(BP24&gt;1,"S","---")</f>
        <v>S</v>
      </c>
      <c r="BP24" s="286">
        <v>2008</v>
      </c>
      <c r="BQ24" s="286" t="s">
        <v>60</v>
      </c>
      <c r="BR24" s="286"/>
      <c r="BS24" s="286"/>
      <c r="BT24" s="557" t="str">
        <f>IF(T24=BQ24,"Cùg Ng","- - -")</f>
        <v>Cùg Ng</v>
      </c>
      <c r="BU24" s="288" t="str">
        <f>IF(BW24&gt;2000,"NN","- - -")</f>
        <v>- - -</v>
      </c>
      <c r="BV24" s="557"/>
      <c r="BW24" s="557"/>
      <c r="BX24" s="557"/>
      <c r="BY24" s="557"/>
      <c r="BZ24" s="557" t="str">
        <f>IF(CB24&gt;2000,"CN","- - -")</f>
        <v>- - -</v>
      </c>
      <c r="CA24" s="557"/>
      <c r="CB24" s="557"/>
      <c r="CC24" s="557"/>
      <c r="CE24" s="548" t="str">
        <f>IF(AND(CF24="Hưu",X24&lt;(Z24-1),CM24&gt;0,CM24&lt;18,OR(AU24&lt;4,AND(AU24&gt;3,OR(BG24&lt;3,BG24&gt;5)))),"Lg Sớm",IF(AND(CF24="Hưu",X24&gt;(Z24-2),OR(AR24=0.33,AR24=0.34),OR(AU24&lt;4,AND(AU24&gt;3,OR(BG24&lt;3,BG24&gt;5)))),"Nâng Ngạch",IF(AND(CF24="Hưu",AM24=1,CM24&gt;2,CM24&lt;6,OR(AU24&lt;4,AND(AU24&gt;3,OR(BG24&lt;3,BG24&gt;5)))),"Nâng PcVK cùng QĐ",IF(AND(CF24="Hưu",AU24&gt;3,BG24&gt;2,BG24&lt;6,X24&lt;(Z24-1),CM24&gt;17,OR(AM24&gt;1,AND(AM24=1,OR(CM24&lt;3,CM24&gt;5)))),"Nâng PcNG cùng QĐ",IF(AND(CF24="Hưu",X24&lt;(Z24-1),CM24&gt;0,CM24&lt;18,AU24&gt;3,BG24&gt;2,BG24&lt;6),"Nâng Lg Sớm +(PcNG cùng QĐ)",IF(AND(CF24="Hưu",X24&gt;(Z24-2),OR(AR24=0.33,AR24=0.34),AU24&gt;3,BG24&gt;2,BG24&lt;6),"Nâng Ngạch +(PcNG cùng QĐ)",IF(AND(CF24="Hưu",AM24=1,CM24&gt;2,CM24&lt;6,AU24&gt;3,BG24&gt;2,BG24&lt;6),"Nâng (PcVK +PcNG) cùng QĐ",("---"))))))))</f>
        <v>---</v>
      </c>
      <c r="CF24" s="548" t="str">
        <f>IF(AND(CQ24&gt;CP24,CQ24&lt;(CP24+13)),"Hưu",IF(AND(CQ24&gt;(CP24+12),CQ24&lt;1000),"Quá","/-/ /-/"))</f>
        <v>/-/ /-/</v>
      </c>
      <c r="CG24" s="548">
        <f>IF((H24+0)&lt;12,(H24+0)+1,IF((H24+0)=12,1,IF((H24+0)&gt;12,(H24+0)-12)))</f>
        <v>3</v>
      </c>
      <c r="CH24" s="548">
        <f>IF(OR((H24+0)=12,(H24+0)&gt;12),J24+CP24/12+1,IF(AND((H24+0)&gt;0,(H24+0)&lt;12),J24+CP24/12,"---"))</f>
        <v>2021</v>
      </c>
      <c r="CI24" s="548">
        <f>IF(AND(CG24&gt;3,CG24&lt;13),CG24-3,IF(CG24&lt;4,CG24-3+12))</f>
        <v>12</v>
      </c>
      <c r="CJ24" s="548">
        <f>IF(CI24&lt;CG24,CH24,IF(CI24&gt;CG24,CH24-1))</f>
        <v>2020</v>
      </c>
      <c r="CK24" s="548">
        <f>IF(CG24&gt;6,CG24-6,IF(CG24=6,12,IF(CG24&lt;6,CG24+6)))</f>
        <v>9</v>
      </c>
      <c r="CL24" s="548">
        <f>IF(CG24&gt;6,CH24,IF(CG24&lt;7,CH24-1))</f>
        <v>2020</v>
      </c>
      <c r="CM24" s="548" t="str">
        <f>IF(AND(CF24="Hưu",AM24=3),36+AO24-(12*(CL24-AJ24)+(CK24-AH24)),IF(AND(CF24="Hưu",AM24=2),24+AO24-(12*(CL24-AJ24)+(CK24-AH24)),IF(AND(CF24="Hưu",AM24=1),12+AO24-(12*(CL24-AJ24)+(CK24-AH24)),"- - -")))</f>
        <v>- - -</v>
      </c>
      <c r="CN24" s="548" t="str">
        <f>IF(CO24&gt;0,"K.Dài",". .")</f>
        <v>K.Dài</v>
      </c>
      <c r="CO24" s="548">
        <v>7</v>
      </c>
      <c r="CP24" s="548">
        <f>IF(E24="Nam",(60+CO24)*12,IF(E24="Nữ",(55+CO24)*12,))</f>
        <v>804</v>
      </c>
      <c r="CQ24" s="548">
        <f>12*($CF$4-J24)+(12-H24)</f>
        <v>-23438</v>
      </c>
      <c r="CR24" s="548">
        <f>$CV$4-J24</f>
        <v>-1954</v>
      </c>
      <c r="CS24" s="548" t="str">
        <f>IF(AND(CR24&lt;35,E24="Nam"),"Nam dưới 35",IF(AND(CR24&lt;30,E24="Nữ"),"Nữ dưới 30",IF(AND(CR24&gt;34,CR24&lt;46,E24="Nam"),"Nam từ 35 - 45",IF(AND(CR24&gt;29,CR24&lt;41,E24="Nữ"),"Nữ từ 30 - 40",IF(AND(CR24&gt;45,CR24&lt;56,E24="Nam"),"Nam trên 45 - 55",IF(AND(CR24&gt;40,CR24&lt;51,E24="Nữ"),"Nữ trên 40 - 50",IF(AND(CR24&gt;55,E24="Nam"),"Nam trên 55","Nữ trên 50")))))))</f>
        <v>Nam dưới 35</v>
      </c>
      <c r="CV24" s="548" t="str">
        <f>IF(CR24&lt;31,"Đến 30",IF(AND(CR24&gt;30,CR24&lt;46),"31 - 45",IF(AND(CR24&gt;45,CR24&lt;70),"Trên 45")))</f>
        <v>Đến 30</v>
      </c>
      <c r="CW24" s="548" t="str">
        <f>IF(CX24&gt;0,"TD","--")</f>
        <v>--</v>
      </c>
      <c r="DB24" s="548" t="s">
        <v>202</v>
      </c>
      <c r="DC24" s="548">
        <v>6</v>
      </c>
      <c r="DD24" s="548" t="s">
        <v>203</v>
      </c>
      <c r="DH24" s="548" t="s">
        <v>11</v>
      </c>
      <c r="DI24" s="548" t="s">
        <v>12</v>
      </c>
      <c r="DJ24" s="548" t="s">
        <v>133</v>
      </c>
      <c r="DK24" s="548" t="s">
        <v>12</v>
      </c>
      <c r="DL24" s="548">
        <v>2013</v>
      </c>
      <c r="DM24" s="548">
        <f>(DH24+0)-(DO24+0)</f>
        <v>0</v>
      </c>
      <c r="DN24" s="548" t="str">
        <f>IF(DM24&gt;0,"Sửa","- - -")</f>
        <v>- - -</v>
      </c>
      <c r="DO24" s="548" t="s">
        <v>11</v>
      </c>
      <c r="DP24" s="548" t="s">
        <v>12</v>
      </c>
      <c r="DQ24" s="548" t="s">
        <v>133</v>
      </c>
      <c r="DR24" s="548" t="s">
        <v>12</v>
      </c>
      <c r="DS24" s="548">
        <v>2013</v>
      </c>
      <c r="DU24" s="548" t="str">
        <f>IF(AND(AR24&gt;0.34,AB24=1,OR(AQ24=6.2,AQ24=5.75)),((AQ24-DT24)-2*0.34),IF(AND(AR24&gt;0.33,AB24=1,OR(AQ24=4.4,AQ24=4)),((AQ24-DT24)-2*0.33),"- - -"))</f>
        <v>- - -</v>
      </c>
      <c r="DV24" s="548" t="str">
        <f>IF(CF24="Hưu",12*(CL24-AJ24)+(CK24-AH24),"---")</f>
        <v>---</v>
      </c>
    </row>
    <row r="25" spans="1:126" s="437" customFormat="1" ht="28.5" customHeight="1" x14ac:dyDescent="0.25">
      <c r="A25" s="388">
        <v>64</v>
      </c>
      <c r="B25" s="389" t="s">
        <v>204</v>
      </c>
      <c r="C25" s="390"/>
      <c r="D25" s="391" t="s">
        <v>205</v>
      </c>
      <c r="E25" s="392"/>
      <c r="F25" s="393"/>
      <c r="G25" s="394"/>
      <c r="H25" s="394"/>
      <c r="I25" s="394"/>
      <c r="J25" s="394"/>
      <c r="K25" s="394"/>
      <c r="L25" s="394"/>
      <c r="M25" s="394"/>
      <c r="N25" s="395"/>
      <c r="O25" s="396"/>
      <c r="P25" s="397"/>
      <c r="Q25" s="397"/>
      <c r="R25" s="398"/>
      <c r="S25" s="399"/>
      <c r="T25" s="400"/>
      <c r="U25" s="393"/>
      <c r="V25" s="401"/>
      <c r="W25" s="402"/>
      <c r="X25" s="403"/>
      <c r="Y25" s="404"/>
      <c r="Z25" s="405"/>
      <c r="AA25" s="406"/>
      <c r="AB25" s="407"/>
      <c r="AC25" s="408"/>
      <c r="AD25" s="409"/>
      <c r="AE25" s="410"/>
      <c r="AF25" s="411"/>
      <c r="AG25" s="412"/>
      <c r="AH25" s="413"/>
      <c r="AI25" s="414"/>
      <c r="AJ25" s="643"/>
      <c r="AK25" s="415"/>
      <c r="AL25" s="416"/>
      <c r="AM25" s="417"/>
      <c r="AN25" s="418"/>
      <c r="AO25" s="419"/>
      <c r="AP25" s="402"/>
      <c r="AQ25" s="420"/>
      <c r="AR25" s="421"/>
      <c r="AS25" s="421"/>
      <c r="AT25" s="422" t="e">
        <v>#N/A</v>
      </c>
      <c r="AU25" s="423" t="e">
        <v>#N/A</v>
      </c>
      <c r="AV25" s="423"/>
      <c r="AW25" s="424"/>
      <c r="AX25" s="425"/>
      <c r="AY25" s="423"/>
      <c r="AZ25" s="426"/>
      <c r="BA25" s="426"/>
      <c r="BB25" s="426"/>
      <c r="BC25" s="426"/>
      <c r="BD25" s="426"/>
      <c r="BE25" s="426"/>
      <c r="BF25" s="427"/>
      <c r="BG25" s="644"/>
      <c r="BH25" s="428"/>
      <c r="BI25" s="269"/>
      <c r="BJ25" s="270" t="s">
        <v>10</v>
      </c>
      <c r="BK25" s="271" t="e">
        <f>IF(#REF!="Cơ sở Học viện Hành chính khu vực miền Trung","B",IF(#REF!="Phân viện Khu vực Tây Nguyên","C",IF(#REF!="Cơ sở Học viện Hành chính tại thành phố Hồ Chí Minh","D","A")))</f>
        <v>#REF!</v>
      </c>
      <c r="BL25" s="270" t="e">
        <f>IF(AND(#REF!&gt;0,#REF!&lt;(#REF!-1),BM25&gt;0,BM25&lt;13,OR(AND(BS25="Cùg Ng",(#REF!-BO25)&gt;#REF!),BS25="- - -")),"Sớm TT","=&gt; s")</f>
        <v>#REF!</v>
      </c>
      <c r="BM25" s="272" t="e">
        <f>IF(#REF!=3,36-(12*(#REF!-#REF!)+(12-#REF!)-#REF!),IF(#REF!=2,24-(12*(#REF!-#REF!)+(12-#REF!)-#REF!),"---"))</f>
        <v>#REF!</v>
      </c>
      <c r="BN25" s="273" t="str">
        <f t="shared" si="58"/>
        <v>---</v>
      </c>
      <c r="BO25" s="274"/>
      <c r="BP25" s="275"/>
      <c r="BQ25" s="275"/>
      <c r="BR25" s="275"/>
      <c r="BS25" s="274" t="e">
        <f>IF(#REF!=BP25,"Cùg Ng","- - -")</f>
        <v>#REF!</v>
      </c>
      <c r="BT25" s="273" t="str">
        <f t="shared" si="59"/>
        <v>NN</v>
      </c>
      <c r="BU25" s="270">
        <v>1</v>
      </c>
      <c r="BV25" s="270">
        <v>2012</v>
      </c>
      <c r="BW25" s="276"/>
      <c r="BX25" s="276"/>
      <c r="BY25" s="276" t="str">
        <f t="shared" si="60"/>
        <v>- - -</v>
      </c>
      <c r="BZ25" s="276"/>
      <c r="CA25" s="276"/>
      <c r="CB25" s="276"/>
      <c r="CC25" s="276"/>
      <c r="CD25" s="654" t="e">
        <f>IF(AND(CE25="Hưu",#REF!&lt;(#REF!-1),CL25&gt;0,CL25&lt;18,OR(#REF!&lt;4,AND(#REF!&gt;3,OR(#REF!&lt;3,#REF!&gt;5)))),"Lg Sớm",IF(AND(CE25="Hưu",#REF!&gt;(#REF!-2),OR(#REF!=0.33,#REF!=0.34),OR(#REF!&lt;4,AND(#REF!&gt;3,OR(#REF!&lt;3,#REF!&gt;5)))),"Nâng Ngạch",IF(AND(CE25="Hưu",#REF!=1,CL25&gt;2,CL25&lt;6,OR(#REF!&lt;4,AND(#REF!&gt;3,OR(#REF!&lt;3,#REF!&gt;5)))),"Nâng PcVK cùng QĐ",IF(AND(CE25="Hưu",#REF!&gt;3,#REF!&gt;2,#REF!&lt;6,#REF!&lt;(#REF!-1),CL25&gt;17,OR(#REF!&gt;1,AND(#REF!=1,OR(CL25&lt;3,CL25&gt;5)))),"Nâng PcNG cùng QĐ",IF(AND(CE25="Hưu",#REF!&lt;(#REF!-1),CL25&gt;0,CL25&lt;18,#REF!&gt;3,#REF!&gt;2,#REF!&lt;6),"Nâng Lg Sớm +(PcNG cùng QĐ)",IF(AND(CE25="Hưu",#REF!&gt;(#REF!-2),OR(#REF!=0.33,#REF!=0.34),#REF!&gt;3,#REF!&gt;2,#REF!&lt;6),"Nâng Ngạch +(PcNG cùng QĐ)",IF(AND(CE25="Hưu",#REF!=1,CL25&gt;2,CL25&lt;6,#REF!&gt;3,#REF!&gt;2,#REF!&lt;6),"Nâng (PcVK +PcNG) cùng QĐ",("---"))))))))</f>
        <v>#REF!</v>
      </c>
      <c r="CE25" s="654" t="e">
        <f t="shared" si="61"/>
        <v>#REF!</v>
      </c>
      <c r="CF25" s="654" t="e">
        <f>IF((#REF!+0)&lt;12,(#REF!+0)+1,IF((#REF!+0)=12,1,IF((#REF!+0)&gt;12,(#REF!+0)-12)))</f>
        <v>#REF!</v>
      </c>
      <c r="CG25" s="654" t="e">
        <f>IF(OR((#REF!+0)=12,(#REF!+0)&gt;12),#REF!+CO25/12+1,IF(AND((#REF!+0)&gt;0,(#REF!+0)&lt;12),#REF!+CO25/12,"---"))</f>
        <v>#REF!</v>
      </c>
      <c r="CH25" s="654" t="e">
        <f t="shared" si="62"/>
        <v>#REF!</v>
      </c>
      <c r="CI25" s="654" t="e">
        <f t="shared" si="63"/>
        <v>#REF!</v>
      </c>
      <c r="CJ25" s="654" t="e">
        <f t="shared" si="64"/>
        <v>#REF!</v>
      </c>
      <c r="CK25" s="654" t="e">
        <f t="shared" si="65"/>
        <v>#REF!</v>
      </c>
      <c r="CL25" s="654" t="e">
        <f>IF(AND(CE25="Hưu",#REF!=3),36+#REF!-(12*(CK25-#REF!)+(CJ25-#REF!)),IF(AND(CE25="Hưu",#REF!=2),24+#REF!-(12*(CK25-#REF!)+(CJ25-#REF!)),IF(AND(CE25="Hưu",#REF!=1),12+#REF!-(12*(CK25-#REF!)+(CJ25-#REF!)),"- - -")))</f>
        <v>#REF!</v>
      </c>
      <c r="CM25" s="655" t="str">
        <f t="shared" si="66"/>
        <v>. .</v>
      </c>
      <c r="CN25" s="656"/>
      <c r="CO25" s="657" t="e">
        <f>IF(#REF!="Nam",(60+CN25)*12,IF(#REF!="Nữ",(55+CN25)*12,))</f>
        <v>#REF!</v>
      </c>
      <c r="CP25" s="658" t="e">
        <f>12*(#REF!-#REF!)+(12-#REF!)</f>
        <v>#REF!</v>
      </c>
      <c r="CQ25" s="659" t="e">
        <f>#REF!-#REF!</f>
        <v>#REF!</v>
      </c>
      <c r="CR25" s="429" t="e">
        <f>IF(AND(CQ25&lt;35,#REF!="Nam"),"Nam dưới 35",IF(AND(CQ25&lt;30,#REF!="Nữ"),"Nữ dưới 30",IF(AND(CQ25&gt;34,CQ25&lt;46,#REF!="Nam"),"Nam từ 35 - 45",IF(AND(CQ25&gt;29,CQ25&lt;41,#REF!="Nữ"),"Nữ từ 30 - 40",IF(AND(CQ25&gt;45,CQ25&lt;56,#REF!="Nam"),"Nam trên 45 - 55",IF(AND(CQ25&gt;40,CQ25&lt;51,#REF!="Nữ"),"Nữ trên 40 - 50",IF(AND(CQ25&gt;55,#REF!="Nam"),"Nam trên 55","Nữ trên 50")))))))</f>
        <v>#REF!</v>
      </c>
      <c r="CS25" s="428"/>
      <c r="CT25" s="430"/>
      <c r="CU25" s="431" t="e">
        <f t="shared" si="67"/>
        <v>#REF!</v>
      </c>
      <c r="CV25" s="432" t="str">
        <f t="shared" si="68"/>
        <v>--</v>
      </c>
      <c r="CW25" s="432"/>
      <c r="CX25" s="433"/>
      <c r="CY25" s="434"/>
      <c r="CZ25" s="435"/>
      <c r="DA25" s="436"/>
      <c r="DB25" s="436"/>
      <c r="DG25" s="437" t="s">
        <v>11</v>
      </c>
      <c r="DH25" s="437" t="s">
        <v>12</v>
      </c>
      <c r="DI25" s="437" t="s">
        <v>11</v>
      </c>
      <c r="DJ25" s="437" t="s">
        <v>12</v>
      </c>
      <c r="DK25" s="437">
        <v>2012</v>
      </c>
      <c r="DL25" s="437">
        <f t="shared" si="69"/>
        <v>0</v>
      </c>
      <c r="DM25" s="437" t="str">
        <f t="shared" si="70"/>
        <v>- - -</v>
      </c>
      <c r="DN25" s="437" t="s">
        <v>11</v>
      </c>
      <c r="DO25" s="437" t="s">
        <v>12</v>
      </c>
      <c r="DP25" s="437" t="s">
        <v>11</v>
      </c>
      <c r="DQ25" s="437" t="s">
        <v>12</v>
      </c>
      <c r="DR25" s="437">
        <v>2012</v>
      </c>
      <c r="DS25" s="437">
        <v>5.76</v>
      </c>
      <c r="DT25" s="437" t="e">
        <f>IF(AND(#REF!&gt;0.34,#REF!=1,OR(#REF!=6.2,#REF!=5.75)),((#REF!-DS25)-2*0.34),IF(AND(#REF!&gt;0.33,#REF!=1,OR(#REF!=4.4,#REF!=4)),((#REF!-DS25)-2*0.33),"- - -"))</f>
        <v>#REF!</v>
      </c>
      <c r="DU25" s="437" t="e">
        <f>IF(CE25="Hưu",12*(CK25-#REF!)+(CJ25-#REF!),"---")</f>
        <v>#REF!</v>
      </c>
    </row>
    <row r="26" spans="1:126" s="378" customFormat="1" ht="36" customHeight="1" x14ac:dyDescent="0.25">
      <c r="A26" s="386">
        <v>90</v>
      </c>
      <c r="B26" s="359">
        <v>1</v>
      </c>
      <c r="C26" s="359" t="str">
        <f t="shared" ref="C26:C41" si="71">IF(E26="Nam","Ông","Bà")</f>
        <v>Bà</v>
      </c>
      <c r="D26" s="473" t="s">
        <v>206</v>
      </c>
      <c r="E26" s="359" t="s">
        <v>35</v>
      </c>
      <c r="F26" s="474" t="s">
        <v>134</v>
      </c>
      <c r="G26" s="475" t="s">
        <v>12</v>
      </c>
      <c r="H26" s="475" t="s">
        <v>44</v>
      </c>
      <c r="I26" s="475" t="s">
        <v>12</v>
      </c>
      <c r="J26" s="476">
        <v>1978</v>
      </c>
      <c r="K26" s="477"/>
      <c r="L26" s="477"/>
      <c r="M26" s="477" t="e">
        <f>VLOOKUP(L26,'[1]- DLiêu Gốc -'!$B$2:$G$121,2,0)</f>
        <v>#N/A</v>
      </c>
      <c r="N26" s="478"/>
      <c r="O26" s="479" t="s">
        <v>48</v>
      </c>
      <c r="P26" s="480" t="str">
        <f>VLOOKUP(U26,'[1]- DLiêu Gốc -'!$B$2:$G$56,5,0)</f>
        <v>A1</v>
      </c>
      <c r="Q26" s="480" t="str">
        <f>VLOOKUP(U26,'[1]- DLiêu Gốc -'!$B$2:$G$56,6,0)</f>
        <v>- - -</v>
      </c>
      <c r="R26" s="481" t="s">
        <v>37</v>
      </c>
      <c r="S26" s="482" t="str">
        <f t="shared" ref="S26:S41" si="72">IF(OR(U26="Kỹ thuật viên đánh máy",U26="Nhân viên đánh máy",U26="Nhân viên kỹ thuật",U26="Nhân viên văn thư",U26="Nhân viên phục vụ",U26="Lái xe cơ quan",U26="Nhân viên bảo vệ"),"Nhân viên",U26)</f>
        <v>Giảng viên (hạng III)</v>
      </c>
      <c r="T26" s="483" t="str">
        <f t="shared" ref="T26:T41" si="73">IF(S26="Nhân viên","01.005",V26)</f>
        <v>V.07.01.03</v>
      </c>
      <c r="U26" s="484" t="s">
        <v>38</v>
      </c>
      <c r="V26" s="483" t="str">
        <f>VLOOKUP(U26,'[1]- DLiêu Gốc -'!$B$1:$G$121,2,0)</f>
        <v>V.07.01.03</v>
      </c>
      <c r="W26" s="485" t="str">
        <f t="shared" ref="W26:W41" si="74">IF(OR(AND(AN26=36,AM26=3),AND(AN26=24,AM26=2),AND(AN26=12,AM26=1)),"Đến $",IF(AND(AN26&lt;12*10,OR(AND(AN26&gt;36,AM26=3),AND(AN26&gt;24,AN26&lt;120,AM26=2),AND(AN26&gt;12,AM26=1))),"Dừng $","Lương"))</f>
        <v>Lương</v>
      </c>
      <c r="X26" s="486">
        <v>2</v>
      </c>
      <c r="Y26" s="487" t="str">
        <f t="shared" ref="Y26:Y41" si="75">IF(Z26&gt;0,"/")</f>
        <v>/</v>
      </c>
      <c r="Z26" s="488">
        <f t="shared" ref="Z26:Z41" si="76">IF(OR(AR26=0.18,AR26=0.2),12,IF(AR26=0.31,10,IF(AR26=0.33,9,IF(AR26=0.34,8,IF(AR26=0.36,6)))))</f>
        <v>9</v>
      </c>
      <c r="AA26" s="365">
        <f t="shared" ref="AA26:AA41" si="77">AQ26+(X26-1)*AR26</f>
        <v>2.67</v>
      </c>
      <c r="AB26" s="489">
        <f t="shared" ref="AB26:AB41" si="78">X26+1</f>
        <v>3</v>
      </c>
      <c r="AC26" s="477" t="str">
        <f t="shared" ref="AC26:AC41" si="79">IF(Z26=X26,"%",IF(Z26&gt;X26,"/"))</f>
        <v>/</v>
      </c>
      <c r="AD26" s="488">
        <f t="shared" ref="AD26:AD41" si="80">IF(AND(Z26=X26,AB26=4),5,IF(AND(Z26=X26,AB26&gt;4),AB26+1,IF(Z26&gt;X26,Z26)))</f>
        <v>9</v>
      </c>
      <c r="AE26" s="490">
        <f t="shared" ref="AE26:AE41" si="81">IF(Z26=X26,"%",IF(Z26&gt;X26,AA26+AR26))</f>
        <v>3</v>
      </c>
      <c r="AF26" s="491" t="s">
        <v>11</v>
      </c>
      <c r="AG26" s="492" t="s">
        <v>12</v>
      </c>
      <c r="AH26" s="376" t="s">
        <v>133</v>
      </c>
      <c r="AI26" s="493" t="s">
        <v>12</v>
      </c>
      <c r="AJ26" s="494">
        <v>2015</v>
      </c>
      <c r="AK26" s="495"/>
      <c r="AL26" s="496"/>
      <c r="AM26" s="497">
        <f t="shared" ref="AM26:AM41" si="82">IF(AND(Z26&gt;X26,OR(AR26=0.18,AR26=0.2)),2,IF(AND(Z26&gt;X26,OR(AR26=0.31,AR26=0.33,AR26=0.34,AR26=0.36)),3,IF(Z26=X26,1)))</f>
        <v>3</v>
      </c>
      <c r="AN26" s="497">
        <f t="shared" ref="AN26:AN41" si="83">12*($W$2-AJ26)+($W$4-AH26)-AO26</f>
        <v>-24183</v>
      </c>
      <c r="AO26" s="358"/>
      <c r="AP26" s="498"/>
      <c r="AQ26" s="371">
        <f>VLOOKUP(U26,'[1]- DLiêu Gốc -'!$B$1:$E$56,3,0)</f>
        <v>2.34</v>
      </c>
      <c r="AR26" s="369">
        <f>VLOOKUP(U26,'[1]- DLiêu Gốc -'!$B$1:$E$56,4,0)</f>
        <v>0.33</v>
      </c>
      <c r="AS26" s="499"/>
      <c r="AT26" s="500" t="str">
        <f t="shared" ref="AT26:AT41" si="84">IF(AND(AU26&gt;3,BF26=12),"Đến %",IF(AND(AU26&gt;3,BF26&gt;12,BF26&lt;120),"Dừng %",IF(AND(AU26&gt;3,BF26&lt;12),"PCTN","o-o-o")))</f>
        <v>o-o-o</v>
      </c>
      <c r="AU26" s="368"/>
      <c r="AV26" s="368"/>
      <c r="AW26" s="369">
        <f t="shared" ref="AW26:AW41" si="85">IF(AU26&gt;3,AU26+1,0)</f>
        <v>0</v>
      </c>
      <c r="AX26" s="501"/>
      <c r="AY26" s="502"/>
      <c r="AZ26" s="370"/>
      <c r="BA26" s="370"/>
      <c r="BB26" s="370"/>
      <c r="BC26" s="370"/>
      <c r="BD26" s="370"/>
      <c r="BE26" s="370"/>
      <c r="BF26" s="380" t="str">
        <f t="shared" ref="BF26:BF41" si="86">IF(AU26&gt;3,(($AT$2-BA26)*12+($AT$4-AY26)-BC26),"- - -")</f>
        <v>- - -</v>
      </c>
      <c r="BG26" s="503" t="str">
        <f t="shared" ref="BG26:BG41" si="87">IF(AND(CF26="Hưu",AU26&gt;3),12-(12*(CL26-BA26)+(CK26-AY26))-BC26,"- - -")</f>
        <v>- - -</v>
      </c>
      <c r="BH26" s="660" t="str">
        <f t="shared" ref="BH26:BH41" si="88">IF(BK26="công chức, viên chức","CC,VC",IF(BK26="người lao động","NLĐ","- - -"))</f>
        <v>NLĐ</v>
      </c>
      <c r="BI26" s="282"/>
      <c r="BJ26" s="269"/>
      <c r="BK26" s="270" t="s">
        <v>53</v>
      </c>
      <c r="BL26" s="271" t="str">
        <f t="shared" ref="BL26:BL41" si="89">IF(O26="Cơ sở Học viện Hành chính khu vực miền Trung","B",IF(O26="Phân viện Khu vực Tây Nguyên","C",IF(O26="Cơ sở Học viện Hành chính tại thành phố Hồ Chí Minh","D","A")))</f>
        <v>A</v>
      </c>
      <c r="BM26" s="270" t="str">
        <f t="shared" ref="BM26:BM41" si="90">IF(AND(AB26&gt;0,X26&lt;(Z26-1),BN26&gt;0,BN26&lt;13,OR(AND(BT26="Cùg Ng",($BM$2-BP26)&gt;AM26),BT26="- - -")),"Sớm TT","=&gt; s")</f>
        <v>=&gt; s</v>
      </c>
      <c r="BN26" s="272">
        <f t="shared" ref="BN26:BN41" si="91">IF(AM26=3,36-(12*($BM$2-AJ26)+(12-AH26)-AO26),IF(AM26=2,24-(12*($BM$2-AJ26)+(12-AH26)-AO26),"---"))</f>
        <v>24207</v>
      </c>
      <c r="BO26" s="273" t="str">
        <f t="shared" ref="BO26:BO41" si="92">IF(BP26&gt;1,"S","---")</f>
        <v>---</v>
      </c>
      <c r="BP26" s="274"/>
      <c r="BQ26" s="275"/>
      <c r="BR26" s="275"/>
      <c r="BS26" s="275"/>
      <c r="BT26" s="274" t="str">
        <f t="shared" ref="BT26:BT41" si="93">IF(T26=BQ26,"Cùg Ng","- - -")</f>
        <v>- - -</v>
      </c>
      <c r="BU26" s="273" t="str">
        <f t="shared" ref="BU26:BU41" si="94">IF(BW26&gt;2000,"NN","- - -")</f>
        <v>- - -</v>
      </c>
      <c r="BV26" s="270"/>
      <c r="BW26" s="270"/>
      <c r="BX26" s="276"/>
      <c r="BY26" s="276"/>
      <c r="BZ26" s="276" t="str">
        <f t="shared" ref="BZ26:BZ41" si="95">IF(CB26&gt;2000,"CN","- - -")</f>
        <v>- - -</v>
      </c>
      <c r="CA26" s="276"/>
      <c r="CB26" s="276"/>
      <c r="CC26" s="276"/>
      <c r="CE26" s="378" t="str">
        <f t="shared" ref="CE26:CE35" si="96">IF(AND(CF26="Hưu",X26&lt;(Z26-1),CM26&gt;0,CM26&lt;18,OR(AU26&lt;4,AND(AU26&gt;3,OR(BG26&lt;3,BG26&gt;5)))),"Lg Sớm",IF(AND(CF26="Hưu",X26&gt;(Z26-2),OR(AR26=0.33,AR26=0.34),OR(AU26&lt;4,AND(AU26&gt;3,OR(BG26&lt;3,BG26&gt;5)))),"Nâng Ngạch",IF(AND(CF26="Hưu",AM26=1,CM26&gt;2,CM26&lt;6,OR(AU26&lt;4,AND(AU26&gt;3,OR(BG26&lt;3,BG26&gt;5)))),"Nâng PcVK cùng QĐ",IF(AND(CF26="Hưu",AU26&gt;3,BG26&gt;2,BG26&lt;6,X26&lt;(Z26-1),CM26&gt;17,OR(AM26&gt;1,AND(AM26=1,OR(CM26&lt;3,CM26&gt;5)))),"Nâng PcNG cùng QĐ",IF(AND(CF26="Hưu",X26&lt;(Z26-1),CM26&gt;0,CM26&lt;18,AU26&gt;3,BG26&gt;2,BG26&lt;6),"Nâng Lg Sớm +(PcNG cùng QĐ)",IF(AND(CF26="Hưu",X26&gt;(Z26-2),OR(AR26=0.33,AR26=0.34),AU26&gt;3,BG26&gt;2,BG26&lt;6),"Nâng Ngạch +(PcNG cùng QĐ)",IF(AND(CF26="Hưu",AM26=1,CM26&gt;2,CM26&lt;6,AU26&gt;3,BG26&gt;2,BG26&lt;6),"Nâng (PcVK +PcNG) cùng QĐ",("---"))))))))</f>
        <v>---</v>
      </c>
      <c r="CF26" s="378" t="str">
        <f t="shared" ref="CF26:CF41" si="97">IF(AND(CQ26&gt;CP26,CQ26&lt;(CP26+13)),"Hưu",IF(AND(CQ26&gt;(CP26+12),CQ26&lt;1000),"Quá","/-/ /-/"))</f>
        <v>/-/ /-/</v>
      </c>
      <c r="CG26" s="378">
        <f t="shared" ref="CG26:CG41" si="98">IF((H26+0)&lt;12,(H26+0)+1,IF((H26+0)=12,1,IF((H26+0)&gt;12,(H26+0)-12)))</f>
        <v>12</v>
      </c>
      <c r="CH26" s="378">
        <f t="shared" ref="CH26:CH41" si="99">IF(OR((H26+0)=12,(H26+0)&gt;12),J26+CP26/12+1,IF(AND((H26+0)&gt;0,(H26+0)&lt;12),J26+CP26/12,"---"))</f>
        <v>2033</v>
      </c>
      <c r="CI26" s="378">
        <f t="shared" ref="CI26:CI41" si="100">IF(AND(CG26&gt;3,CG26&lt;13),CG26-3,IF(CG26&lt;4,CG26-3+12))</f>
        <v>9</v>
      </c>
      <c r="CJ26" s="378">
        <f t="shared" ref="CJ26:CJ41" si="101">IF(CI26&lt;CG26,CH26,IF(CI26&gt;CG26,CH26-1))</f>
        <v>2033</v>
      </c>
      <c r="CK26" s="378">
        <f t="shared" ref="CK26:CK41" si="102">IF(CG26&gt;6,CG26-6,IF(CG26=6,12,IF(CG26&lt;6,CG26+6)))</f>
        <v>6</v>
      </c>
      <c r="CL26" s="378">
        <f t="shared" ref="CL26:CL41" si="103">IF(CG26&gt;6,CH26,IF(CG26&lt;7,CH26-1))</f>
        <v>2033</v>
      </c>
      <c r="CM26" s="378" t="str">
        <f t="shared" ref="CM26:CM41" si="104">IF(AND(CF26="Hưu",AM26=3),36+AO26-(12*(CL26-AJ26)+(CK26-AH26)),IF(AND(CF26="Hưu",AM26=2),24+AO26-(12*(CL26-AJ26)+(CK26-AH26)),IF(AND(CF26="Hưu",AM26=1),12+AO26-(12*(CL26-AJ26)+(CK26-AH26)),"- - -")))</f>
        <v>- - -</v>
      </c>
      <c r="CN26" s="619" t="str">
        <f t="shared" ref="CN26:CN41" si="105">IF(CO26&gt;0,"K.Dài",". .")</f>
        <v>. .</v>
      </c>
      <c r="CO26" s="620"/>
      <c r="CP26" s="497">
        <f t="shared" ref="CP26:CP41" si="106">IF(E26="Nam",(60+CO26)*12,IF(E26="Nữ",(55+CO26)*12,))</f>
        <v>660</v>
      </c>
      <c r="CQ26" s="379">
        <f t="shared" ref="CQ26:CQ41" si="107">12*($CF$4-J26)+(12-H26)</f>
        <v>-23735</v>
      </c>
      <c r="CR26" s="498">
        <f t="shared" ref="CR26:CR41" si="108">$CV$4-J26</f>
        <v>-1978</v>
      </c>
      <c r="CS26" s="371" t="str">
        <f t="shared" ref="CS26:CS41" si="109">IF(AND(CR26&lt;35,E26="Nam"),"Nam dưới 35",IF(AND(CR26&lt;30,E26="Nữ"),"Nữ dưới 30",IF(AND(CR26&gt;34,CR26&lt;46,E26="Nam"),"Nam từ 35 - 45",IF(AND(CR26&gt;29,CR26&lt;41,E26="Nữ"),"Nữ từ 30 - 40",IF(AND(CR26&gt;45,CR26&lt;56,E26="Nam"),"Nam trên 45 - 55",IF(AND(CR26&gt;40,CR26&lt;51,E26="Nữ"),"Nữ trên 40 - 50",IF(AND(CR26&gt;55,E26="Nam"),"Nam trên 55","Nữ trên 50")))))))</f>
        <v>Nữ dưới 30</v>
      </c>
      <c r="CT26" s="369"/>
      <c r="CU26" s="499"/>
      <c r="CV26" s="500" t="str">
        <f t="shared" ref="CV26:CV41" si="110">IF(CR26&lt;31,"Đến 30",IF(AND(CR26&gt;30,CR26&lt;46),"31 - 45",IF(AND(CR26&gt;45,CR26&lt;70),"Trên 45")))</f>
        <v>Đến 30</v>
      </c>
      <c r="CW26" s="368" t="str">
        <f t="shared" ref="CW26:CW41" si="111">IF(CX26&gt;0,"TD","--")</f>
        <v>--</v>
      </c>
      <c r="CX26" s="368"/>
      <c r="CY26" s="369"/>
      <c r="CZ26" s="505"/>
      <c r="DA26" s="381"/>
      <c r="DB26" s="370"/>
      <c r="DC26" s="370"/>
      <c r="DH26" s="378" t="s">
        <v>11</v>
      </c>
      <c r="DI26" s="378" t="s">
        <v>12</v>
      </c>
      <c r="DJ26" s="378" t="s">
        <v>133</v>
      </c>
      <c r="DK26" s="378" t="s">
        <v>12</v>
      </c>
      <c r="DL26" s="378">
        <v>2012</v>
      </c>
      <c r="DM26" s="378">
        <f t="shared" ref="DM26:DM41" si="112">(DH26+0)-(DO26+0)</f>
        <v>0</v>
      </c>
      <c r="DN26" s="378" t="str">
        <f t="shared" ref="DN26:DN41" si="113">IF(DM26&gt;0,"Sửa","- - -")</f>
        <v>- - -</v>
      </c>
      <c r="DO26" s="378" t="s">
        <v>11</v>
      </c>
      <c r="DP26" s="378" t="s">
        <v>12</v>
      </c>
      <c r="DQ26" s="378" t="s">
        <v>133</v>
      </c>
      <c r="DR26" s="378" t="s">
        <v>12</v>
      </c>
      <c r="DS26" s="378">
        <v>2012</v>
      </c>
      <c r="DU26" s="378" t="str">
        <f t="shared" ref="DU26:DU41" si="114">IF(AND(AR26&gt;0.34,AB26=1,OR(AQ26=6.2,AQ26=5.75)),((AQ26-DT26)-2*0.34),IF(AND(AR26&gt;0.33,AB26=1,OR(AQ26=4.4,AQ26=4)),((AQ26-DT26)-2*0.33),"- - -"))</f>
        <v>- - -</v>
      </c>
      <c r="DV26" s="378" t="str">
        <f t="shared" ref="DV26:DV41" si="115">IF(CF26="Hưu",12*(CL26-AJ26)+(CK26-AH26),"---")</f>
        <v>---</v>
      </c>
    </row>
    <row r="27" spans="1:126" s="150" customFormat="1" ht="30" customHeight="1" x14ac:dyDescent="0.25">
      <c r="A27" s="564">
        <v>94</v>
      </c>
      <c r="B27" s="157">
        <v>2</v>
      </c>
      <c r="C27" s="157" t="str">
        <f t="shared" si="71"/>
        <v>Bà</v>
      </c>
      <c r="D27" s="171" t="s">
        <v>207</v>
      </c>
      <c r="E27" s="157" t="s">
        <v>35</v>
      </c>
      <c r="F27" s="172" t="s">
        <v>208</v>
      </c>
      <c r="G27" s="173" t="s">
        <v>12</v>
      </c>
      <c r="H27" s="173" t="s">
        <v>11</v>
      </c>
      <c r="I27" s="173" t="s">
        <v>12</v>
      </c>
      <c r="J27" s="174">
        <v>1975</v>
      </c>
      <c r="K27" s="565"/>
      <c r="L27" s="565"/>
      <c r="M27" s="565" t="e">
        <f>VLOOKUP(L27,'[1]- DLiêu Gốc -'!$B$2:$G$121,2,0)</f>
        <v>#N/A</v>
      </c>
      <c r="N27" s="549"/>
      <c r="O27" s="176" t="s">
        <v>48</v>
      </c>
      <c r="P27" s="177" t="str">
        <f>VLOOKUP(U27,'[1]- DLiêu Gốc -'!$B$2:$G$56,5,0)</f>
        <v>A1</v>
      </c>
      <c r="Q27" s="177" t="str">
        <f>VLOOKUP(U27,'[1]- DLiêu Gốc -'!$B$2:$G$56,6,0)</f>
        <v>- - -</v>
      </c>
      <c r="R27" s="178" t="s">
        <v>37</v>
      </c>
      <c r="S27" s="179" t="str">
        <f t="shared" si="72"/>
        <v>Giảng viên (hạng III)</v>
      </c>
      <c r="T27" s="180" t="str">
        <f t="shared" si="73"/>
        <v>V.07.01.03</v>
      </c>
      <c r="U27" s="181" t="s">
        <v>38</v>
      </c>
      <c r="V27" s="180" t="str">
        <f>VLOOKUP(U27,'[1]- DLiêu Gốc -'!$B$1:$G$121,2,0)</f>
        <v>V.07.01.03</v>
      </c>
      <c r="W27" s="182" t="str">
        <f t="shared" si="74"/>
        <v>Lương</v>
      </c>
      <c r="X27" s="183">
        <v>4</v>
      </c>
      <c r="Y27" s="184" t="str">
        <f t="shared" si="75"/>
        <v>/</v>
      </c>
      <c r="Z27" s="185">
        <f t="shared" si="76"/>
        <v>9</v>
      </c>
      <c r="AA27" s="186">
        <f t="shared" si="77"/>
        <v>3.33</v>
      </c>
      <c r="AB27" s="187">
        <f t="shared" si="78"/>
        <v>5</v>
      </c>
      <c r="AC27" s="565" t="str">
        <f t="shared" si="79"/>
        <v>/</v>
      </c>
      <c r="AD27" s="185">
        <f t="shared" si="80"/>
        <v>9</v>
      </c>
      <c r="AE27" s="188">
        <f t="shared" si="81"/>
        <v>3.66</v>
      </c>
      <c r="AF27" s="189" t="s">
        <v>11</v>
      </c>
      <c r="AG27" s="190" t="s">
        <v>12</v>
      </c>
      <c r="AH27" s="191" t="s">
        <v>133</v>
      </c>
      <c r="AI27" s="192" t="s">
        <v>12</v>
      </c>
      <c r="AJ27" s="193">
        <v>2015</v>
      </c>
      <c r="AK27" s="194"/>
      <c r="AL27" s="195"/>
      <c r="AM27" s="160">
        <f t="shared" si="82"/>
        <v>3</v>
      </c>
      <c r="AN27" s="160">
        <f t="shared" si="83"/>
        <v>-24183</v>
      </c>
      <c r="AO27" s="154"/>
      <c r="AP27" s="196"/>
      <c r="AQ27" s="162">
        <f>VLOOKUP(U27,'[1]- DLiêu Gốc -'!$B$1:$E$56,3,0)</f>
        <v>2.34</v>
      </c>
      <c r="AR27" s="156">
        <f>VLOOKUP(U27,'[1]- DLiêu Gốc -'!$B$1:$E$56,4,0)</f>
        <v>0.33</v>
      </c>
      <c r="AS27" s="197"/>
      <c r="AT27" s="198" t="str">
        <f t="shared" si="84"/>
        <v>PCTN</v>
      </c>
      <c r="AU27" s="199">
        <v>11</v>
      </c>
      <c r="AV27" s="199" t="s">
        <v>41</v>
      </c>
      <c r="AW27" s="156">
        <f t="shared" si="85"/>
        <v>12</v>
      </c>
      <c r="AX27" s="200" t="s">
        <v>41</v>
      </c>
      <c r="AY27" s="201" t="s">
        <v>11</v>
      </c>
      <c r="AZ27" s="159" t="s">
        <v>12</v>
      </c>
      <c r="BA27" s="159">
        <v>2015</v>
      </c>
      <c r="BB27" s="159"/>
      <c r="BC27" s="159"/>
      <c r="BD27" s="159"/>
      <c r="BE27" s="159">
        <v>1</v>
      </c>
      <c r="BF27" s="161">
        <f t="shared" si="86"/>
        <v>-24181</v>
      </c>
      <c r="BG27" s="202" t="str">
        <f t="shared" si="87"/>
        <v>- - -</v>
      </c>
      <c r="BH27" s="506" t="str">
        <f t="shared" si="88"/>
        <v>CC,VC</v>
      </c>
      <c r="BI27" s="282"/>
      <c r="BJ27" s="269"/>
      <c r="BK27" s="270" t="s">
        <v>10</v>
      </c>
      <c r="BL27" s="271" t="str">
        <f t="shared" si="89"/>
        <v>A</v>
      </c>
      <c r="BM27" s="270" t="str">
        <f t="shared" si="90"/>
        <v>=&gt; s</v>
      </c>
      <c r="BN27" s="272">
        <f t="shared" si="91"/>
        <v>24207</v>
      </c>
      <c r="BO27" s="273" t="str">
        <f t="shared" si="92"/>
        <v>---</v>
      </c>
      <c r="BP27" s="274"/>
      <c r="BQ27" s="275"/>
      <c r="BR27" s="275"/>
      <c r="BS27" s="275"/>
      <c r="BT27" s="274" t="str">
        <f t="shared" si="93"/>
        <v>- - -</v>
      </c>
      <c r="BU27" s="273" t="str">
        <f t="shared" si="94"/>
        <v>- - -</v>
      </c>
      <c r="BV27" s="270"/>
      <c r="BW27" s="270"/>
      <c r="BX27" s="276"/>
      <c r="BY27" s="276"/>
      <c r="BZ27" s="276" t="str">
        <f t="shared" si="95"/>
        <v>- - -</v>
      </c>
      <c r="CA27" s="276"/>
      <c r="CB27" s="276"/>
      <c r="CC27" s="276"/>
      <c r="CE27" s="150" t="str">
        <f t="shared" si="96"/>
        <v>---</v>
      </c>
      <c r="CF27" s="150" t="str">
        <f t="shared" si="97"/>
        <v>/-/ /-/</v>
      </c>
      <c r="CG27" s="150">
        <f t="shared" si="98"/>
        <v>2</v>
      </c>
      <c r="CH27" s="150">
        <f t="shared" si="99"/>
        <v>2030</v>
      </c>
      <c r="CI27" s="150">
        <f t="shared" si="100"/>
        <v>11</v>
      </c>
      <c r="CJ27" s="150">
        <f t="shared" si="101"/>
        <v>2029</v>
      </c>
      <c r="CK27" s="150">
        <f t="shared" si="102"/>
        <v>8</v>
      </c>
      <c r="CL27" s="150">
        <f t="shared" si="103"/>
        <v>2029</v>
      </c>
      <c r="CM27" s="150" t="str">
        <f t="shared" si="104"/>
        <v>- - -</v>
      </c>
      <c r="CN27" s="622" t="str">
        <f t="shared" si="105"/>
        <v>. .</v>
      </c>
      <c r="CO27" s="623"/>
      <c r="CP27" s="160">
        <f t="shared" si="106"/>
        <v>660</v>
      </c>
      <c r="CQ27" s="155">
        <f t="shared" si="107"/>
        <v>-23689</v>
      </c>
      <c r="CR27" s="196">
        <f t="shared" si="108"/>
        <v>-1975</v>
      </c>
      <c r="CS27" s="162" t="str">
        <f t="shared" si="109"/>
        <v>Nữ dưới 30</v>
      </c>
      <c r="CT27" s="156"/>
      <c r="CU27" s="197"/>
      <c r="CV27" s="198" t="str">
        <f t="shared" si="110"/>
        <v>Đến 30</v>
      </c>
      <c r="CW27" s="203" t="str">
        <f t="shared" si="111"/>
        <v>--</v>
      </c>
      <c r="CX27" s="203"/>
      <c r="CY27" s="156"/>
      <c r="CZ27" s="204"/>
      <c r="DA27" s="205"/>
      <c r="DB27" s="159"/>
      <c r="DC27" s="159"/>
      <c r="DH27" s="150" t="s">
        <v>11</v>
      </c>
      <c r="DI27" s="150" t="s">
        <v>12</v>
      </c>
      <c r="DJ27" s="150" t="s">
        <v>133</v>
      </c>
      <c r="DK27" s="150" t="s">
        <v>12</v>
      </c>
      <c r="DL27" s="150" t="s">
        <v>49</v>
      </c>
      <c r="DM27" s="150">
        <f t="shared" si="112"/>
        <v>0</v>
      </c>
      <c r="DN27" s="150" t="str">
        <f t="shared" si="113"/>
        <v>- - -</v>
      </c>
      <c r="DO27" s="150" t="s">
        <v>11</v>
      </c>
      <c r="DP27" s="150" t="s">
        <v>12</v>
      </c>
      <c r="DQ27" s="150" t="s">
        <v>133</v>
      </c>
      <c r="DR27" s="150" t="s">
        <v>12</v>
      </c>
      <c r="DS27" s="150" t="s">
        <v>49</v>
      </c>
      <c r="DU27" s="150" t="str">
        <f t="shared" si="114"/>
        <v>- - -</v>
      </c>
      <c r="DV27" s="150" t="str">
        <f t="shared" si="115"/>
        <v>---</v>
      </c>
    </row>
    <row r="28" spans="1:126" s="150" customFormat="1" ht="45" customHeight="1" x14ac:dyDescent="0.25">
      <c r="A28" s="564">
        <v>131</v>
      </c>
      <c r="B28" s="359">
        <v>3</v>
      </c>
      <c r="C28" s="157" t="str">
        <f t="shared" si="71"/>
        <v>Bà</v>
      </c>
      <c r="D28" s="171" t="s">
        <v>209</v>
      </c>
      <c r="E28" s="157" t="s">
        <v>35</v>
      </c>
      <c r="F28" s="172" t="s">
        <v>11</v>
      </c>
      <c r="G28" s="173" t="s">
        <v>12</v>
      </c>
      <c r="H28" s="173" t="s">
        <v>138</v>
      </c>
      <c r="I28" s="173" t="s">
        <v>12</v>
      </c>
      <c r="J28" s="174" t="s">
        <v>210</v>
      </c>
      <c r="K28" s="565"/>
      <c r="L28" s="565"/>
      <c r="M28" s="565" t="e">
        <f>VLOOKUP(L28,'[1]- DLiêu Gốc -'!$B$2:$G$121,2,0)</f>
        <v>#N/A</v>
      </c>
      <c r="N28" s="549" t="s">
        <v>211</v>
      </c>
      <c r="O28" s="176" t="s">
        <v>52</v>
      </c>
      <c r="P28" s="177" t="str">
        <f>VLOOKUP(U28,'[1]- DLiêu Gốc -'!$B$2:$G$56,5,0)</f>
        <v>A1</v>
      </c>
      <c r="Q28" s="177" t="str">
        <f>VLOOKUP(U28,'[1]- DLiêu Gốc -'!$B$2:$G$56,6,0)</f>
        <v>- - -</v>
      </c>
      <c r="R28" s="178" t="s">
        <v>45</v>
      </c>
      <c r="S28" s="179" t="str">
        <f t="shared" si="72"/>
        <v>Chuyên viên</v>
      </c>
      <c r="T28" s="180" t="str">
        <f t="shared" si="73"/>
        <v>01.003</v>
      </c>
      <c r="U28" s="181" t="s">
        <v>46</v>
      </c>
      <c r="V28" s="180" t="str">
        <f>VLOOKUP(U28,'[1]- DLiêu Gốc -'!$B$1:$G$121,2,0)</f>
        <v>01.003</v>
      </c>
      <c r="W28" s="182" t="str">
        <f t="shared" si="74"/>
        <v>Lương</v>
      </c>
      <c r="X28" s="183">
        <v>3</v>
      </c>
      <c r="Y28" s="184" t="str">
        <f t="shared" si="75"/>
        <v>/</v>
      </c>
      <c r="Z28" s="185">
        <f t="shared" si="76"/>
        <v>9</v>
      </c>
      <c r="AA28" s="186">
        <f t="shared" si="77"/>
        <v>3</v>
      </c>
      <c r="AB28" s="187">
        <f t="shared" si="78"/>
        <v>4</v>
      </c>
      <c r="AC28" s="565" t="str">
        <f t="shared" si="79"/>
        <v>/</v>
      </c>
      <c r="AD28" s="185">
        <f t="shared" si="80"/>
        <v>9</v>
      </c>
      <c r="AE28" s="188">
        <f t="shared" si="81"/>
        <v>3.33</v>
      </c>
      <c r="AF28" s="189" t="s">
        <v>11</v>
      </c>
      <c r="AG28" s="190" t="s">
        <v>12</v>
      </c>
      <c r="AH28" s="191" t="s">
        <v>133</v>
      </c>
      <c r="AI28" s="192" t="s">
        <v>12</v>
      </c>
      <c r="AJ28" s="193">
        <v>2015</v>
      </c>
      <c r="AK28" s="194"/>
      <c r="AL28" s="195"/>
      <c r="AM28" s="160">
        <f t="shared" si="82"/>
        <v>3</v>
      </c>
      <c r="AN28" s="160">
        <f t="shared" si="83"/>
        <v>-24183</v>
      </c>
      <c r="AO28" s="154"/>
      <c r="AP28" s="196"/>
      <c r="AQ28" s="162">
        <f>VLOOKUP(U28,'[1]- DLiêu Gốc -'!$B$1:$E$56,3,0)</f>
        <v>2.34</v>
      </c>
      <c r="AR28" s="156">
        <f>VLOOKUP(U28,'[1]- DLiêu Gốc -'!$B$1:$E$56,4,0)</f>
        <v>0.33</v>
      </c>
      <c r="AS28" s="197"/>
      <c r="AT28" s="198" t="str">
        <f t="shared" si="84"/>
        <v>o-o-o</v>
      </c>
      <c r="AU28" s="199"/>
      <c r="AV28" s="199"/>
      <c r="AW28" s="156">
        <f t="shared" si="85"/>
        <v>0</v>
      </c>
      <c r="AX28" s="200"/>
      <c r="AY28" s="201"/>
      <c r="AZ28" s="159"/>
      <c r="BA28" s="159"/>
      <c r="BB28" s="159"/>
      <c r="BC28" s="159"/>
      <c r="BD28" s="159"/>
      <c r="BE28" s="159"/>
      <c r="BF28" s="161" t="str">
        <f t="shared" si="86"/>
        <v>- - -</v>
      </c>
      <c r="BG28" s="202" t="str">
        <f t="shared" si="87"/>
        <v>- - -</v>
      </c>
      <c r="BH28" s="506" t="str">
        <f t="shared" si="88"/>
        <v>NLĐ</v>
      </c>
      <c r="BI28" s="282"/>
      <c r="BJ28" s="269"/>
      <c r="BK28" s="270" t="s">
        <v>53</v>
      </c>
      <c r="BL28" s="271" t="str">
        <f t="shared" si="89"/>
        <v>A</v>
      </c>
      <c r="BM28" s="270" t="str">
        <f t="shared" si="90"/>
        <v>=&gt; s</v>
      </c>
      <c r="BN28" s="272">
        <f t="shared" si="91"/>
        <v>24207</v>
      </c>
      <c r="BO28" s="273" t="str">
        <f t="shared" si="92"/>
        <v>---</v>
      </c>
      <c r="BP28" s="274"/>
      <c r="BQ28" s="275"/>
      <c r="BR28" s="275"/>
      <c r="BS28" s="275"/>
      <c r="BT28" s="274" t="str">
        <f t="shared" si="93"/>
        <v>- - -</v>
      </c>
      <c r="BU28" s="273" t="str">
        <f t="shared" si="94"/>
        <v>- - -</v>
      </c>
      <c r="BV28" s="270"/>
      <c r="BW28" s="270"/>
      <c r="BX28" s="276"/>
      <c r="BY28" s="276"/>
      <c r="BZ28" s="276" t="str">
        <f t="shared" si="95"/>
        <v>- - -</v>
      </c>
      <c r="CA28" s="276"/>
      <c r="CB28" s="276"/>
      <c r="CC28" s="276"/>
      <c r="CE28" s="150" t="str">
        <f t="shared" si="96"/>
        <v>---</v>
      </c>
      <c r="CF28" s="150" t="str">
        <f t="shared" si="97"/>
        <v>/-/ /-/</v>
      </c>
      <c r="CG28" s="150">
        <f t="shared" si="98"/>
        <v>6</v>
      </c>
      <c r="CH28" s="150">
        <f t="shared" si="99"/>
        <v>2019</v>
      </c>
      <c r="CI28" s="150">
        <f t="shared" si="100"/>
        <v>3</v>
      </c>
      <c r="CJ28" s="150">
        <f t="shared" si="101"/>
        <v>2019</v>
      </c>
      <c r="CK28" s="150">
        <f t="shared" si="102"/>
        <v>12</v>
      </c>
      <c r="CL28" s="150">
        <f t="shared" si="103"/>
        <v>2018</v>
      </c>
      <c r="CM28" s="150" t="str">
        <f t="shared" si="104"/>
        <v>- - -</v>
      </c>
      <c r="CN28" s="622" t="str">
        <f t="shared" si="105"/>
        <v>. .</v>
      </c>
      <c r="CO28" s="623"/>
      <c r="CP28" s="160">
        <f t="shared" si="106"/>
        <v>660</v>
      </c>
      <c r="CQ28" s="155">
        <f t="shared" si="107"/>
        <v>-23561</v>
      </c>
      <c r="CR28" s="196">
        <f t="shared" si="108"/>
        <v>-1964</v>
      </c>
      <c r="CS28" s="162" t="str">
        <f t="shared" si="109"/>
        <v>Nữ dưới 30</v>
      </c>
      <c r="CT28" s="156"/>
      <c r="CU28" s="197"/>
      <c r="CV28" s="198" t="str">
        <f t="shared" si="110"/>
        <v>Đến 30</v>
      </c>
      <c r="CW28" s="203" t="str">
        <f t="shared" si="111"/>
        <v>--</v>
      </c>
      <c r="CX28" s="203"/>
      <c r="CY28" s="156"/>
      <c r="CZ28" s="204"/>
      <c r="DA28" s="205"/>
      <c r="DB28" s="159"/>
      <c r="DC28" s="159"/>
      <c r="DG28" s="150" t="s">
        <v>211</v>
      </c>
      <c r="DH28" s="150" t="s">
        <v>11</v>
      </c>
      <c r="DI28" s="150" t="s">
        <v>12</v>
      </c>
      <c r="DJ28" s="150" t="s">
        <v>133</v>
      </c>
      <c r="DK28" s="150" t="s">
        <v>12</v>
      </c>
      <c r="DL28" s="150" t="s">
        <v>49</v>
      </c>
      <c r="DM28" s="150">
        <f t="shared" si="112"/>
        <v>0</v>
      </c>
      <c r="DN28" s="150" t="str">
        <f t="shared" si="113"/>
        <v>- - -</v>
      </c>
      <c r="DO28" s="150" t="s">
        <v>11</v>
      </c>
      <c r="DP28" s="150" t="s">
        <v>12</v>
      </c>
      <c r="DQ28" s="150" t="s">
        <v>133</v>
      </c>
      <c r="DR28" s="150" t="s">
        <v>12</v>
      </c>
      <c r="DS28" s="150" t="s">
        <v>49</v>
      </c>
      <c r="DU28" s="150" t="str">
        <f t="shared" si="114"/>
        <v>- - -</v>
      </c>
      <c r="DV28" s="150" t="str">
        <f t="shared" si="115"/>
        <v>---</v>
      </c>
    </row>
    <row r="29" spans="1:126" s="150" customFormat="1" ht="38.25" customHeight="1" x14ac:dyDescent="0.25">
      <c r="A29" s="564">
        <v>265</v>
      </c>
      <c r="B29" s="157">
        <v>4</v>
      </c>
      <c r="C29" s="157" t="str">
        <f t="shared" si="71"/>
        <v>Ông</v>
      </c>
      <c r="D29" s="171" t="s">
        <v>130</v>
      </c>
      <c r="E29" s="157" t="s">
        <v>43</v>
      </c>
      <c r="F29" s="172" t="s">
        <v>66</v>
      </c>
      <c r="G29" s="173" t="s">
        <v>12</v>
      </c>
      <c r="H29" s="173" t="s">
        <v>13</v>
      </c>
      <c r="I29" s="173" t="s">
        <v>12</v>
      </c>
      <c r="J29" s="174">
        <v>1978</v>
      </c>
      <c r="K29" s="565"/>
      <c r="L29" s="565"/>
      <c r="M29" s="565" t="e">
        <f>VLOOKUP(L29,'[1]- DLiêu Gốc -'!$B$2:$G$121,2,0)</f>
        <v>#N/A</v>
      </c>
      <c r="N29" s="549" t="s">
        <v>131</v>
      </c>
      <c r="O29" s="176" t="s">
        <v>132</v>
      </c>
      <c r="P29" s="177" t="str">
        <f>VLOOKUP(U29,'[1]- DLiêu Gốc -'!$B$2:$G$56,5,0)</f>
        <v>A1</v>
      </c>
      <c r="Q29" s="177" t="str">
        <f>VLOOKUP(U29,'[1]- DLiêu Gốc -'!$B$2:$G$56,6,0)</f>
        <v>- - -</v>
      </c>
      <c r="R29" s="178" t="s">
        <v>37</v>
      </c>
      <c r="S29" s="179" t="str">
        <f t="shared" si="72"/>
        <v>Giảng viên (hạng III)</v>
      </c>
      <c r="T29" s="180" t="str">
        <f t="shared" si="73"/>
        <v>V.07.01.03</v>
      </c>
      <c r="U29" s="181" t="s">
        <v>38</v>
      </c>
      <c r="V29" s="180" t="str">
        <f>VLOOKUP(U29,'[1]- DLiêu Gốc -'!$B$1:$G$121,2,0)</f>
        <v>V.07.01.03</v>
      </c>
      <c r="W29" s="182" t="str">
        <f t="shared" si="74"/>
        <v>Lương</v>
      </c>
      <c r="X29" s="183">
        <v>3</v>
      </c>
      <c r="Y29" s="184" t="str">
        <f t="shared" si="75"/>
        <v>/</v>
      </c>
      <c r="Z29" s="185">
        <f t="shared" si="76"/>
        <v>9</v>
      </c>
      <c r="AA29" s="186">
        <f t="shared" si="77"/>
        <v>3</v>
      </c>
      <c r="AB29" s="187">
        <f t="shared" si="78"/>
        <v>4</v>
      </c>
      <c r="AC29" s="565" t="str">
        <f t="shared" si="79"/>
        <v>/</v>
      </c>
      <c r="AD29" s="185">
        <f t="shared" si="80"/>
        <v>9</v>
      </c>
      <c r="AE29" s="188">
        <f t="shared" si="81"/>
        <v>3.33</v>
      </c>
      <c r="AF29" s="189" t="s">
        <v>11</v>
      </c>
      <c r="AG29" s="190" t="s">
        <v>12</v>
      </c>
      <c r="AH29" s="191" t="s">
        <v>133</v>
      </c>
      <c r="AI29" s="192" t="s">
        <v>12</v>
      </c>
      <c r="AJ29" s="193">
        <v>2015</v>
      </c>
      <c r="AK29" s="194"/>
      <c r="AL29" s="195"/>
      <c r="AM29" s="160">
        <f t="shared" si="82"/>
        <v>3</v>
      </c>
      <c r="AN29" s="160">
        <f t="shared" si="83"/>
        <v>-24183</v>
      </c>
      <c r="AO29" s="154"/>
      <c r="AP29" s="196"/>
      <c r="AQ29" s="162">
        <f>VLOOKUP(U29,'[1]- DLiêu Gốc -'!$B$1:$E$56,3,0)</f>
        <v>2.34</v>
      </c>
      <c r="AR29" s="156">
        <f>VLOOKUP(U29,'[1]- DLiêu Gốc -'!$B$1:$E$56,4,0)</f>
        <v>0.33</v>
      </c>
      <c r="AS29" s="197"/>
      <c r="AT29" s="198" t="str">
        <f t="shared" si="84"/>
        <v>PCTN</v>
      </c>
      <c r="AU29" s="199">
        <v>7</v>
      </c>
      <c r="AV29" s="199" t="s">
        <v>41</v>
      </c>
      <c r="AW29" s="156">
        <f t="shared" si="85"/>
        <v>8</v>
      </c>
      <c r="AX29" s="200" t="s">
        <v>41</v>
      </c>
      <c r="AY29" s="201" t="s">
        <v>40</v>
      </c>
      <c r="AZ29" s="159" t="s">
        <v>12</v>
      </c>
      <c r="BA29" s="159">
        <v>2015</v>
      </c>
      <c r="BB29" s="159"/>
      <c r="BC29" s="159"/>
      <c r="BD29" s="159"/>
      <c r="BE29" s="159">
        <v>2</v>
      </c>
      <c r="BF29" s="161">
        <f t="shared" si="86"/>
        <v>-24182</v>
      </c>
      <c r="BG29" s="202" t="str">
        <f t="shared" si="87"/>
        <v>- - -</v>
      </c>
      <c r="BH29" s="506" t="str">
        <f t="shared" si="88"/>
        <v>CC,VC</v>
      </c>
      <c r="BI29" s="282"/>
      <c r="BJ29" s="269"/>
      <c r="BK29" s="270" t="s">
        <v>10</v>
      </c>
      <c r="BL29" s="271" t="str">
        <f t="shared" si="89"/>
        <v>A</v>
      </c>
      <c r="BM29" s="270" t="str">
        <f t="shared" si="90"/>
        <v>=&gt; s</v>
      </c>
      <c r="BN29" s="272">
        <f t="shared" si="91"/>
        <v>24207</v>
      </c>
      <c r="BO29" s="273" t="str">
        <f t="shared" si="92"/>
        <v>---</v>
      </c>
      <c r="BP29" s="274"/>
      <c r="BQ29" s="275"/>
      <c r="BR29" s="275"/>
      <c r="BS29" s="275"/>
      <c r="BT29" s="274" t="str">
        <f t="shared" si="93"/>
        <v>- - -</v>
      </c>
      <c r="BU29" s="273" t="str">
        <f t="shared" si="94"/>
        <v>- - -</v>
      </c>
      <c r="BV29" s="270"/>
      <c r="BW29" s="270"/>
      <c r="BX29" s="276"/>
      <c r="BY29" s="276"/>
      <c r="BZ29" s="276" t="str">
        <f t="shared" si="95"/>
        <v>- - -</v>
      </c>
      <c r="CA29" s="276"/>
      <c r="CB29" s="276"/>
      <c r="CC29" s="276"/>
      <c r="CE29" s="150" t="str">
        <f t="shared" si="96"/>
        <v>---</v>
      </c>
      <c r="CF29" s="150" t="str">
        <f t="shared" si="97"/>
        <v>/-/ /-/</v>
      </c>
      <c r="CG29" s="150">
        <f t="shared" si="98"/>
        <v>8</v>
      </c>
      <c r="CH29" s="150">
        <f t="shared" si="99"/>
        <v>2038</v>
      </c>
      <c r="CI29" s="150">
        <f t="shared" si="100"/>
        <v>5</v>
      </c>
      <c r="CJ29" s="150">
        <f t="shared" si="101"/>
        <v>2038</v>
      </c>
      <c r="CK29" s="150">
        <f t="shared" si="102"/>
        <v>2</v>
      </c>
      <c r="CL29" s="150">
        <f t="shared" si="103"/>
        <v>2038</v>
      </c>
      <c r="CM29" s="150" t="str">
        <f t="shared" si="104"/>
        <v>- - -</v>
      </c>
      <c r="CN29" s="622" t="str">
        <f t="shared" si="105"/>
        <v>. .</v>
      </c>
      <c r="CO29" s="623"/>
      <c r="CP29" s="160">
        <f t="shared" si="106"/>
        <v>720</v>
      </c>
      <c r="CQ29" s="155">
        <f t="shared" si="107"/>
        <v>-23731</v>
      </c>
      <c r="CR29" s="196">
        <f t="shared" si="108"/>
        <v>-1978</v>
      </c>
      <c r="CS29" s="162" t="str">
        <f t="shared" si="109"/>
        <v>Nam dưới 35</v>
      </c>
      <c r="CT29" s="156"/>
      <c r="CU29" s="197"/>
      <c r="CV29" s="198" t="str">
        <f t="shared" si="110"/>
        <v>Đến 30</v>
      </c>
      <c r="CW29" s="203" t="str">
        <f t="shared" si="111"/>
        <v>TD</v>
      </c>
      <c r="CX29" s="203">
        <v>2012</v>
      </c>
      <c r="CY29" s="156"/>
      <c r="CZ29" s="204"/>
      <c r="DA29" s="205"/>
      <c r="DB29" s="159"/>
      <c r="DC29" s="159"/>
      <c r="DG29" s="150" t="s">
        <v>131</v>
      </c>
      <c r="DH29" s="150" t="s">
        <v>11</v>
      </c>
      <c r="DI29" s="150" t="s">
        <v>12</v>
      </c>
      <c r="DJ29" s="150" t="s">
        <v>133</v>
      </c>
      <c r="DK29" s="150" t="s">
        <v>12</v>
      </c>
      <c r="DL29" s="150" t="s">
        <v>49</v>
      </c>
      <c r="DM29" s="150">
        <f t="shared" si="112"/>
        <v>0</v>
      </c>
      <c r="DN29" s="150" t="str">
        <f t="shared" si="113"/>
        <v>- - -</v>
      </c>
      <c r="DO29" s="150" t="s">
        <v>11</v>
      </c>
      <c r="DP29" s="150" t="s">
        <v>12</v>
      </c>
      <c r="DQ29" s="150" t="s">
        <v>133</v>
      </c>
      <c r="DR29" s="150" t="s">
        <v>12</v>
      </c>
      <c r="DS29" s="150" t="s">
        <v>49</v>
      </c>
      <c r="DU29" s="150" t="str">
        <f t="shared" si="114"/>
        <v>- - -</v>
      </c>
      <c r="DV29" s="150" t="str">
        <f t="shared" si="115"/>
        <v>---</v>
      </c>
    </row>
    <row r="30" spans="1:126" s="150" customFormat="1" ht="34.5" customHeight="1" x14ac:dyDescent="0.25">
      <c r="A30" s="564">
        <v>285</v>
      </c>
      <c r="B30" s="359">
        <v>5</v>
      </c>
      <c r="C30" s="157" t="str">
        <f t="shared" si="71"/>
        <v>Ông</v>
      </c>
      <c r="D30" s="171" t="s">
        <v>212</v>
      </c>
      <c r="E30" s="157" t="s">
        <v>43</v>
      </c>
      <c r="F30" s="172" t="s">
        <v>62</v>
      </c>
      <c r="G30" s="173" t="s">
        <v>12</v>
      </c>
      <c r="H30" s="173" t="s">
        <v>44</v>
      </c>
      <c r="I30" s="173" t="s">
        <v>12</v>
      </c>
      <c r="J30" s="174" t="s">
        <v>173</v>
      </c>
      <c r="K30" s="565"/>
      <c r="L30" s="565"/>
      <c r="M30" s="565" t="e">
        <f>VLOOKUP(L30,'[1]- DLiêu Gốc -'!$B$2:$G$121,2,0)</f>
        <v>#N/A</v>
      </c>
      <c r="N30" s="549" t="s">
        <v>136</v>
      </c>
      <c r="O30" s="176" t="s">
        <v>135</v>
      </c>
      <c r="P30" s="177" t="str">
        <f>VLOOKUP(U30,'[1]- DLiêu Gốc -'!$B$2:$G$56,5,0)</f>
        <v>A1</v>
      </c>
      <c r="Q30" s="177" t="str">
        <f>VLOOKUP(U30,'[1]- DLiêu Gốc -'!$B$2:$G$56,6,0)</f>
        <v>- - -</v>
      </c>
      <c r="R30" s="178" t="s">
        <v>37</v>
      </c>
      <c r="S30" s="179" t="str">
        <f t="shared" si="72"/>
        <v>Giảng viên (hạng III)</v>
      </c>
      <c r="T30" s="180" t="str">
        <f t="shared" si="73"/>
        <v>V.07.01.03</v>
      </c>
      <c r="U30" s="181" t="s">
        <v>38</v>
      </c>
      <c r="V30" s="180" t="str">
        <f>VLOOKUP(U30,'[1]- DLiêu Gốc -'!$B$1:$G$121,2,0)</f>
        <v>V.07.01.03</v>
      </c>
      <c r="W30" s="182" t="str">
        <f t="shared" si="74"/>
        <v>Lương</v>
      </c>
      <c r="X30" s="183">
        <v>3</v>
      </c>
      <c r="Y30" s="184" t="str">
        <f t="shared" si="75"/>
        <v>/</v>
      </c>
      <c r="Z30" s="185">
        <f t="shared" si="76"/>
        <v>9</v>
      </c>
      <c r="AA30" s="186">
        <f t="shared" si="77"/>
        <v>3</v>
      </c>
      <c r="AB30" s="187">
        <f t="shared" si="78"/>
        <v>4</v>
      </c>
      <c r="AC30" s="565" t="str">
        <f t="shared" si="79"/>
        <v>/</v>
      </c>
      <c r="AD30" s="185">
        <f t="shared" si="80"/>
        <v>9</v>
      </c>
      <c r="AE30" s="188">
        <f t="shared" si="81"/>
        <v>3.33</v>
      </c>
      <c r="AF30" s="189" t="s">
        <v>11</v>
      </c>
      <c r="AG30" s="190" t="s">
        <v>12</v>
      </c>
      <c r="AH30" s="191" t="s">
        <v>133</v>
      </c>
      <c r="AI30" s="192" t="s">
        <v>12</v>
      </c>
      <c r="AJ30" s="193">
        <v>2015</v>
      </c>
      <c r="AK30" s="194"/>
      <c r="AL30" s="195"/>
      <c r="AM30" s="160">
        <f t="shared" si="82"/>
        <v>3</v>
      </c>
      <c r="AN30" s="160">
        <f t="shared" si="83"/>
        <v>-24183</v>
      </c>
      <c r="AO30" s="154"/>
      <c r="AP30" s="196"/>
      <c r="AQ30" s="162">
        <f>VLOOKUP(U30,'[1]- DLiêu Gốc -'!$B$1:$E$56,3,0)</f>
        <v>2.34</v>
      </c>
      <c r="AR30" s="156">
        <f>VLOOKUP(U30,'[1]- DLiêu Gốc -'!$B$1:$E$56,4,0)</f>
        <v>0.33</v>
      </c>
      <c r="AS30" s="197"/>
      <c r="AT30" s="198" t="str">
        <f t="shared" si="84"/>
        <v>PCTN</v>
      </c>
      <c r="AU30" s="199">
        <v>7</v>
      </c>
      <c r="AV30" s="199" t="s">
        <v>41</v>
      </c>
      <c r="AW30" s="156">
        <f t="shared" si="85"/>
        <v>8</v>
      </c>
      <c r="AX30" s="200" t="s">
        <v>41</v>
      </c>
      <c r="AY30" s="201">
        <v>6</v>
      </c>
      <c r="AZ30" s="159" t="s">
        <v>12</v>
      </c>
      <c r="BA30" s="159">
        <v>2014</v>
      </c>
      <c r="BB30" s="159"/>
      <c r="BC30" s="159"/>
      <c r="BD30" s="159"/>
      <c r="BE30" s="159"/>
      <c r="BF30" s="161">
        <f t="shared" si="86"/>
        <v>-24174</v>
      </c>
      <c r="BG30" s="202" t="str">
        <f t="shared" si="87"/>
        <v>- - -</v>
      </c>
      <c r="BH30" s="506" t="str">
        <f t="shared" si="88"/>
        <v>CC,VC</v>
      </c>
      <c r="BI30" s="282"/>
      <c r="BJ30" s="269"/>
      <c r="BK30" s="270" t="s">
        <v>10</v>
      </c>
      <c r="BL30" s="271" t="str">
        <f t="shared" si="89"/>
        <v>A</v>
      </c>
      <c r="BM30" s="270" t="str">
        <f t="shared" si="90"/>
        <v>=&gt; s</v>
      </c>
      <c r="BN30" s="272">
        <f t="shared" si="91"/>
        <v>24207</v>
      </c>
      <c r="BO30" s="273" t="str">
        <f t="shared" si="92"/>
        <v>---</v>
      </c>
      <c r="BP30" s="274"/>
      <c r="BQ30" s="275"/>
      <c r="BR30" s="275"/>
      <c r="BS30" s="275"/>
      <c r="BT30" s="274" t="str">
        <f t="shared" si="93"/>
        <v>- - -</v>
      </c>
      <c r="BU30" s="273" t="str">
        <f t="shared" si="94"/>
        <v>- - -</v>
      </c>
      <c r="BV30" s="270"/>
      <c r="BW30" s="270"/>
      <c r="BX30" s="276"/>
      <c r="BY30" s="276"/>
      <c r="BZ30" s="276" t="str">
        <f t="shared" si="95"/>
        <v>- - -</v>
      </c>
      <c r="CA30" s="276"/>
      <c r="CB30" s="276"/>
      <c r="CC30" s="276"/>
      <c r="CE30" s="150" t="str">
        <f t="shared" si="96"/>
        <v>---</v>
      </c>
      <c r="CF30" s="150" t="str">
        <f t="shared" si="97"/>
        <v>/-/ /-/</v>
      </c>
      <c r="CG30" s="150">
        <f t="shared" si="98"/>
        <v>12</v>
      </c>
      <c r="CH30" s="150">
        <f t="shared" si="99"/>
        <v>2041</v>
      </c>
      <c r="CI30" s="150">
        <f t="shared" si="100"/>
        <v>9</v>
      </c>
      <c r="CJ30" s="150">
        <f t="shared" si="101"/>
        <v>2041</v>
      </c>
      <c r="CK30" s="150">
        <f t="shared" si="102"/>
        <v>6</v>
      </c>
      <c r="CL30" s="150">
        <f t="shared" si="103"/>
        <v>2041</v>
      </c>
      <c r="CM30" s="150" t="str">
        <f t="shared" si="104"/>
        <v>- - -</v>
      </c>
      <c r="CN30" s="622" t="str">
        <f t="shared" si="105"/>
        <v>. .</v>
      </c>
      <c r="CO30" s="623"/>
      <c r="CP30" s="160">
        <f t="shared" si="106"/>
        <v>720</v>
      </c>
      <c r="CQ30" s="155">
        <f t="shared" si="107"/>
        <v>-23771</v>
      </c>
      <c r="CR30" s="196">
        <f t="shared" si="108"/>
        <v>-1981</v>
      </c>
      <c r="CS30" s="162" t="str">
        <f t="shared" si="109"/>
        <v>Nam dưới 35</v>
      </c>
      <c r="CT30" s="156"/>
      <c r="CU30" s="197"/>
      <c r="CV30" s="198" t="str">
        <f t="shared" si="110"/>
        <v>Đến 30</v>
      </c>
      <c r="CW30" s="203" t="str">
        <f t="shared" si="111"/>
        <v>TD</v>
      </c>
      <c r="CX30" s="203">
        <v>2009</v>
      </c>
      <c r="CY30" s="156"/>
      <c r="CZ30" s="204"/>
      <c r="DA30" s="205"/>
      <c r="DB30" s="159"/>
      <c r="DC30" s="159"/>
      <c r="DG30" s="150" t="s">
        <v>136</v>
      </c>
      <c r="DH30" s="150" t="s">
        <v>11</v>
      </c>
      <c r="DI30" s="150" t="s">
        <v>12</v>
      </c>
      <c r="DJ30" s="150" t="s">
        <v>133</v>
      </c>
      <c r="DK30" s="150" t="s">
        <v>12</v>
      </c>
      <c r="DL30" s="150" t="s">
        <v>49</v>
      </c>
      <c r="DM30" s="150">
        <f t="shared" si="112"/>
        <v>0</v>
      </c>
      <c r="DN30" s="150" t="str">
        <f t="shared" si="113"/>
        <v>- - -</v>
      </c>
      <c r="DO30" s="150" t="s">
        <v>11</v>
      </c>
      <c r="DP30" s="150" t="s">
        <v>12</v>
      </c>
      <c r="DQ30" s="150" t="s">
        <v>133</v>
      </c>
      <c r="DR30" s="150" t="s">
        <v>12</v>
      </c>
      <c r="DS30" s="150" t="s">
        <v>49</v>
      </c>
      <c r="DU30" s="150" t="str">
        <f t="shared" si="114"/>
        <v>- - -</v>
      </c>
      <c r="DV30" s="150" t="str">
        <f t="shared" si="115"/>
        <v>---</v>
      </c>
    </row>
    <row r="31" spans="1:126" s="150" customFormat="1" ht="33.75" customHeight="1" x14ac:dyDescent="0.25">
      <c r="A31" s="564">
        <v>383</v>
      </c>
      <c r="B31" s="157">
        <v>6</v>
      </c>
      <c r="C31" s="157" t="str">
        <f t="shared" si="71"/>
        <v>Bà</v>
      </c>
      <c r="D31" s="171" t="s">
        <v>172</v>
      </c>
      <c r="E31" s="157" t="s">
        <v>35</v>
      </c>
      <c r="F31" s="172" t="s">
        <v>66</v>
      </c>
      <c r="G31" s="173" t="s">
        <v>12</v>
      </c>
      <c r="H31" s="173" t="s">
        <v>51</v>
      </c>
      <c r="I31" s="173" t="s">
        <v>12</v>
      </c>
      <c r="J31" s="174" t="s">
        <v>173</v>
      </c>
      <c r="K31" s="565"/>
      <c r="L31" s="565"/>
      <c r="M31" s="565" t="e">
        <f>VLOOKUP(L31,'[1]- DLiêu Gốc -'!$B$2:$G$121,2,0)</f>
        <v>#N/A</v>
      </c>
      <c r="N31" s="549" t="s">
        <v>63</v>
      </c>
      <c r="O31" s="176" t="s">
        <v>36</v>
      </c>
      <c r="P31" s="177" t="str">
        <f>VLOOKUP(U31,'[1]- DLiêu Gốc -'!$B$2:$G$56,5,0)</f>
        <v>A1</v>
      </c>
      <c r="Q31" s="177" t="str">
        <f>VLOOKUP(U31,'[1]- DLiêu Gốc -'!$B$2:$G$56,6,0)</f>
        <v>- - -</v>
      </c>
      <c r="R31" s="178" t="s">
        <v>37</v>
      </c>
      <c r="S31" s="179" t="str">
        <f t="shared" si="72"/>
        <v>Giảng viên (hạng III)</v>
      </c>
      <c r="T31" s="180" t="str">
        <f t="shared" si="73"/>
        <v>V.07.01.03</v>
      </c>
      <c r="U31" s="181" t="s">
        <v>38</v>
      </c>
      <c r="V31" s="180" t="str">
        <f>VLOOKUP(U31,'[1]- DLiêu Gốc -'!$B$1:$G$121,2,0)</f>
        <v>V.07.01.03</v>
      </c>
      <c r="W31" s="182" t="str">
        <f t="shared" si="74"/>
        <v>Lương</v>
      </c>
      <c r="X31" s="183">
        <v>3</v>
      </c>
      <c r="Y31" s="184" t="str">
        <f t="shared" si="75"/>
        <v>/</v>
      </c>
      <c r="Z31" s="185">
        <f t="shared" si="76"/>
        <v>9</v>
      </c>
      <c r="AA31" s="186">
        <f t="shared" si="77"/>
        <v>3</v>
      </c>
      <c r="AB31" s="187">
        <f t="shared" si="78"/>
        <v>4</v>
      </c>
      <c r="AC31" s="565" t="str">
        <f t="shared" si="79"/>
        <v>/</v>
      </c>
      <c r="AD31" s="185">
        <f t="shared" si="80"/>
        <v>9</v>
      </c>
      <c r="AE31" s="188">
        <f t="shared" si="81"/>
        <v>3.33</v>
      </c>
      <c r="AF31" s="189" t="s">
        <v>11</v>
      </c>
      <c r="AG31" s="190" t="s">
        <v>12</v>
      </c>
      <c r="AH31" s="191" t="s">
        <v>133</v>
      </c>
      <c r="AI31" s="192" t="s">
        <v>12</v>
      </c>
      <c r="AJ31" s="193">
        <v>2015</v>
      </c>
      <c r="AK31" s="194" t="s">
        <v>174</v>
      </c>
      <c r="AL31" s="195"/>
      <c r="AM31" s="160">
        <f t="shared" si="82"/>
        <v>3</v>
      </c>
      <c r="AN31" s="160">
        <f t="shared" si="83"/>
        <v>-24183</v>
      </c>
      <c r="AO31" s="154"/>
      <c r="AP31" s="196"/>
      <c r="AQ31" s="162">
        <f>VLOOKUP(U31,'[1]- DLiêu Gốc -'!$B$1:$E$56,3,0)</f>
        <v>2.34</v>
      </c>
      <c r="AR31" s="156">
        <f>VLOOKUP(U31,'[1]- DLiêu Gốc -'!$B$1:$E$56,4,0)</f>
        <v>0.33</v>
      </c>
      <c r="AS31" s="197"/>
      <c r="AT31" s="198" t="str">
        <f t="shared" si="84"/>
        <v>PCTN</v>
      </c>
      <c r="AU31" s="199">
        <v>6</v>
      </c>
      <c r="AV31" s="199" t="s">
        <v>41</v>
      </c>
      <c r="AW31" s="156">
        <f t="shared" si="85"/>
        <v>7</v>
      </c>
      <c r="AX31" s="200" t="s">
        <v>41</v>
      </c>
      <c r="AY31" s="201">
        <v>6</v>
      </c>
      <c r="AZ31" s="159" t="s">
        <v>12</v>
      </c>
      <c r="BA31" s="159">
        <v>2013</v>
      </c>
      <c r="BB31" s="159"/>
      <c r="BC31" s="159">
        <v>9</v>
      </c>
      <c r="BD31" s="159" t="s">
        <v>175</v>
      </c>
      <c r="BE31" s="159"/>
      <c r="BF31" s="161">
        <f t="shared" si="86"/>
        <v>-24171</v>
      </c>
      <c r="BG31" s="202" t="str">
        <f t="shared" si="87"/>
        <v>- - -</v>
      </c>
      <c r="BH31" s="506" t="str">
        <f t="shared" si="88"/>
        <v>CC,VC</v>
      </c>
      <c r="BI31" s="282"/>
      <c r="BJ31" s="269"/>
      <c r="BK31" s="270" t="s">
        <v>10</v>
      </c>
      <c r="BL31" s="271" t="str">
        <f t="shared" si="89"/>
        <v>A</v>
      </c>
      <c r="BM31" s="270" t="str">
        <f t="shared" si="90"/>
        <v>=&gt; s</v>
      </c>
      <c r="BN31" s="272">
        <f t="shared" si="91"/>
        <v>24207</v>
      </c>
      <c r="BO31" s="273" t="str">
        <f t="shared" si="92"/>
        <v>---</v>
      </c>
      <c r="BP31" s="274"/>
      <c r="BQ31" s="275"/>
      <c r="BR31" s="275"/>
      <c r="BS31" s="275"/>
      <c r="BT31" s="274" t="str">
        <f t="shared" si="93"/>
        <v>- - -</v>
      </c>
      <c r="BU31" s="273" t="str">
        <f t="shared" si="94"/>
        <v>- - -</v>
      </c>
      <c r="BV31" s="270"/>
      <c r="BW31" s="270"/>
      <c r="BX31" s="276"/>
      <c r="BY31" s="276"/>
      <c r="BZ31" s="276" t="str">
        <f t="shared" si="95"/>
        <v>- - -</v>
      </c>
      <c r="CA31" s="276"/>
      <c r="CB31" s="276"/>
      <c r="CC31" s="276"/>
      <c r="CE31" s="150" t="str">
        <f t="shared" si="96"/>
        <v>---</v>
      </c>
      <c r="CF31" s="150" t="str">
        <f t="shared" si="97"/>
        <v>/-/ /-/</v>
      </c>
      <c r="CG31" s="150">
        <f t="shared" si="98"/>
        <v>1</v>
      </c>
      <c r="CH31" s="150">
        <f t="shared" si="99"/>
        <v>2037</v>
      </c>
      <c r="CI31" s="150">
        <f t="shared" si="100"/>
        <v>10</v>
      </c>
      <c r="CJ31" s="150">
        <f t="shared" si="101"/>
        <v>2036</v>
      </c>
      <c r="CK31" s="150">
        <f t="shared" si="102"/>
        <v>7</v>
      </c>
      <c r="CL31" s="150">
        <f t="shared" si="103"/>
        <v>2036</v>
      </c>
      <c r="CM31" s="150" t="str">
        <f t="shared" si="104"/>
        <v>- - -</v>
      </c>
      <c r="CN31" s="622" t="str">
        <f t="shared" si="105"/>
        <v>. .</v>
      </c>
      <c r="CO31" s="623"/>
      <c r="CP31" s="160">
        <f t="shared" si="106"/>
        <v>660</v>
      </c>
      <c r="CQ31" s="155">
        <f t="shared" si="107"/>
        <v>-23772</v>
      </c>
      <c r="CR31" s="196">
        <f t="shared" si="108"/>
        <v>-1981</v>
      </c>
      <c r="CS31" s="162" t="str">
        <f t="shared" si="109"/>
        <v>Nữ dưới 30</v>
      </c>
      <c r="CT31" s="156"/>
      <c r="CU31" s="197"/>
      <c r="CV31" s="198" t="str">
        <f t="shared" si="110"/>
        <v>Đến 30</v>
      </c>
      <c r="CW31" s="203" t="str">
        <f t="shared" si="111"/>
        <v>TD</v>
      </c>
      <c r="CX31" s="203">
        <v>2009</v>
      </c>
      <c r="CY31" s="156"/>
      <c r="CZ31" s="204"/>
      <c r="DA31" s="205"/>
      <c r="DB31" s="159"/>
      <c r="DC31" s="159"/>
      <c r="DG31" s="150" t="s">
        <v>63</v>
      </c>
      <c r="DH31" s="150" t="s">
        <v>11</v>
      </c>
      <c r="DI31" s="150" t="s">
        <v>12</v>
      </c>
      <c r="DJ31" s="150" t="s">
        <v>133</v>
      </c>
      <c r="DK31" s="150" t="s">
        <v>12</v>
      </c>
      <c r="DL31" s="150" t="s">
        <v>49</v>
      </c>
      <c r="DM31" s="150">
        <f t="shared" si="112"/>
        <v>0</v>
      </c>
      <c r="DN31" s="150" t="str">
        <f t="shared" si="113"/>
        <v>- - -</v>
      </c>
      <c r="DO31" s="150" t="s">
        <v>11</v>
      </c>
      <c r="DP31" s="150" t="s">
        <v>12</v>
      </c>
      <c r="DQ31" s="150" t="s">
        <v>133</v>
      </c>
      <c r="DR31" s="150" t="s">
        <v>12</v>
      </c>
      <c r="DS31" s="150" t="s">
        <v>49</v>
      </c>
      <c r="DU31" s="150" t="str">
        <f t="shared" si="114"/>
        <v>- - -</v>
      </c>
      <c r="DV31" s="150" t="str">
        <f t="shared" si="115"/>
        <v>---</v>
      </c>
    </row>
    <row r="32" spans="1:126" s="378" customFormat="1" ht="32.25" customHeight="1" x14ac:dyDescent="0.25">
      <c r="A32" s="386">
        <v>435</v>
      </c>
      <c r="B32" s="359">
        <v>7</v>
      </c>
      <c r="C32" s="359" t="str">
        <f t="shared" si="71"/>
        <v>Bà</v>
      </c>
      <c r="D32" s="473" t="s">
        <v>213</v>
      </c>
      <c r="E32" s="359" t="s">
        <v>35</v>
      </c>
      <c r="F32" s="474" t="s">
        <v>150</v>
      </c>
      <c r="G32" s="475" t="s">
        <v>12</v>
      </c>
      <c r="H32" s="475" t="s">
        <v>64</v>
      </c>
      <c r="I32" s="475" t="s">
        <v>12</v>
      </c>
      <c r="J32" s="476">
        <v>1979</v>
      </c>
      <c r="K32" s="477"/>
      <c r="L32" s="477"/>
      <c r="M32" s="477" t="e">
        <f>VLOOKUP(L32,'[1]- DLiêu Gốc -'!$B$2:$G$121,2,0)</f>
        <v>#N/A</v>
      </c>
      <c r="N32" s="478" t="s">
        <v>214</v>
      </c>
      <c r="O32" s="479" t="s">
        <v>137</v>
      </c>
      <c r="P32" s="480" t="str">
        <f>VLOOKUP(U32,'[1]- DLiêu Gốc -'!$B$2:$G$56,5,0)</f>
        <v>A1</v>
      </c>
      <c r="Q32" s="480" t="str">
        <f>VLOOKUP(U32,'[1]- DLiêu Gốc -'!$B$2:$G$56,6,0)</f>
        <v>- - -</v>
      </c>
      <c r="R32" s="481" t="s">
        <v>45</v>
      </c>
      <c r="S32" s="482" t="str">
        <f t="shared" si="72"/>
        <v>Thư viện viên</v>
      </c>
      <c r="T32" s="483" t="str">
        <f t="shared" si="73"/>
        <v>17.170</v>
      </c>
      <c r="U32" s="484" t="s">
        <v>215</v>
      </c>
      <c r="V32" s="483" t="str">
        <f>VLOOKUP(U32,'[1]- DLiêu Gốc -'!$B$1:$G$121,2,0)</f>
        <v>17.170</v>
      </c>
      <c r="W32" s="485" t="str">
        <f t="shared" si="74"/>
        <v>Lương</v>
      </c>
      <c r="X32" s="486">
        <v>1</v>
      </c>
      <c r="Y32" s="487" t="str">
        <f t="shared" si="75"/>
        <v>/</v>
      </c>
      <c r="Z32" s="488">
        <f t="shared" si="76"/>
        <v>9</v>
      </c>
      <c r="AA32" s="365">
        <f t="shared" si="77"/>
        <v>2.34</v>
      </c>
      <c r="AB32" s="489">
        <f t="shared" si="78"/>
        <v>2</v>
      </c>
      <c r="AC32" s="477" t="str">
        <f t="shared" si="79"/>
        <v>/</v>
      </c>
      <c r="AD32" s="488">
        <f t="shared" si="80"/>
        <v>9</v>
      </c>
      <c r="AE32" s="490">
        <f t="shared" si="81"/>
        <v>2.67</v>
      </c>
      <c r="AF32" s="491" t="s">
        <v>11</v>
      </c>
      <c r="AG32" s="492" t="s">
        <v>12</v>
      </c>
      <c r="AH32" s="376" t="s">
        <v>133</v>
      </c>
      <c r="AI32" s="493" t="s">
        <v>12</v>
      </c>
      <c r="AJ32" s="494">
        <v>2015</v>
      </c>
      <c r="AK32" s="495"/>
      <c r="AL32" s="496"/>
      <c r="AM32" s="497">
        <f t="shared" si="82"/>
        <v>3</v>
      </c>
      <c r="AN32" s="497">
        <f t="shared" si="83"/>
        <v>-24183</v>
      </c>
      <c r="AO32" s="358"/>
      <c r="AP32" s="498"/>
      <c r="AQ32" s="371">
        <f>VLOOKUP(U32,'[1]- DLiêu Gốc -'!$B$1:$E$56,3,0)</f>
        <v>2.34</v>
      </c>
      <c r="AR32" s="369">
        <f>VLOOKUP(U32,'[1]- DLiêu Gốc -'!$B$1:$E$56,4,0)</f>
        <v>0.33</v>
      </c>
      <c r="AS32" s="499"/>
      <c r="AT32" s="500" t="str">
        <f t="shared" si="84"/>
        <v>o-o-o</v>
      </c>
      <c r="AU32" s="368"/>
      <c r="AV32" s="368"/>
      <c r="AW32" s="369">
        <f t="shared" si="85"/>
        <v>0</v>
      </c>
      <c r="AX32" s="501"/>
      <c r="AY32" s="502"/>
      <c r="AZ32" s="370"/>
      <c r="BA32" s="370"/>
      <c r="BB32" s="370"/>
      <c r="BC32" s="370"/>
      <c r="BD32" s="370"/>
      <c r="BE32" s="370"/>
      <c r="BF32" s="380" t="str">
        <f t="shared" si="86"/>
        <v>- - -</v>
      </c>
      <c r="BG32" s="503" t="str">
        <f t="shared" si="87"/>
        <v>- - -</v>
      </c>
      <c r="BH32" s="504" t="str">
        <f t="shared" si="88"/>
        <v>NLĐ</v>
      </c>
      <c r="BI32" s="282"/>
      <c r="BJ32" s="269"/>
      <c r="BK32" s="270" t="s">
        <v>53</v>
      </c>
      <c r="BL32" s="271" t="str">
        <f t="shared" si="89"/>
        <v>A</v>
      </c>
      <c r="BM32" s="270" t="str">
        <f t="shared" si="90"/>
        <v>=&gt; s</v>
      </c>
      <c r="BN32" s="272">
        <f t="shared" si="91"/>
        <v>24207</v>
      </c>
      <c r="BO32" s="273" t="str">
        <f t="shared" si="92"/>
        <v>---</v>
      </c>
      <c r="BP32" s="274"/>
      <c r="BQ32" s="275"/>
      <c r="BR32" s="275"/>
      <c r="BS32" s="275"/>
      <c r="BT32" s="274" t="str">
        <f t="shared" si="93"/>
        <v>- - -</v>
      </c>
      <c r="BU32" s="273" t="str">
        <f t="shared" si="94"/>
        <v>- - -</v>
      </c>
      <c r="BV32" s="270"/>
      <c r="BW32" s="270"/>
      <c r="BX32" s="276"/>
      <c r="BY32" s="276"/>
      <c r="BZ32" s="276" t="str">
        <f t="shared" si="95"/>
        <v>- - -</v>
      </c>
      <c r="CA32" s="276"/>
      <c r="CB32" s="276"/>
      <c r="CC32" s="276"/>
      <c r="CE32" s="378" t="str">
        <f t="shared" si="96"/>
        <v>---</v>
      </c>
      <c r="CF32" s="378" t="str">
        <f t="shared" si="97"/>
        <v>/-/ /-/</v>
      </c>
      <c r="CG32" s="378">
        <f t="shared" si="98"/>
        <v>7</v>
      </c>
      <c r="CH32" s="378">
        <f t="shared" si="99"/>
        <v>2034</v>
      </c>
      <c r="CI32" s="378">
        <f t="shared" si="100"/>
        <v>4</v>
      </c>
      <c r="CJ32" s="378">
        <f t="shared" si="101"/>
        <v>2034</v>
      </c>
      <c r="CK32" s="378">
        <f t="shared" si="102"/>
        <v>1</v>
      </c>
      <c r="CL32" s="378">
        <f t="shared" si="103"/>
        <v>2034</v>
      </c>
      <c r="CM32" s="378" t="str">
        <f t="shared" si="104"/>
        <v>- - -</v>
      </c>
      <c r="CN32" s="619" t="str">
        <f t="shared" si="105"/>
        <v>. .</v>
      </c>
      <c r="CO32" s="620"/>
      <c r="CP32" s="497">
        <f t="shared" si="106"/>
        <v>660</v>
      </c>
      <c r="CQ32" s="379">
        <f t="shared" si="107"/>
        <v>-23742</v>
      </c>
      <c r="CR32" s="498">
        <f t="shared" si="108"/>
        <v>-1979</v>
      </c>
      <c r="CS32" s="371" t="str">
        <f t="shared" si="109"/>
        <v>Nữ dưới 30</v>
      </c>
      <c r="CT32" s="369"/>
      <c r="CU32" s="499"/>
      <c r="CV32" s="500" t="str">
        <f t="shared" si="110"/>
        <v>Đến 30</v>
      </c>
      <c r="CW32" s="368" t="str">
        <f t="shared" si="111"/>
        <v>--</v>
      </c>
      <c r="CX32" s="368"/>
      <c r="CY32" s="369"/>
      <c r="CZ32" s="505"/>
      <c r="DA32" s="381"/>
      <c r="DB32" s="370"/>
      <c r="DC32" s="370"/>
      <c r="DG32" s="378" t="s">
        <v>214</v>
      </c>
      <c r="DH32" s="378" t="s">
        <v>11</v>
      </c>
      <c r="DI32" s="378" t="s">
        <v>12</v>
      </c>
      <c r="DJ32" s="378" t="s">
        <v>133</v>
      </c>
      <c r="DK32" s="378" t="s">
        <v>12</v>
      </c>
      <c r="DL32" s="378">
        <v>2012</v>
      </c>
      <c r="DM32" s="378">
        <f t="shared" si="112"/>
        <v>0</v>
      </c>
      <c r="DN32" s="378" t="str">
        <f t="shared" si="113"/>
        <v>- - -</v>
      </c>
      <c r="DO32" s="378" t="s">
        <v>11</v>
      </c>
      <c r="DP32" s="378" t="s">
        <v>12</v>
      </c>
      <c r="DQ32" s="378" t="s">
        <v>133</v>
      </c>
      <c r="DR32" s="378" t="s">
        <v>12</v>
      </c>
      <c r="DS32" s="378">
        <v>2012</v>
      </c>
      <c r="DU32" s="378" t="str">
        <f t="shared" si="114"/>
        <v>- - -</v>
      </c>
      <c r="DV32" s="378" t="str">
        <f t="shared" si="115"/>
        <v>---</v>
      </c>
    </row>
    <row r="33" spans="1:126" s="150" customFormat="1" ht="27" customHeight="1" x14ac:dyDescent="0.25">
      <c r="A33" s="564">
        <v>484</v>
      </c>
      <c r="B33" s="157">
        <v>8</v>
      </c>
      <c r="C33" s="157" t="str">
        <f t="shared" si="71"/>
        <v>Bà</v>
      </c>
      <c r="D33" s="171" t="s">
        <v>216</v>
      </c>
      <c r="E33" s="157" t="s">
        <v>35</v>
      </c>
      <c r="F33" s="172" t="s">
        <v>40</v>
      </c>
      <c r="G33" s="173" t="s">
        <v>12</v>
      </c>
      <c r="H33" s="173" t="s">
        <v>69</v>
      </c>
      <c r="I33" s="173" t="s">
        <v>12</v>
      </c>
      <c r="J33" s="174">
        <v>1962</v>
      </c>
      <c r="K33" s="565"/>
      <c r="L33" s="565"/>
      <c r="M33" s="565" t="e">
        <f>VLOOKUP(L33,'[1]- DLiêu Gốc -'!$B$2:$G$121,2,0)</f>
        <v>#N/A</v>
      </c>
      <c r="N33" s="549" t="s">
        <v>217</v>
      </c>
      <c r="O33" s="176" t="s">
        <v>65</v>
      </c>
      <c r="P33" s="177" t="str">
        <f>VLOOKUP(U33,'[1]- DLiêu Gốc -'!$B$2:$G$56,5,0)</f>
        <v>B</v>
      </c>
      <c r="Q33" s="177" t="str">
        <f>VLOOKUP(U33,'[1]- DLiêu Gốc -'!$B$2:$G$56,6,0)</f>
        <v>- - -</v>
      </c>
      <c r="R33" s="178" t="s">
        <v>45</v>
      </c>
      <c r="S33" s="179" t="str">
        <f t="shared" si="72"/>
        <v>Kỹ thuật viên</v>
      </c>
      <c r="T33" s="180" t="str">
        <f t="shared" si="73"/>
        <v>13.096</v>
      </c>
      <c r="U33" s="181" t="s">
        <v>218</v>
      </c>
      <c r="V33" s="180" t="str">
        <f>VLOOKUP(U33,'[1]- DLiêu Gốc -'!$B$1:$G$121,2,0)</f>
        <v>13.096</v>
      </c>
      <c r="W33" s="182" t="str">
        <f t="shared" si="74"/>
        <v>Lương</v>
      </c>
      <c r="X33" s="183">
        <v>11</v>
      </c>
      <c r="Y33" s="184" t="str">
        <f t="shared" si="75"/>
        <v>/</v>
      </c>
      <c r="Z33" s="185">
        <f t="shared" si="76"/>
        <v>12</v>
      </c>
      <c r="AA33" s="186">
        <f t="shared" si="77"/>
        <v>3.8600000000000003</v>
      </c>
      <c r="AB33" s="187">
        <f t="shared" si="78"/>
        <v>12</v>
      </c>
      <c r="AC33" s="565" t="str">
        <f t="shared" si="79"/>
        <v>/</v>
      </c>
      <c r="AD33" s="185">
        <f t="shared" si="80"/>
        <v>12</v>
      </c>
      <c r="AE33" s="188">
        <f t="shared" si="81"/>
        <v>4.0600000000000005</v>
      </c>
      <c r="AF33" s="189" t="s">
        <v>11</v>
      </c>
      <c r="AG33" s="190" t="s">
        <v>12</v>
      </c>
      <c r="AH33" s="191" t="s">
        <v>133</v>
      </c>
      <c r="AI33" s="192" t="s">
        <v>12</v>
      </c>
      <c r="AJ33" s="193">
        <v>2015</v>
      </c>
      <c r="AK33" s="194"/>
      <c r="AL33" s="195"/>
      <c r="AM33" s="160">
        <f t="shared" si="82"/>
        <v>2</v>
      </c>
      <c r="AN33" s="160">
        <f t="shared" si="83"/>
        <v>-24183</v>
      </c>
      <c r="AO33" s="154"/>
      <c r="AP33" s="196"/>
      <c r="AQ33" s="162">
        <f>VLOOKUP(U33,'[1]- DLiêu Gốc -'!$B$1:$E$56,3,0)</f>
        <v>1.86</v>
      </c>
      <c r="AR33" s="156">
        <f>VLOOKUP(U33,'[1]- DLiêu Gốc -'!$B$1:$E$56,4,0)</f>
        <v>0.2</v>
      </c>
      <c r="AS33" s="197"/>
      <c r="AT33" s="198" t="str">
        <f t="shared" si="84"/>
        <v>o-o-o</v>
      </c>
      <c r="AU33" s="199"/>
      <c r="AV33" s="199"/>
      <c r="AW33" s="156">
        <f t="shared" si="85"/>
        <v>0</v>
      </c>
      <c r="AX33" s="200"/>
      <c r="AY33" s="201"/>
      <c r="AZ33" s="159"/>
      <c r="BA33" s="159"/>
      <c r="BB33" s="159"/>
      <c r="BC33" s="159"/>
      <c r="BD33" s="159"/>
      <c r="BE33" s="159"/>
      <c r="BF33" s="161" t="str">
        <f t="shared" si="86"/>
        <v>- - -</v>
      </c>
      <c r="BG33" s="202" t="str">
        <f t="shared" si="87"/>
        <v>- - -</v>
      </c>
      <c r="BH33" s="506" t="str">
        <f t="shared" si="88"/>
        <v>NLĐ</v>
      </c>
      <c r="BI33" s="282"/>
      <c r="BJ33" s="269" t="s">
        <v>219</v>
      </c>
      <c r="BK33" s="270" t="s">
        <v>53</v>
      </c>
      <c r="BL33" s="271" t="str">
        <f t="shared" si="89"/>
        <v>A</v>
      </c>
      <c r="BM33" s="270" t="str">
        <f t="shared" si="90"/>
        <v>=&gt; s</v>
      </c>
      <c r="BN33" s="272">
        <f t="shared" si="91"/>
        <v>24195</v>
      </c>
      <c r="BO33" s="273" t="str">
        <f t="shared" si="92"/>
        <v>---</v>
      </c>
      <c r="BP33" s="274"/>
      <c r="BQ33" s="275"/>
      <c r="BR33" s="275"/>
      <c r="BS33" s="275"/>
      <c r="BT33" s="274" t="str">
        <f t="shared" si="93"/>
        <v>- - -</v>
      </c>
      <c r="BU33" s="273" t="str">
        <f t="shared" si="94"/>
        <v>- - -</v>
      </c>
      <c r="BV33" s="270"/>
      <c r="BW33" s="270"/>
      <c r="BX33" s="276"/>
      <c r="BY33" s="276"/>
      <c r="BZ33" s="276" t="str">
        <f t="shared" si="95"/>
        <v>- - -</v>
      </c>
      <c r="CA33" s="276"/>
      <c r="CB33" s="276"/>
      <c r="CC33" s="276"/>
      <c r="CE33" s="150" t="str">
        <f t="shared" si="96"/>
        <v>---</v>
      </c>
      <c r="CF33" s="150" t="str">
        <f t="shared" si="97"/>
        <v>/-/ /-/</v>
      </c>
      <c r="CG33" s="150">
        <f t="shared" si="98"/>
        <v>5</v>
      </c>
      <c r="CH33" s="150">
        <f t="shared" si="99"/>
        <v>2017</v>
      </c>
      <c r="CI33" s="150">
        <f t="shared" si="100"/>
        <v>2</v>
      </c>
      <c r="CJ33" s="150">
        <f t="shared" si="101"/>
        <v>2017</v>
      </c>
      <c r="CK33" s="150">
        <f t="shared" si="102"/>
        <v>11</v>
      </c>
      <c r="CL33" s="150">
        <f t="shared" si="103"/>
        <v>2016</v>
      </c>
      <c r="CM33" s="150" t="str">
        <f t="shared" si="104"/>
        <v>- - -</v>
      </c>
      <c r="CN33" s="622" t="str">
        <f t="shared" si="105"/>
        <v>. .</v>
      </c>
      <c r="CO33" s="623"/>
      <c r="CP33" s="160">
        <f t="shared" si="106"/>
        <v>660</v>
      </c>
      <c r="CQ33" s="155">
        <f t="shared" si="107"/>
        <v>-23536</v>
      </c>
      <c r="CR33" s="196">
        <f t="shared" si="108"/>
        <v>-1962</v>
      </c>
      <c r="CS33" s="162" t="str">
        <f t="shared" si="109"/>
        <v>Nữ dưới 30</v>
      </c>
      <c r="CT33" s="156"/>
      <c r="CU33" s="197"/>
      <c r="CV33" s="198" t="str">
        <f t="shared" si="110"/>
        <v>Đến 30</v>
      </c>
      <c r="CW33" s="203" t="str">
        <f t="shared" si="111"/>
        <v>--</v>
      </c>
      <c r="CX33" s="203"/>
      <c r="CY33" s="156"/>
      <c r="CZ33" s="204"/>
      <c r="DA33" s="205"/>
      <c r="DB33" s="159"/>
      <c r="DC33" s="159"/>
      <c r="DG33" s="150" t="s">
        <v>217</v>
      </c>
      <c r="DH33" s="150" t="s">
        <v>11</v>
      </c>
      <c r="DI33" s="150" t="s">
        <v>12</v>
      </c>
      <c r="DJ33" s="150" t="s">
        <v>133</v>
      </c>
      <c r="DK33" s="150" t="s">
        <v>12</v>
      </c>
      <c r="DL33" s="150">
        <v>2013</v>
      </c>
      <c r="DM33" s="150">
        <f t="shared" si="112"/>
        <v>0</v>
      </c>
      <c r="DN33" s="150" t="str">
        <f t="shared" si="113"/>
        <v>- - -</v>
      </c>
      <c r="DO33" s="150" t="s">
        <v>11</v>
      </c>
      <c r="DP33" s="150" t="s">
        <v>12</v>
      </c>
      <c r="DQ33" s="150" t="s">
        <v>133</v>
      </c>
      <c r="DR33" s="150" t="s">
        <v>12</v>
      </c>
      <c r="DS33" s="150">
        <v>2013</v>
      </c>
      <c r="DU33" s="150" t="str">
        <f t="shared" si="114"/>
        <v>- - -</v>
      </c>
      <c r="DV33" s="150" t="str">
        <f t="shared" si="115"/>
        <v>---</v>
      </c>
    </row>
    <row r="34" spans="1:126" s="150" customFormat="1" ht="28.5" customHeight="1" x14ac:dyDescent="0.25">
      <c r="A34" s="564">
        <v>518</v>
      </c>
      <c r="B34" s="359">
        <v>9</v>
      </c>
      <c r="C34" s="157" t="str">
        <f t="shared" si="71"/>
        <v>Ông</v>
      </c>
      <c r="D34" s="171" t="s">
        <v>220</v>
      </c>
      <c r="E34" s="157" t="s">
        <v>43</v>
      </c>
      <c r="F34" s="172" t="s">
        <v>221</v>
      </c>
      <c r="G34" s="173" t="s">
        <v>12</v>
      </c>
      <c r="H34" s="173" t="s">
        <v>138</v>
      </c>
      <c r="I34" s="173" t="s">
        <v>12</v>
      </c>
      <c r="J34" s="174">
        <v>1981</v>
      </c>
      <c r="K34" s="565"/>
      <c r="L34" s="565"/>
      <c r="M34" s="565" t="e">
        <f>VLOOKUP(L34,'[1]- DLiêu Gốc -'!$B$2:$G$121,2,0)</f>
        <v>#N/A</v>
      </c>
      <c r="N34" s="549" t="s">
        <v>72</v>
      </c>
      <c r="O34" s="176" t="s">
        <v>65</v>
      </c>
      <c r="P34" s="177" t="str">
        <f>VLOOKUP(U34,'[1]- DLiêu Gốc -'!$B$2:$G$56,5,0)</f>
        <v>C</v>
      </c>
      <c r="Q34" s="177" t="str">
        <f>VLOOKUP(U34,'[1]- DLiêu Gốc -'!$B$2:$G$56,6,0)</f>
        <v>Nhân viên</v>
      </c>
      <c r="R34" s="178" t="s">
        <v>45</v>
      </c>
      <c r="S34" s="179" t="str">
        <f t="shared" si="72"/>
        <v>Nhân viên</v>
      </c>
      <c r="T34" s="180" t="str">
        <f t="shared" si="73"/>
        <v>01.005</v>
      </c>
      <c r="U34" s="181" t="s">
        <v>73</v>
      </c>
      <c r="V34" s="180" t="str">
        <f>VLOOKUP(U34,'[1]- DLiêu Gốc -'!$B$1:$G$121,2,0)</f>
        <v>01.007</v>
      </c>
      <c r="W34" s="182" t="str">
        <f t="shared" si="74"/>
        <v>Lương</v>
      </c>
      <c r="X34" s="183">
        <v>2</v>
      </c>
      <c r="Y34" s="184" t="str">
        <f t="shared" si="75"/>
        <v>/</v>
      </c>
      <c r="Z34" s="185">
        <f t="shared" si="76"/>
        <v>12</v>
      </c>
      <c r="AA34" s="186">
        <f t="shared" si="77"/>
        <v>1.8299999999999998</v>
      </c>
      <c r="AB34" s="187">
        <f t="shared" si="78"/>
        <v>3</v>
      </c>
      <c r="AC34" s="565" t="str">
        <f t="shared" si="79"/>
        <v>/</v>
      </c>
      <c r="AD34" s="185">
        <f t="shared" si="80"/>
        <v>12</v>
      </c>
      <c r="AE34" s="188">
        <f t="shared" si="81"/>
        <v>2.0099999999999998</v>
      </c>
      <c r="AF34" s="189" t="s">
        <v>11</v>
      </c>
      <c r="AG34" s="190" t="s">
        <v>12</v>
      </c>
      <c r="AH34" s="191" t="s">
        <v>133</v>
      </c>
      <c r="AI34" s="192" t="s">
        <v>12</v>
      </c>
      <c r="AJ34" s="193">
        <v>2015</v>
      </c>
      <c r="AK34" s="194"/>
      <c r="AL34" s="195"/>
      <c r="AM34" s="160">
        <f t="shared" si="82"/>
        <v>2</v>
      </c>
      <c r="AN34" s="160">
        <f t="shared" si="83"/>
        <v>-24183</v>
      </c>
      <c r="AO34" s="154"/>
      <c r="AP34" s="196"/>
      <c r="AQ34" s="162">
        <f>VLOOKUP(U34,'[1]- DLiêu Gốc -'!$B$1:$E$56,3,0)</f>
        <v>1.65</v>
      </c>
      <c r="AR34" s="156">
        <f>VLOOKUP(U34,'[1]- DLiêu Gốc -'!$B$1:$E$56,4,0)</f>
        <v>0.18</v>
      </c>
      <c r="AS34" s="197"/>
      <c r="AT34" s="198" t="str">
        <f t="shared" si="84"/>
        <v>o-o-o</v>
      </c>
      <c r="AU34" s="199"/>
      <c r="AV34" s="199"/>
      <c r="AW34" s="156">
        <f t="shared" si="85"/>
        <v>0</v>
      </c>
      <c r="AX34" s="200"/>
      <c r="AY34" s="201"/>
      <c r="AZ34" s="159"/>
      <c r="BA34" s="159"/>
      <c r="BB34" s="159"/>
      <c r="BC34" s="159"/>
      <c r="BD34" s="159"/>
      <c r="BE34" s="159"/>
      <c r="BF34" s="161" t="str">
        <f t="shared" si="86"/>
        <v>- - -</v>
      </c>
      <c r="BG34" s="202" t="str">
        <f t="shared" si="87"/>
        <v>- - -</v>
      </c>
      <c r="BH34" s="506" t="str">
        <f t="shared" si="88"/>
        <v>NLĐ</v>
      </c>
      <c r="BI34" s="282"/>
      <c r="BJ34" s="269"/>
      <c r="BK34" s="270" t="s">
        <v>53</v>
      </c>
      <c r="BL34" s="271" t="str">
        <f t="shared" si="89"/>
        <v>A</v>
      </c>
      <c r="BM34" s="270" t="str">
        <f t="shared" si="90"/>
        <v>=&gt; s</v>
      </c>
      <c r="BN34" s="272">
        <f t="shared" si="91"/>
        <v>24195</v>
      </c>
      <c r="BO34" s="273" t="str">
        <f t="shared" si="92"/>
        <v>---</v>
      </c>
      <c r="BP34" s="274"/>
      <c r="BQ34" s="275"/>
      <c r="BR34" s="275"/>
      <c r="BS34" s="275"/>
      <c r="BT34" s="274" t="str">
        <f t="shared" si="93"/>
        <v>- - -</v>
      </c>
      <c r="BU34" s="273" t="str">
        <f t="shared" si="94"/>
        <v>- - -</v>
      </c>
      <c r="BV34" s="270"/>
      <c r="BW34" s="270"/>
      <c r="BX34" s="276"/>
      <c r="BY34" s="276"/>
      <c r="BZ34" s="276" t="str">
        <f t="shared" si="95"/>
        <v>- - -</v>
      </c>
      <c r="CA34" s="276"/>
      <c r="CB34" s="276"/>
      <c r="CC34" s="276"/>
      <c r="CE34" s="150" t="str">
        <f t="shared" si="96"/>
        <v>---</v>
      </c>
      <c r="CF34" s="150" t="str">
        <f t="shared" si="97"/>
        <v>/-/ /-/</v>
      </c>
      <c r="CG34" s="150">
        <f t="shared" si="98"/>
        <v>6</v>
      </c>
      <c r="CH34" s="150">
        <f t="shared" si="99"/>
        <v>2041</v>
      </c>
      <c r="CI34" s="150">
        <f t="shared" si="100"/>
        <v>3</v>
      </c>
      <c r="CJ34" s="150">
        <f t="shared" si="101"/>
        <v>2041</v>
      </c>
      <c r="CK34" s="150">
        <f t="shared" si="102"/>
        <v>12</v>
      </c>
      <c r="CL34" s="150">
        <f t="shared" si="103"/>
        <v>2040</v>
      </c>
      <c r="CM34" s="150" t="str">
        <f t="shared" si="104"/>
        <v>- - -</v>
      </c>
      <c r="CN34" s="622" t="str">
        <f t="shared" si="105"/>
        <v>. .</v>
      </c>
      <c r="CO34" s="623"/>
      <c r="CP34" s="160">
        <f t="shared" si="106"/>
        <v>720</v>
      </c>
      <c r="CQ34" s="155">
        <f t="shared" si="107"/>
        <v>-23765</v>
      </c>
      <c r="CR34" s="196">
        <f t="shared" si="108"/>
        <v>-1981</v>
      </c>
      <c r="CS34" s="162" t="str">
        <f t="shared" si="109"/>
        <v>Nam dưới 35</v>
      </c>
      <c r="CT34" s="156"/>
      <c r="CU34" s="197"/>
      <c r="CV34" s="198" t="str">
        <f t="shared" si="110"/>
        <v>Đến 30</v>
      </c>
      <c r="CW34" s="203" t="str">
        <f t="shared" si="111"/>
        <v>--</v>
      </c>
      <c r="CX34" s="203"/>
      <c r="CY34" s="156"/>
      <c r="CZ34" s="204"/>
      <c r="DA34" s="205"/>
      <c r="DB34" s="159"/>
      <c r="DC34" s="159"/>
      <c r="DG34" s="150" t="s">
        <v>72</v>
      </c>
      <c r="DH34" s="150" t="s">
        <v>11</v>
      </c>
      <c r="DI34" s="150" t="s">
        <v>12</v>
      </c>
      <c r="DJ34" s="150" t="s">
        <v>133</v>
      </c>
      <c r="DK34" s="150" t="s">
        <v>12</v>
      </c>
      <c r="DL34" s="150">
        <v>2013</v>
      </c>
      <c r="DM34" s="150">
        <f t="shared" si="112"/>
        <v>0</v>
      </c>
      <c r="DN34" s="150" t="str">
        <f t="shared" si="113"/>
        <v>- - -</v>
      </c>
      <c r="DO34" s="150" t="s">
        <v>11</v>
      </c>
      <c r="DP34" s="150" t="s">
        <v>12</v>
      </c>
      <c r="DQ34" s="150" t="s">
        <v>133</v>
      </c>
      <c r="DR34" s="150" t="s">
        <v>12</v>
      </c>
      <c r="DS34" s="150">
        <v>2013</v>
      </c>
      <c r="DU34" s="150" t="str">
        <f t="shared" si="114"/>
        <v>- - -</v>
      </c>
      <c r="DV34" s="150" t="str">
        <f t="shared" si="115"/>
        <v>---</v>
      </c>
    </row>
    <row r="35" spans="1:126" s="150" customFormat="1" ht="29.25" customHeight="1" x14ac:dyDescent="0.25">
      <c r="A35" s="564">
        <v>522</v>
      </c>
      <c r="B35" s="157">
        <v>10</v>
      </c>
      <c r="C35" s="157" t="str">
        <f t="shared" si="71"/>
        <v>Ông</v>
      </c>
      <c r="D35" s="171" t="s">
        <v>222</v>
      </c>
      <c r="E35" s="157" t="s">
        <v>43</v>
      </c>
      <c r="F35" s="172" t="s">
        <v>221</v>
      </c>
      <c r="G35" s="173" t="s">
        <v>12</v>
      </c>
      <c r="H35" s="173" t="s">
        <v>118</v>
      </c>
      <c r="I35" s="173" t="s">
        <v>12</v>
      </c>
      <c r="J35" s="174">
        <v>1960</v>
      </c>
      <c r="K35" s="565"/>
      <c r="L35" s="565"/>
      <c r="M35" s="565" t="e">
        <f>VLOOKUP(L35,'[1]- DLiêu Gốc -'!$B$2:$G$121,2,0)</f>
        <v>#N/A</v>
      </c>
      <c r="N35" s="549" t="s">
        <v>72</v>
      </c>
      <c r="O35" s="176" t="s">
        <v>65</v>
      </c>
      <c r="P35" s="177" t="str">
        <f>VLOOKUP(U35,'[1]- DLiêu Gốc -'!$B$2:$G$56,5,0)</f>
        <v>C</v>
      </c>
      <c r="Q35" s="177" t="str">
        <f>VLOOKUP(U35,'[1]- DLiêu Gốc -'!$B$2:$G$56,6,0)</f>
        <v>Nhân viên</v>
      </c>
      <c r="R35" s="178" t="s">
        <v>45</v>
      </c>
      <c r="S35" s="179" t="str">
        <f t="shared" si="72"/>
        <v>Nhân viên</v>
      </c>
      <c r="T35" s="180" t="str">
        <f t="shared" si="73"/>
        <v>01.005</v>
      </c>
      <c r="U35" s="181" t="s">
        <v>73</v>
      </c>
      <c r="V35" s="180" t="str">
        <f>VLOOKUP(U35,'[1]- DLiêu Gốc -'!$B$1:$G$121,2,0)</f>
        <v>01.007</v>
      </c>
      <c r="W35" s="182" t="str">
        <f t="shared" si="74"/>
        <v>Lương</v>
      </c>
      <c r="X35" s="183">
        <v>7</v>
      </c>
      <c r="Y35" s="184" t="str">
        <f t="shared" si="75"/>
        <v>/</v>
      </c>
      <c r="Z35" s="185">
        <f t="shared" si="76"/>
        <v>12</v>
      </c>
      <c r="AA35" s="186">
        <f t="shared" si="77"/>
        <v>2.73</v>
      </c>
      <c r="AB35" s="187">
        <f t="shared" si="78"/>
        <v>8</v>
      </c>
      <c r="AC35" s="565" t="str">
        <f t="shared" si="79"/>
        <v>/</v>
      </c>
      <c r="AD35" s="185">
        <f t="shared" si="80"/>
        <v>12</v>
      </c>
      <c r="AE35" s="188">
        <f t="shared" si="81"/>
        <v>2.91</v>
      </c>
      <c r="AF35" s="189" t="s">
        <v>11</v>
      </c>
      <c r="AG35" s="190" t="s">
        <v>12</v>
      </c>
      <c r="AH35" s="191" t="s">
        <v>133</v>
      </c>
      <c r="AI35" s="192" t="s">
        <v>12</v>
      </c>
      <c r="AJ35" s="193">
        <v>2015</v>
      </c>
      <c r="AK35" s="194"/>
      <c r="AL35" s="195"/>
      <c r="AM35" s="160">
        <f t="shared" si="82"/>
        <v>2</v>
      </c>
      <c r="AN35" s="160">
        <f t="shared" si="83"/>
        <v>-24183</v>
      </c>
      <c r="AO35" s="154"/>
      <c r="AP35" s="196"/>
      <c r="AQ35" s="162">
        <f>VLOOKUP(U35,'[1]- DLiêu Gốc -'!$B$1:$E$56,3,0)</f>
        <v>1.65</v>
      </c>
      <c r="AR35" s="156">
        <f>VLOOKUP(U35,'[1]- DLiêu Gốc -'!$B$1:$E$56,4,0)</f>
        <v>0.18</v>
      </c>
      <c r="AS35" s="197"/>
      <c r="AT35" s="198" t="str">
        <f t="shared" si="84"/>
        <v>o-o-o</v>
      </c>
      <c r="AU35" s="199"/>
      <c r="AV35" s="199"/>
      <c r="AW35" s="156">
        <f t="shared" si="85"/>
        <v>0</v>
      </c>
      <c r="AX35" s="200"/>
      <c r="AY35" s="201"/>
      <c r="AZ35" s="159"/>
      <c r="BA35" s="159"/>
      <c r="BB35" s="159"/>
      <c r="BC35" s="159"/>
      <c r="BD35" s="159"/>
      <c r="BE35" s="159"/>
      <c r="BF35" s="161" t="str">
        <f t="shared" si="86"/>
        <v>- - -</v>
      </c>
      <c r="BG35" s="202" t="str">
        <f t="shared" si="87"/>
        <v>- - -</v>
      </c>
      <c r="BH35" s="506" t="str">
        <f t="shared" si="88"/>
        <v>NLĐ</v>
      </c>
      <c r="BI35" s="282"/>
      <c r="BJ35" s="269" t="s">
        <v>219</v>
      </c>
      <c r="BK35" s="270" t="s">
        <v>53</v>
      </c>
      <c r="BL35" s="271" t="str">
        <f t="shared" si="89"/>
        <v>A</v>
      </c>
      <c r="BM35" s="270" t="str">
        <f t="shared" si="90"/>
        <v>=&gt; s</v>
      </c>
      <c r="BN35" s="272">
        <f t="shared" si="91"/>
        <v>24195</v>
      </c>
      <c r="BO35" s="273" t="str">
        <f t="shared" si="92"/>
        <v>---</v>
      </c>
      <c r="BP35" s="274"/>
      <c r="BQ35" s="275"/>
      <c r="BR35" s="275"/>
      <c r="BS35" s="275"/>
      <c r="BT35" s="274" t="str">
        <f t="shared" si="93"/>
        <v>- - -</v>
      </c>
      <c r="BU35" s="273" t="str">
        <f t="shared" si="94"/>
        <v>- - -</v>
      </c>
      <c r="BV35" s="270"/>
      <c r="BW35" s="270"/>
      <c r="BX35" s="276"/>
      <c r="BY35" s="276"/>
      <c r="BZ35" s="276" t="str">
        <f t="shared" si="95"/>
        <v>- - -</v>
      </c>
      <c r="CA35" s="276"/>
      <c r="CB35" s="276"/>
      <c r="CC35" s="276"/>
      <c r="CE35" s="150" t="str">
        <f t="shared" si="96"/>
        <v>---</v>
      </c>
      <c r="CF35" s="150" t="str">
        <f t="shared" si="97"/>
        <v>/-/ /-/</v>
      </c>
      <c r="CG35" s="150">
        <f t="shared" si="98"/>
        <v>10</v>
      </c>
      <c r="CH35" s="150">
        <f t="shared" si="99"/>
        <v>2020</v>
      </c>
      <c r="CI35" s="150">
        <f t="shared" si="100"/>
        <v>7</v>
      </c>
      <c r="CJ35" s="150">
        <f t="shared" si="101"/>
        <v>2020</v>
      </c>
      <c r="CK35" s="150">
        <f t="shared" si="102"/>
        <v>4</v>
      </c>
      <c r="CL35" s="150">
        <f t="shared" si="103"/>
        <v>2020</v>
      </c>
      <c r="CM35" s="150" t="str">
        <f t="shared" si="104"/>
        <v>- - -</v>
      </c>
      <c r="CN35" s="622" t="str">
        <f t="shared" si="105"/>
        <v>. .</v>
      </c>
      <c r="CO35" s="623"/>
      <c r="CP35" s="160">
        <f t="shared" si="106"/>
        <v>720</v>
      </c>
      <c r="CQ35" s="155">
        <f t="shared" si="107"/>
        <v>-23517</v>
      </c>
      <c r="CR35" s="196">
        <f t="shared" si="108"/>
        <v>-1960</v>
      </c>
      <c r="CS35" s="162" t="str">
        <f t="shared" si="109"/>
        <v>Nam dưới 35</v>
      </c>
      <c r="CT35" s="156"/>
      <c r="CU35" s="197"/>
      <c r="CV35" s="198" t="str">
        <f t="shared" si="110"/>
        <v>Đến 30</v>
      </c>
      <c r="CW35" s="203" t="str">
        <f t="shared" si="111"/>
        <v>--</v>
      </c>
      <c r="CX35" s="203"/>
      <c r="CY35" s="156"/>
      <c r="CZ35" s="204"/>
      <c r="DA35" s="205"/>
      <c r="DB35" s="159"/>
      <c r="DC35" s="159"/>
      <c r="DG35" s="150" t="s">
        <v>72</v>
      </c>
      <c r="DH35" s="150" t="s">
        <v>11</v>
      </c>
      <c r="DI35" s="150" t="s">
        <v>12</v>
      </c>
      <c r="DJ35" s="150" t="s">
        <v>133</v>
      </c>
      <c r="DK35" s="150" t="s">
        <v>12</v>
      </c>
      <c r="DL35" s="150">
        <v>2013</v>
      </c>
      <c r="DM35" s="150">
        <f t="shared" si="112"/>
        <v>0</v>
      </c>
      <c r="DN35" s="150" t="str">
        <f t="shared" si="113"/>
        <v>- - -</v>
      </c>
      <c r="DO35" s="150" t="s">
        <v>11</v>
      </c>
      <c r="DP35" s="150" t="s">
        <v>12</v>
      </c>
      <c r="DQ35" s="150" t="s">
        <v>133</v>
      </c>
      <c r="DR35" s="150" t="s">
        <v>12</v>
      </c>
      <c r="DS35" s="150">
        <v>2013</v>
      </c>
      <c r="DU35" s="150" t="str">
        <f t="shared" si="114"/>
        <v>- - -</v>
      </c>
      <c r="DV35" s="150" t="str">
        <f t="shared" si="115"/>
        <v>---</v>
      </c>
    </row>
    <row r="36" spans="1:126" s="378" customFormat="1" ht="63.75" customHeight="1" x14ac:dyDescent="0.25">
      <c r="A36" s="386">
        <v>581</v>
      </c>
      <c r="B36" s="359">
        <v>11</v>
      </c>
      <c r="C36" s="359" t="str">
        <f t="shared" si="71"/>
        <v>Ông</v>
      </c>
      <c r="D36" s="473" t="s">
        <v>223</v>
      </c>
      <c r="E36" s="359" t="s">
        <v>43</v>
      </c>
      <c r="F36" s="474" t="s">
        <v>68</v>
      </c>
      <c r="G36" s="475" t="s">
        <v>12</v>
      </c>
      <c r="H36" s="475" t="s">
        <v>40</v>
      </c>
      <c r="I36" s="475" t="s">
        <v>12</v>
      </c>
      <c r="J36" s="476">
        <v>1974</v>
      </c>
      <c r="K36" s="477"/>
      <c r="L36" s="477"/>
      <c r="M36" s="477">
        <f>VLOOKUP(L36,'[2]- DLiêu Gốc -'!$B$2:$G$120,2,0)</f>
        <v>0</v>
      </c>
      <c r="N36" s="566" t="s">
        <v>224</v>
      </c>
      <c r="O36" s="479" t="s">
        <v>225</v>
      </c>
      <c r="P36" s="480" t="str">
        <f>VLOOKUP(U36,'[2]- DLiêu Gốc -'!$B$2:$G$54,5,0)</f>
        <v>A1</v>
      </c>
      <c r="Q36" s="480" t="str">
        <f>VLOOKUP(U36,'[2]- DLiêu Gốc -'!$B$2:$G$54,6,0)</f>
        <v>- - -</v>
      </c>
      <c r="R36" s="481" t="s">
        <v>45</v>
      </c>
      <c r="S36" s="482" t="str">
        <f t="shared" si="72"/>
        <v>Chuyên viên</v>
      </c>
      <c r="T36" s="483" t="str">
        <f t="shared" si="73"/>
        <v>01.003</v>
      </c>
      <c r="U36" s="484" t="s">
        <v>46</v>
      </c>
      <c r="V36" s="483" t="str">
        <f>VLOOKUP(U36,'[1]- DLiêu Gốc -'!$B$1:$G$121,2,0)</f>
        <v>01.003</v>
      </c>
      <c r="W36" s="485" t="str">
        <f t="shared" si="74"/>
        <v>Lương</v>
      </c>
      <c r="X36" s="486">
        <v>3</v>
      </c>
      <c r="Y36" s="487" t="str">
        <f t="shared" si="75"/>
        <v>/</v>
      </c>
      <c r="Z36" s="488">
        <f t="shared" si="76"/>
        <v>9</v>
      </c>
      <c r="AA36" s="365">
        <f t="shared" si="77"/>
        <v>3</v>
      </c>
      <c r="AB36" s="489">
        <f t="shared" si="78"/>
        <v>4</v>
      </c>
      <c r="AC36" s="477" t="str">
        <f t="shared" si="79"/>
        <v>/</v>
      </c>
      <c r="AD36" s="488">
        <f t="shared" si="80"/>
        <v>9</v>
      </c>
      <c r="AE36" s="490">
        <f t="shared" si="81"/>
        <v>3.33</v>
      </c>
      <c r="AF36" s="491" t="s">
        <v>11</v>
      </c>
      <c r="AG36" s="492" t="s">
        <v>12</v>
      </c>
      <c r="AH36" s="376" t="s">
        <v>133</v>
      </c>
      <c r="AI36" s="493" t="s">
        <v>12</v>
      </c>
      <c r="AJ36" s="494">
        <v>2015</v>
      </c>
      <c r="AK36" s="495"/>
      <c r="AL36" s="496"/>
      <c r="AM36" s="497">
        <f t="shared" si="82"/>
        <v>3</v>
      </c>
      <c r="AN36" s="497">
        <f t="shared" si="83"/>
        <v>-24183</v>
      </c>
      <c r="AO36" s="358"/>
      <c r="AP36" s="498"/>
      <c r="AQ36" s="371">
        <f>VLOOKUP(U36,'[2]- DLiêu Gốc -'!$B$1:$E$54,3,0)</f>
        <v>2.34</v>
      </c>
      <c r="AR36" s="369">
        <f>VLOOKUP(U36,'[2]- DLiêu Gốc -'!$B$1:$E$54,4,0)</f>
        <v>0.33</v>
      </c>
      <c r="AS36" s="499"/>
      <c r="AT36" s="500" t="str">
        <f t="shared" si="84"/>
        <v>o-o-o</v>
      </c>
      <c r="AU36" s="368"/>
      <c r="AV36" s="368"/>
      <c r="AW36" s="369">
        <f t="shared" si="85"/>
        <v>0</v>
      </c>
      <c r="AX36" s="501"/>
      <c r="AY36" s="502"/>
      <c r="AZ36" s="370"/>
      <c r="BA36" s="370"/>
      <c r="BB36" s="370" t="s">
        <v>50</v>
      </c>
      <c r="BC36" s="370"/>
      <c r="BD36" s="370"/>
      <c r="BE36" s="370"/>
      <c r="BF36" s="380" t="str">
        <f t="shared" si="86"/>
        <v>- - -</v>
      </c>
      <c r="BG36" s="503" t="str">
        <f t="shared" si="87"/>
        <v>- - -</v>
      </c>
      <c r="BH36" s="504" t="str">
        <f t="shared" si="88"/>
        <v>NLĐ</v>
      </c>
      <c r="BI36" s="282"/>
      <c r="BJ36" s="269"/>
      <c r="BK36" s="270" t="s">
        <v>53</v>
      </c>
      <c r="BL36" s="271" t="str">
        <f t="shared" si="89"/>
        <v>A</v>
      </c>
      <c r="BM36" s="270" t="str">
        <f t="shared" si="90"/>
        <v>=&gt; s</v>
      </c>
      <c r="BN36" s="272">
        <f t="shared" si="91"/>
        <v>24207</v>
      </c>
      <c r="BO36" s="273" t="str">
        <f t="shared" si="92"/>
        <v>---</v>
      </c>
      <c r="BP36" s="274"/>
      <c r="BQ36" s="275"/>
      <c r="BR36" s="275"/>
      <c r="BS36" s="275"/>
      <c r="BT36" s="274" t="str">
        <f t="shared" si="93"/>
        <v>- - -</v>
      </c>
      <c r="BU36" s="273" t="str">
        <f t="shared" si="94"/>
        <v>- - -</v>
      </c>
      <c r="BV36" s="270"/>
      <c r="BW36" s="270"/>
      <c r="BX36" s="276"/>
      <c r="BY36" s="276"/>
      <c r="BZ36" s="276" t="str">
        <f t="shared" si="95"/>
        <v>- - -</v>
      </c>
      <c r="CA36" s="276"/>
      <c r="CB36" s="276"/>
      <c r="CC36" s="276"/>
      <c r="CE36" s="378" t="str">
        <f>IF(AND(CF36="Hưu",X36&lt;(Z36-1),CM36&gt;0,CM36&lt;18,OR(AU36&lt;4,AND(AU36&gt;3,OR(BG36&lt;3,BG36&gt;5)))),"Lg Sớm",IF(AND(CF36="Hưu",X36&gt;(Z36-2),OR(AR36=0.33,AR36=0.34),OR(AU36&lt;4,AND(AU36&gt;3,OR(BG36&lt;3,BG36&gt;5)))),"Nâng Ngạch??",IF(AND(CF36="Hưu",AM36=1,CM36&gt;2,CM36&lt;6,OR(AU36&lt;4,AND(AU36&gt;3,OR(BG36&lt;3,BG36&gt;5)))),"Nâng PcVK cùng QĐ",IF(AND(CF36="Hưu",AU36&gt;3,BG36&gt;2,BG36&lt;6,X36&lt;(Z36-1),CM36&gt;17,OR(AM36&gt;1,AND(AM36=1,OR(CM36&lt;3,CM36&gt;5)))),"Nâng PcNG cùng QĐ",IF(AND(CF36="Hưu",X36&lt;(Z36-1),CM36&gt;0,CM36&lt;18,AU36&gt;3,BG36&gt;2,BG36&lt;6),"Nâng Lg Sớm +(PcNG cùng QĐ)",IF(AND(CF36="Hưu",X36&gt;(Z36-2),OR(AR36=0.33,AR36=0.34),AU36&gt;3,BG36&gt;2,BG36&lt;6),"Nâng Ngạch?? +(PcNG cùng QĐ)",IF(AND(CF36="Hưu",AM36=1,CM36&gt;2,CM36&lt;6,AU36&gt;3,BG36&gt;2,BG36&lt;6),"Nâng (PcVK +PcNG) cùng QĐ",("---"))))))))</f>
        <v>---</v>
      </c>
      <c r="CF36" s="378" t="str">
        <f t="shared" si="97"/>
        <v>/-/ /-/</v>
      </c>
      <c r="CG36" s="378">
        <f t="shared" si="98"/>
        <v>3</v>
      </c>
      <c r="CH36" s="378">
        <f t="shared" si="99"/>
        <v>2034</v>
      </c>
      <c r="CI36" s="378">
        <f t="shared" si="100"/>
        <v>12</v>
      </c>
      <c r="CJ36" s="378">
        <f t="shared" si="101"/>
        <v>2033</v>
      </c>
      <c r="CK36" s="378">
        <f t="shared" si="102"/>
        <v>9</v>
      </c>
      <c r="CL36" s="378">
        <f t="shared" si="103"/>
        <v>2033</v>
      </c>
      <c r="CM36" s="378" t="str">
        <f t="shared" si="104"/>
        <v>- - -</v>
      </c>
      <c r="CN36" s="619" t="str">
        <f t="shared" si="105"/>
        <v>. .</v>
      </c>
      <c r="CO36" s="620"/>
      <c r="CP36" s="497">
        <f t="shared" si="106"/>
        <v>720</v>
      </c>
      <c r="CQ36" s="379">
        <f t="shared" si="107"/>
        <v>-23678</v>
      </c>
      <c r="CR36" s="498">
        <f t="shared" si="108"/>
        <v>-1974</v>
      </c>
      <c r="CS36" s="371" t="str">
        <f t="shared" si="109"/>
        <v>Nam dưới 35</v>
      </c>
      <c r="CT36" s="369"/>
      <c r="CU36" s="499"/>
      <c r="CV36" s="500" t="str">
        <f t="shared" si="110"/>
        <v>Đến 30</v>
      </c>
      <c r="CW36" s="368" t="str">
        <f t="shared" si="111"/>
        <v>--</v>
      </c>
      <c r="CX36" s="368"/>
      <c r="CY36" s="369"/>
      <c r="CZ36" s="505"/>
      <c r="DA36" s="381"/>
      <c r="DB36" s="370"/>
      <c r="DC36" s="370"/>
      <c r="DG36" s="378" t="s">
        <v>224</v>
      </c>
      <c r="DH36" s="378" t="s">
        <v>11</v>
      </c>
      <c r="DI36" s="378" t="s">
        <v>12</v>
      </c>
      <c r="DJ36" s="378" t="s">
        <v>133</v>
      </c>
      <c r="DK36" s="378" t="s">
        <v>12</v>
      </c>
      <c r="DL36" s="378">
        <v>2012</v>
      </c>
      <c r="DM36" s="378">
        <f t="shared" si="112"/>
        <v>0</v>
      </c>
      <c r="DN36" s="378" t="str">
        <f t="shared" si="113"/>
        <v>- - -</v>
      </c>
      <c r="DO36" s="378" t="s">
        <v>11</v>
      </c>
      <c r="DP36" s="378" t="s">
        <v>12</v>
      </c>
      <c r="DQ36" s="378" t="s">
        <v>133</v>
      </c>
      <c r="DR36" s="378" t="s">
        <v>12</v>
      </c>
      <c r="DS36" s="378">
        <v>2012</v>
      </c>
      <c r="DU36" s="378" t="str">
        <f t="shared" si="114"/>
        <v>- - -</v>
      </c>
      <c r="DV36" s="378" t="str">
        <f t="shared" si="115"/>
        <v>---</v>
      </c>
    </row>
    <row r="37" spans="1:126" s="150" customFormat="1" ht="48" customHeight="1" x14ac:dyDescent="0.25">
      <c r="A37" s="564">
        <v>664</v>
      </c>
      <c r="B37" s="157">
        <v>12</v>
      </c>
      <c r="C37" s="157" t="str">
        <f t="shared" si="71"/>
        <v>Ông</v>
      </c>
      <c r="D37" s="171" t="s">
        <v>181</v>
      </c>
      <c r="E37" s="157" t="s">
        <v>43</v>
      </c>
      <c r="F37" s="172" t="s">
        <v>182</v>
      </c>
      <c r="G37" s="173" t="s">
        <v>12</v>
      </c>
      <c r="H37" s="173" t="s">
        <v>51</v>
      </c>
      <c r="I37" s="173" t="s">
        <v>12</v>
      </c>
      <c r="J37" s="174" t="s">
        <v>148</v>
      </c>
      <c r="K37" s="565"/>
      <c r="L37" s="565"/>
      <c r="M37" s="565" t="e">
        <f>VLOOKUP(L37,'[1]- DLiêu Gốc -'!$B$2:$G$121,2,0)</f>
        <v>#N/A</v>
      </c>
      <c r="N37" s="175" t="s">
        <v>71</v>
      </c>
      <c r="O37" s="176" t="s">
        <v>67</v>
      </c>
      <c r="P37" s="177" t="str">
        <f>VLOOKUP(U37,'[1]- DLiêu Gốc -'!$B$2:$G$56,5,0)</f>
        <v>A1</v>
      </c>
      <c r="Q37" s="177" t="str">
        <f>VLOOKUP(U37,'[1]- DLiêu Gốc -'!$B$2:$G$56,6,0)</f>
        <v>- - -</v>
      </c>
      <c r="R37" s="178" t="s">
        <v>37</v>
      </c>
      <c r="S37" s="179" t="str">
        <f t="shared" si="72"/>
        <v>Giảng viên (hạng III)</v>
      </c>
      <c r="T37" s="180" t="str">
        <f t="shared" si="73"/>
        <v>V.07.01.03</v>
      </c>
      <c r="U37" s="181" t="s">
        <v>38</v>
      </c>
      <c r="V37" s="180" t="str">
        <f>VLOOKUP(U37,'[1]- DLiêu Gốc -'!$B$1:$G$121,2,0)</f>
        <v>V.07.01.03</v>
      </c>
      <c r="W37" s="182" t="str">
        <f t="shared" si="74"/>
        <v>Lương</v>
      </c>
      <c r="X37" s="183">
        <v>4</v>
      </c>
      <c r="Y37" s="184" t="str">
        <f t="shared" si="75"/>
        <v>/</v>
      </c>
      <c r="Z37" s="185">
        <f t="shared" si="76"/>
        <v>9</v>
      </c>
      <c r="AA37" s="186">
        <f t="shared" si="77"/>
        <v>3.33</v>
      </c>
      <c r="AB37" s="187">
        <f t="shared" si="78"/>
        <v>5</v>
      </c>
      <c r="AC37" s="565" t="str">
        <f t="shared" si="79"/>
        <v>/</v>
      </c>
      <c r="AD37" s="185">
        <f t="shared" si="80"/>
        <v>9</v>
      </c>
      <c r="AE37" s="188">
        <f t="shared" si="81"/>
        <v>3.66</v>
      </c>
      <c r="AF37" s="189" t="s">
        <v>11</v>
      </c>
      <c r="AG37" s="190" t="s">
        <v>12</v>
      </c>
      <c r="AH37" s="191" t="s">
        <v>133</v>
      </c>
      <c r="AI37" s="192" t="s">
        <v>12</v>
      </c>
      <c r="AJ37" s="193">
        <v>2015</v>
      </c>
      <c r="AK37" s="194"/>
      <c r="AL37" s="195"/>
      <c r="AM37" s="160">
        <f t="shared" si="82"/>
        <v>3</v>
      </c>
      <c r="AN37" s="160">
        <f t="shared" si="83"/>
        <v>-24183</v>
      </c>
      <c r="AO37" s="154"/>
      <c r="AP37" s="196"/>
      <c r="AQ37" s="162">
        <f>VLOOKUP(U37,'[1]- DLiêu Gốc -'!$B$1:$E$56,3,0)</f>
        <v>2.34</v>
      </c>
      <c r="AR37" s="156">
        <f>VLOOKUP(U37,'[1]- DLiêu Gốc -'!$B$1:$E$56,4,0)</f>
        <v>0.33</v>
      </c>
      <c r="AS37" s="197"/>
      <c r="AT37" s="198" t="str">
        <f t="shared" si="84"/>
        <v>PCTN</v>
      </c>
      <c r="AU37" s="199">
        <v>7</v>
      </c>
      <c r="AV37" s="199" t="s">
        <v>41</v>
      </c>
      <c r="AW37" s="156">
        <f t="shared" si="85"/>
        <v>8</v>
      </c>
      <c r="AX37" s="200" t="s">
        <v>41</v>
      </c>
      <c r="AY37" s="201">
        <v>3</v>
      </c>
      <c r="AZ37" s="159" t="s">
        <v>12</v>
      </c>
      <c r="BA37" s="159">
        <v>2014</v>
      </c>
      <c r="BB37" s="159"/>
      <c r="BC37" s="159"/>
      <c r="BD37" s="159"/>
      <c r="BE37" s="159">
        <v>3</v>
      </c>
      <c r="BF37" s="161">
        <f t="shared" si="86"/>
        <v>-24171</v>
      </c>
      <c r="BG37" s="202" t="str">
        <f t="shared" si="87"/>
        <v>- - -</v>
      </c>
      <c r="BH37" s="506" t="str">
        <f t="shared" si="88"/>
        <v>CC,VC</v>
      </c>
      <c r="BI37" s="282"/>
      <c r="BJ37" s="269"/>
      <c r="BK37" s="270" t="s">
        <v>10</v>
      </c>
      <c r="BL37" s="271" t="str">
        <f t="shared" si="89"/>
        <v>A</v>
      </c>
      <c r="BM37" s="270" t="str">
        <f t="shared" si="90"/>
        <v>=&gt; s</v>
      </c>
      <c r="BN37" s="272">
        <f t="shared" si="91"/>
        <v>24207</v>
      </c>
      <c r="BO37" s="273" t="str">
        <f t="shared" si="92"/>
        <v>---</v>
      </c>
      <c r="BP37" s="274"/>
      <c r="BQ37" s="275"/>
      <c r="BR37" s="275"/>
      <c r="BS37" s="275"/>
      <c r="BT37" s="274" t="str">
        <f t="shared" si="93"/>
        <v>- - -</v>
      </c>
      <c r="BU37" s="273" t="str">
        <f t="shared" si="94"/>
        <v>- - -</v>
      </c>
      <c r="BV37" s="270"/>
      <c r="BW37" s="270"/>
      <c r="BX37" s="276"/>
      <c r="BY37" s="276"/>
      <c r="BZ37" s="276" t="str">
        <f t="shared" si="95"/>
        <v>- - -</v>
      </c>
      <c r="CA37" s="276"/>
      <c r="CB37" s="276"/>
      <c r="CC37" s="276"/>
      <c r="CE37" s="150" t="str">
        <f t="shared" ref="CE37:CE41" si="116">IF(AND(CF37="Hưu",X37&lt;(Z37-1),CM37&gt;0,CM37&lt;18,OR(AU37&lt;4,AND(AU37&gt;3,OR(BG37&lt;3,BG37&gt;5)))),"Lg Sớm",IF(AND(CF37="Hưu",X37&gt;(Z37-2),OR(AR37=0.33,AR37=0.34),OR(AU37&lt;4,AND(AU37&gt;3,OR(BG37&lt;3,BG37&gt;5)))),"Nâng Ngạch",IF(AND(CF37="Hưu",AM37=1,CM37&gt;2,CM37&lt;6,OR(AU37&lt;4,AND(AU37&gt;3,OR(BG37&lt;3,BG37&gt;5)))),"Nâng PcVK cùng QĐ",IF(AND(CF37="Hưu",AU37&gt;3,BG37&gt;2,BG37&lt;6,X37&lt;(Z37-1),CM37&gt;17,OR(AM37&gt;1,AND(AM37=1,OR(CM37&lt;3,CM37&gt;5)))),"Nâng PcNG cùng QĐ",IF(AND(CF37="Hưu",X37&lt;(Z37-1),CM37&gt;0,CM37&lt;18,AU37&gt;3,BG37&gt;2,BG37&lt;6),"Nâng Lg Sớm +(PcNG cùng QĐ)",IF(AND(CF37="Hưu",X37&gt;(Z37-2),OR(AR37=0.33,AR37=0.34),AU37&gt;3,BG37&gt;2,BG37&lt;6),"Nâng Ngạch +(PcNG cùng QĐ)",IF(AND(CF37="Hưu",AM37=1,CM37&gt;2,CM37&lt;6,AU37&gt;3,BG37&gt;2,BG37&lt;6),"Nâng (PcVK +PcNG) cùng QĐ",("---"))))))))</f>
        <v>---</v>
      </c>
      <c r="CF37" s="150" t="str">
        <f t="shared" si="97"/>
        <v>/-/ /-/</v>
      </c>
      <c r="CG37" s="150">
        <f t="shared" si="98"/>
        <v>1</v>
      </c>
      <c r="CH37" s="150">
        <f t="shared" si="99"/>
        <v>2031</v>
      </c>
      <c r="CI37" s="150">
        <f t="shared" si="100"/>
        <v>10</v>
      </c>
      <c r="CJ37" s="150">
        <f t="shared" si="101"/>
        <v>2030</v>
      </c>
      <c r="CK37" s="150">
        <f t="shared" si="102"/>
        <v>7</v>
      </c>
      <c r="CL37" s="150">
        <f t="shared" si="103"/>
        <v>2030</v>
      </c>
      <c r="CM37" s="150" t="str">
        <f t="shared" si="104"/>
        <v>- - -</v>
      </c>
      <c r="CN37" s="622" t="str">
        <f t="shared" si="105"/>
        <v>. .</v>
      </c>
      <c r="CO37" s="623"/>
      <c r="CP37" s="160">
        <f t="shared" si="106"/>
        <v>720</v>
      </c>
      <c r="CQ37" s="155">
        <f t="shared" si="107"/>
        <v>-23640</v>
      </c>
      <c r="CR37" s="196">
        <f t="shared" si="108"/>
        <v>-1970</v>
      </c>
      <c r="CS37" s="162" t="str">
        <f t="shared" si="109"/>
        <v>Nam dưới 35</v>
      </c>
      <c r="CT37" s="156"/>
      <c r="CU37" s="197"/>
      <c r="CV37" s="198" t="str">
        <f t="shared" si="110"/>
        <v>Đến 30</v>
      </c>
      <c r="CW37" s="203" t="str">
        <f t="shared" si="111"/>
        <v>TD</v>
      </c>
      <c r="CX37" s="203">
        <v>2008</v>
      </c>
      <c r="CY37" s="156"/>
      <c r="CZ37" s="204"/>
      <c r="DA37" s="205"/>
      <c r="DB37" s="159"/>
      <c r="DC37" s="159"/>
      <c r="DG37" s="150" t="s">
        <v>71</v>
      </c>
      <c r="DH37" s="150" t="s">
        <v>11</v>
      </c>
      <c r="DI37" s="150" t="s">
        <v>12</v>
      </c>
      <c r="DJ37" s="150" t="s">
        <v>133</v>
      </c>
      <c r="DK37" s="150" t="s">
        <v>12</v>
      </c>
      <c r="DL37" s="150" t="s">
        <v>49</v>
      </c>
      <c r="DM37" s="150">
        <f t="shared" si="112"/>
        <v>0</v>
      </c>
      <c r="DN37" s="150" t="str">
        <f t="shared" si="113"/>
        <v>- - -</v>
      </c>
      <c r="DO37" s="150" t="s">
        <v>11</v>
      </c>
      <c r="DP37" s="150" t="s">
        <v>12</v>
      </c>
      <c r="DQ37" s="150" t="s">
        <v>133</v>
      </c>
      <c r="DR37" s="150" t="s">
        <v>12</v>
      </c>
      <c r="DS37" s="150" t="s">
        <v>49</v>
      </c>
      <c r="DU37" s="150" t="str">
        <f t="shared" si="114"/>
        <v>- - -</v>
      </c>
      <c r="DV37" s="150" t="str">
        <f t="shared" si="115"/>
        <v>---</v>
      </c>
    </row>
    <row r="38" spans="1:126" s="150" customFormat="1" ht="50.25" customHeight="1" x14ac:dyDescent="0.25">
      <c r="A38" s="564">
        <v>715</v>
      </c>
      <c r="B38" s="359">
        <v>13</v>
      </c>
      <c r="C38" s="157" t="str">
        <f t="shared" si="71"/>
        <v>Bà</v>
      </c>
      <c r="D38" s="171" t="s">
        <v>226</v>
      </c>
      <c r="E38" s="157" t="s">
        <v>35</v>
      </c>
      <c r="F38" s="172" t="s">
        <v>56</v>
      </c>
      <c r="G38" s="173" t="s">
        <v>12</v>
      </c>
      <c r="H38" s="173" t="s">
        <v>44</v>
      </c>
      <c r="I38" s="173" t="s">
        <v>12</v>
      </c>
      <c r="J38" s="174">
        <v>1982</v>
      </c>
      <c r="K38" s="565"/>
      <c r="L38" s="565"/>
      <c r="M38" s="565" t="e">
        <f>VLOOKUP(L38,'[1]- DLiêu Gốc -'!$B$2:$G$121,2,0)</f>
        <v>#N/A</v>
      </c>
      <c r="N38" s="175" t="s">
        <v>188</v>
      </c>
      <c r="O38" s="176" t="s">
        <v>67</v>
      </c>
      <c r="P38" s="177" t="str">
        <f>VLOOKUP(U38,'[1]- DLiêu Gốc -'!$B$2:$G$56,5,0)</f>
        <v>A1</v>
      </c>
      <c r="Q38" s="177" t="str">
        <f>VLOOKUP(U38,'[1]- DLiêu Gốc -'!$B$2:$G$56,6,0)</f>
        <v>- - -</v>
      </c>
      <c r="R38" s="178" t="s">
        <v>45</v>
      </c>
      <c r="S38" s="179" t="str">
        <f t="shared" si="72"/>
        <v>Chuyên viên</v>
      </c>
      <c r="T38" s="180" t="str">
        <f t="shared" si="73"/>
        <v>01.003</v>
      </c>
      <c r="U38" s="181" t="s">
        <v>46</v>
      </c>
      <c r="V38" s="180" t="str">
        <f>VLOOKUP(U38,'[1]- DLiêu Gốc -'!$B$1:$G$121,2,0)</f>
        <v>01.003</v>
      </c>
      <c r="W38" s="182" t="str">
        <f t="shared" si="74"/>
        <v>Lương</v>
      </c>
      <c r="X38" s="183">
        <v>3</v>
      </c>
      <c r="Y38" s="184" t="str">
        <f t="shared" si="75"/>
        <v>/</v>
      </c>
      <c r="Z38" s="185">
        <f t="shared" si="76"/>
        <v>9</v>
      </c>
      <c r="AA38" s="186">
        <f t="shared" si="77"/>
        <v>3</v>
      </c>
      <c r="AB38" s="187">
        <f t="shared" si="78"/>
        <v>4</v>
      </c>
      <c r="AC38" s="565" t="str">
        <f t="shared" si="79"/>
        <v>/</v>
      </c>
      <c r="AD38" s="185">
        <f t="shared" si="80"/>
        <v>9</v>
      </c>
      <c r="AE38" s="188">
        <f t="shared" si="81"/>
        <v>3.33</v>
      </c>
      <c r="AF38" s="189" t="s">
        <v>11</v>
      </c>
      <c r="AG38" s="190" t="s">
        <v>12</v>
      </c>
      <c r="AH38" s="191" t="s">
        <v>133</v>
      </c>
      <c r="AI38" s="192" t="s">
        <v>12</v>
      </c>
      <c r="AJ38" s="193">
        <v>2015</v>
      </c>
      <c r="AK38" s="194"/>
      <c r="AL38" s="195"/>
      <c r="AM38" s="160">
        <f t="shared" si="82"/>
        <v>3</v>
      </c>
      <c r="AN38" s="160">
        <f t="shared" si="83"/>
        <v>-24183</v>
      </c>
      <c r="AO38" s="154"/>
      <c r="AP38" s="196"/>
      <c r="AQ38" s="162">
        <f>VLOOKUP(U38,'[1]- DLiêu Gốc -'!$B$1:$E$56,3,0)</f>
        <v>2.34</v>
      </c>
      <c r="AR38" s="156">
        <f>VLOOKUP(U38,'[1]- DLiêu Gốc -'!$B$1:$E$56,4,0)</f>
        <v>0.33</v>
      </c>
      <c r="AS38" s="197"/>
      <c r="AT38" s="198" t="str">
        <f t="shared" si="84"/>
        <v>o-o-o</v>
      </c>
      <c r="AU38" s="199"/>
      <c r="AV38" s="199"/>
      <c r="AW38" s="156">
        <f t="shared" si="85"/>
        <v>0</v>
      </c>
      <c r="AX38" s="200"/>
      <c r="AY38" s="201"/>
      <c r="AZ38" s="159"/>
      <c r="BA38" s="159"/>
      <c r="BB38" s="159"/>
      <c r="BC38" s="159"/>
      <c r="BD38" s="159"/>
      <c r="BE38" s="159"/>
      <c r="BF38" s="161" t="str">
        <f t="shared" si="86"/>
        <v>- - -</v>
      </c>
      <c r="BG38" s="202" t="str">
        <f t="shared" si="87"/>
        <v>- - -</v>
      </c>
      <c r="BH38" s="506" t="str">
        <f t="shared" si="88"/>
        <v>CC,VC</v>
      </c>
      <c r="BI38" s="282"/>
      <c r="BJ38" s="269"/>
      <c r="BK38" s="270" t="s">
        <v>10</v>
      </c>
      <c r="BL38" s="271" t="str">
        <f t="shared" si="89"/>
        <v>A</v>
      </c>
      <c r="BM38" s="270" t="str">
        <f t="shared" si="90"/>
        <v>=&gt; s</v>
      </c>
      <c r="BN38" s="272">
        <f t="shared" si="91"/>
        <v>24207</v>
      </c>
      <c r="BO38" s="273" t="str">
        <f t="shared" si="92"/>
        <v>---</v>
      </c>
      <c r="BP38" s="274"/>
      <c r="BQ38" s="275"/>
      <c r="BR38" s="275"/>
      <c r="BS38" s="275"/>
      <c r="BT38" s="274" t="str">
        <f t="shared" si="93"/>
        <v>- - -</v>
      </c>
      <c r="BU38" s="273" t="str">
        <f t="shared" si="94"/>
        <v>- - -</v>
      </c>
      <c r="BV38" s="270"/>
      <c r="BW38" s="270"/>
      <c r="BX38" s="276"/>
      <c r="BY38" s="276"/>
      <c r="BZ38" s="276" t="str">
        <f t="shared" si="95"/>
        <v>- - -</v>
      </c>
      <c r="CA38" s="276"/>
      <c r="CB38" s="276"/>
      <c r="CC38" s="276"/>
      <c r="CE38" s="150" t="str">
        <f t="shared" si="116"/>
        <v>---</v>
      </c>
      <c r="CF38" s="150" t="str">
        <f t="shared" si="97"/>
        <v>/-/ /-/</v>
      </c>
      <c r="CG38" s="150">
        <f t="shared" si="98"/>
        <v>12</v>
      </c>
      <c r="CH38" s="150">
        <f t="shared" si="99"/>
        <v>2037</v>
      </c>
      <c r="CI38" s="150">
        <f t="shared" si="100"/>
        <v>9</v>
      </c>
      <c r="CJ38" s="150">
        <f t="shared" si="101"/>
        <v>2037</v>
      </c>
      <c r="CK38" s="150">
        <f t="shared" si="102"/>
        <v>6</v>
      </c>
      <c r="CL38" s="150">
        <f t="shared" si="103"/>
        <v>2037</v>
      </c>
      <c r="CM38" s="150" t="str">
        <f t="shared" si="104"/>
        <v>- - -</v>
      </c>
      <c r="CN38" s="622" t="str">
        <f t="shared" si="105"/>
        <v>. .</v>
      </c>
      <c r="CO38" s="623"/>
      <c r="CP38" s="160">
        <f t="shared" si="106"/>
        <v>660</v>
      </c>
      <c r="CQ38" s="155">
        <f t="shared" si="107"/>
        <v>-23783</v>
      </c>
      <c r="CR38" s="196">
        <f t="shared" si="108"/>
        <v>-1982</v>
      </c>
      <c r="CS38" s="162" t="str">
        <f t="shared" si="109"/>
        <v>Nữ dưới 30</v>
      </c>
      <c r="CT38" s="156"/>
      <c r="CU38" s="197"/>
      <c r="CV38" s="198" t="str">
        <f t="shared" si="110"/>
        <v>Đến 30</v>
      </c>
      <c r="CW38" s="203" t="str">
        <f t="shared" si="111"/>
        <v>TD</v>
      </c>
      <c r="CX38" s="203">
        <v>2012</v>
      </c>
      <c r="CY38" s="156"/>
      <c r="CZ38" s="204"/>
      <c r="DA38" s="205"/>
      <c r="DB38" s="159"/>
      <c r="DC38" s="159"/>
      <c r="DG38" s="150" t="s">
        <v>188</v>
      </c>
      <c r="DH38" s="150" t="s">
        <v>11</v>
      </c>
      <c r="DI38" s="150" t="s">
        <v>12</v>
      </c>
      <c r="DJ38" s="150" t="s">
        <v>133</v>
      </c>
      <c r="DK38" s="150" t="s">
        <v>12</v>
      </c>
      <c r="DL38" s="150" t="s">
        <v>49</v>
      </c>
      <c r="DM38" s="150">
        <f t="shared" si="112"/>
        <v>0</v>
      </c>
      <c r="DN38" s="150" t="str">
        <f t="shared" si="113"/>
        <v>- - -</v>
      </c>
      <c r="DO38" s="150" t="s">
        <v>11</v>
      </c>
      <c r="DP38" s="150" t="s">
        <v>12</v>
      </c>
      <c r="DQ38" s="150" t="s">
        <v>133</v>
      </c>
      <c r="DR38" s="150" t="s">
        <v>12</v>
      </c>
      <c r="DS38" s="150" t="s">
        <v>49</v>
      </c>
      <c r="DU38" s="150" t="str">
        <f t="shared" si="114"/>
        <v>- - -</v>
      </c>
      <c r="DV38" s="150" t="str">
        <f t="shared" si="115"/>
        <v>---</v>
      </c>
    </row>
    <row r="39" spans="1:126" s="378" customFormat="1" ht="48.75" customHeight="1" x14ac:dyDescent="0.25">
      <c r="A39" s="386">
        <v>748</v>
      </c>
      <c r="B39" s="157">
        <v>14</v>
      </c>
      <c r="C39" s="359" t="str">
        <f t="shared" si="71"/>
        <v>Ông</v>
      </c>
      <c r="D39" s="473" t="s">
        <v>227</v>
      </c>
      <c r="E39" s="359" t="s">
        <v>43</v>
      </c>
      <c r="F39" s="474" t="s">
        <v>62</v>
      </c>
      <c r="G39" s="475" t="s">
        <v>12</v>
      </c>
      <c r="H39" s="475" t="s">
        <v>44</v>
      </c>
      <c r="I39" s="475" t="s">
        <v>12</v>
      </c>
      <c r="J39" s="476">
        <v>1988</v>
      </c>
      <c r="K39" s="477"/>
      <c r="L39" s="477"/>
      <c r="M39" s="477" t="e">
        <f>VLOOKUP(L39,'[1]- DLiêu Gốc -'!$B$2:$G$121,2,0)</f>
        <v>#N/A</v>
      </c>
      <c r="N39" s="566" t="s">
        <v>228</v>
      </c>
      <c r="O39" s="479" t="s">
        <v>67</v>
      </c>
      <c r="P39" s="480" t="str">
        <f>VLOOKUP(U39,'[1]- DLiêu Gốc -'!$B$2:$G$56,5,0)</f>
        <v>A1</v>
      </c>
      <c r="Q39" s="480" t="str">
        <f>VLOOKUP(U39,'[1]- DLiêu Gốc -'!$B$2:$G$56,6,0)</f>
        <v>- - -</v>
      </c>
      <c r="R39" s="481" t="s">
        <v>45</v>
      </c>
      <c r="S39" s="482" t="str">
        <f t="shared" si="72"/>
        <v>Thư viện viên</v>
      </c>
      <c r="T39" s="483" t="str">
        <f t="shared" si="73"/>
        <v>17.170</v>
      </c>
      <c r="U39" s="484" t="s">
        <v>215</v>
      </c>
      <c r="V39" s="483" t="str">
        <f>VLOOKUP(U39,'[1]- DLiêu Gốc -'!$B$1:$G$121,2,0)</f>
        <v>17.170</v>
      </c>
      <c r="W39" s="485" t="str">
        <f t="shared" si="74"/>
        <v>Lương</v>
      </c>
      <c r="X39" s="486">
        <v>1</v>
      </c>
      <c r="Y39" s="487" t="str">
        <f t="shared" si="75"/>
        <v>/</v>
      </c>
      <c r="Z39" s="488">
        <f t="shared" si="76"/>
        <v>9</v>
      </c>
      <c r="AA39" s="365">
        <f t="shared" si="77"/>
        <v>2.34</v>
      </c>
      <c r="AB39" s="489">
        <f t="shared" si="78"/>
        <v>2</v>
      </c>
      <c r="AC39" s="477" t="str">
        <f t="shared" si="79"/>
        <v>/</v>
      </c>
      <c r="AD39" s="488">
        <f t="shared" si="80"/>
        <v>9</v>
      </c>
      <c r="AE39" s="490">
        <f t="shared" si="81"/>
        <v>2.67</v>
      </c>
      <c r="AF39" s="491" t="s">
        <v>11</v>
      </c>
      <c r="AG39" s="492" t="s">
        <v>12</v>
      </c>
      <c r="AH39" s="376" t="s">
        <v>133</v>
      </c>
      <c r="AI39" s="493" t="s">
        <v>12</v>
      </c>
      <c r="AJ39" s="494">
        <v>2015</v>
      </c>
      <c r="AK39" s="495"/>
      <c r="AL39" s="496"/>
      <c r="AM39" s="497">
        <f t="shared" si="82"/>
        <v>3</v>
      </c>
      <c r="AN39" s="497">
        <f t="shared" si="83"/>
        <v>-24183</v>
      </c>
      <c r="AO39" s="358"/>
      <c r="AP39" s="498"/>
      <c r="AQ39" s="371">
        <f>VLOOKUP(U39,'[1]- DLiêu Gốc -'!$B$1:$E$56,3,0)</f>
        <v>2.34</v>
      </c>
      <c r="AR39" s="369">
        <f>VLOOKUP(U39,'[1]- DLiêu Gốc -'!$B$1:$E$56,4,0)</f>
        <v>0.33</v>
      </c>
      <c r="AS39" s="499"/>
      <c r="AT39" s="500" t="str">
        <f t="shared" si="84"/>
        <v>o-o-o</v>
      </c>
      <c r="AU39" s="368"/>
      <c r="AV39" s="368"/>
      <c r="AW39" s="369">
        <f t="shared" si="85"/>
        <v>0</v>
      </c>
      <c r="AX39" s="501"/>
      <c r="AY39" s="502"/>
      <c r="AZ39" s="370"/>
      <c r="BA39" s="370"/>
      <c r="BB39" s="370"/>
      <c r="BC39" s="370"/>
      <c r="BD39" s="370"/>
      <c r="BE39" s="370"/>
      <c r="BF39" s="380" t="str">
        <f t="shared" si="86"/>
        <v>- - -</v>
      </c>
      <c r="BG39" s="503" t="str">
        <f t="shared" si="87"/>
        <v>- - -</v>
      </c>
      <c r="BH39" s="504" t="str">
        <f t="shared" si="88"/>
        <v>NLĐ</v>
      </c>
      <c r="BI39" s="282"/>
      <c r="BJ39" s="269"/>
      <c r="BK39" s="270" t="s">
        <v>53</v>
      </c>
      <c r="BL39" s="271" t="str">
        <f t="shared" si="89"/>
        <v>A</v>
      </c>
      <c r="BM39" s="270" t="str">
        <f t="shared" si="90"/>
        <v>=&gt; s</v>
      </c>
      <c r="BN39" s="272">
        <f t="shared" si="91"/>
        <v>24207</v>
      </c>
      <c r="BO39" s="273" t="str">
        <f t="shared" si="92"/>
        <v>---</v>
      </c>
      <c r="BP39" s="274"/>
      <c r="BQ39" s="275"/>
      <c r="BR39" s="275"/>
      <c r="BS39" s="275"/>
      <c r="BT39" s="274" t="str">
        <f t="shared" si="93"/>
        <v>- - -</v>
      </c>
      <c r="BU39" s="273" t="str">
        <f t="shared" si="94"/>
        <v>- - -</v>
      </c>
      <c r="BV39" s="270"/>
      <c r="BW39" s="270"/>
      <c r="BX39" s="276"/>
      <c r="BY39" s="276"/>
      <c r="BZ39" s="276" t="str">
        <f t="shared" si="95"/>
        <v>- - -</v>
      </c>
      <c r="CA39" s="276"/>
      <c r="CB39" s="276"/>
      <c r="CC39" s="276"/>
      <c r="CE39" s="378" t="str">
        <f t="shared" si="116"/>
        <v>---</v>
      </c>
      <c r="CF39" s="378" t="str">
        <f t="shared" si="97"/>
        <v>/-/ /-/</v>
      </c>
      <c r="CG39" s="378">
        <f t="shared" si="98"/>
        <v>12</v>
      </c>
      <c r="CH39" s="378">
        <f t="shared" si="99"/>
        <v>2048</v>
      </c>
      <c r="CI39" s="378">
        <f t="shared" si="100"/>
        <v>9</v>
      </c>
      <c r="CJ39" s="378">
        <f t="shared" si="101"/>
        <v>2048</v>
      </c>
      <c r="CK39" s="378">
        <f t="shared" si="102"/>
        <v>6</v>
      </c>
      <c r="CL39" s="378">
        <f t="shared" si="103"/>
        <v>2048</v>
      </c>
      <c r="CM39" s="378" t="str">
        <f t="shared" si="104"/>
        <v>- - -</v>
      </c>
      <c r="CN39" s="619" t="str">
        <f t="shared" si="105"/>
        <v>. .</v>
      </c>
      <c r="CO39" s="620"/>
      <c r="CP39" s="497">
        <f t="shared" si="106"/>
        <v>720</v>
      </c>
      <c r="CQ39" s="379">
        <f t="shared" si="107"/>
        <v>-23855</v>
      </c>
      <c r="CR39" s="498">
        <f t="shared" si="108"/>
        <v>-1988</v>
      </c>
      <c r="CS39" s="371" t="str">
        <f t="shared" si="109"/>
        <v>Nam dưới 35</v>
      </c>
      <c r="CT39" s="369"/>
      <c r="CU39" s="499"/>
      <c r="CV39" s="500" t="str">
        <f t="shared" si="110"/>
        <v>Đến 30</v>
      </c>
      <c r="CW39" s="368" t="str">
        <f t="shared" si="111"/>
        <v>--</v>
      </c>
      <c r="CX39" s="368"/>
      <c r="CY39" s="369"/>
      <c r="CZ39" s="505"/>
      <c r="DA39" s="381"/>
      <c r="DB39" s="370"/>
      <c r="DC39" s="370"/>
      <c r="DG39" s="378" t="s">
        <v>228</v>
      </c>
      <c r="DH39" s="378" t="s">
        <v>57</v>
      </c>
      <c r="DI39" s="378" t="s">
        <v>12</v>
      </c>
      <c r="DJ39" s="378" t="s">
        <v>40</v>
      </c>
      <c r="DK39" s="378" t="s">
        <v>12</v>
      </c>
      <c r="DL39" s="378" t="s">
        <v>49</v>
      </c>
      <c r="DM39" s="378">
        <f t="shared" si="112"/>
        <v>14</v>
      </c>
      <c r="DN39" s="378" t="str">
        <f t="shared" si="113"/>
        <v>Sửa</v>
      </c>
      <c r="DO39" s="378" t="s">
        <v>11</v>
      </c>
      <c r="DP39" s="378" t="s">
        <v>12</v>
      </c>
      <c r="DQ39" s="378" t="s">
        <v>133</v>
      </c>
      <c r="DR39" s="378" t="s">
        <v>12</v>
      </c>
      <c r="DS39" s="378" t="s">
        <v>49</v>
      </c>
      <c r="DU39" s="378" t="str">
        <f t="shared" si="114"/>
        <v>- - -</v>
      </c>
      <c r="DV39" s="378" t="str">
        <f t="shared" si="115"/>
        <v>---</v>
      </c>
    </row>
    <row r="40" spans="1:126" s="378" customFormat="1" ht="48.75" customHeight="1" x14ac:dyDescent="0.25">
      <c r="A40" s="386">
        <v>750</v>
      </c>
      <c r="B40" s="359">
        <v>15</v>
      </c>
      <c r="C40" s="359" t="str">
        <f t="shared" si="71"/>
        <v>Ông</v>
      </c>
      <c r="D40" s="473" t="s">
        <v>229</v>
      </c>
      <c r="E40" s="359" t="s">
        <v>43</v>
      </c>
      <c r="F40" s="474" t="s">
        <v>51</v>
      </c>
      <c r="G40" s="475" t="s">
        <v>12</v>
      </c>
      <c r="H40" s="475" t="s">
        <v>62</v>
      </c>
      <c r="I40" s="475" t="s">
        <v>12</v>
      </c>
      <c r="J40" s="476">
        <v>1986</v>
      </c>
      <c r="K40" s="477"/>
      <c r="L40" s="477"/>
      <c r="M40" s="477" t="e">
        <f>VLOOKUP(L40,'[1]- DLiêu Gốc -'!$B$2:$G$121,2,0)</f>
        <v>#N/A</v>
      </c>
      <c r="N40" s="566" t="s">
        <v>228</v>
      </c>
      <c r="O40" s="479" t="s">
        <v>67</v>
      </c>
      <c r="P40" s="480" t="str">
        <f>VLOOKUP(U40,'[1]- DLiêu Gốc -'!$B$2:$G$56,5,0)</f>
        <v>A1</v>
      </c>
      <c r="Q40" s="480" t="str">
        <f>VLOOKUP(U40,'[1]- DLiêu Gốc -'!$B$2:$G$56,6,0)</f>
        <v>- - -</v>
      </c>
      <c r="R40" s="481" t="s">
        <v>45</v>
      </c>
      <c r="S40" s="482" t="str">
        <f t="shared" si="72"/>
        <v>Thư viện viên</v>
      </c>
      <c r="T40" s="483" t="str">
        <f t="shared" si="73"/>
        <v>17.170</v>
      </c>
      <c r="U40" s="484" t="s">
        <v>215</v>
      </c>
      <c r="V40" s="483" t="str">
        <f>VLOOKUP(U40,'[1]- DLiêu Gốc -'!$B$1:$G$121,2,0)</f>
        <v>17.170</v>
      </c>
      <c r="W40" s="485" t="str">
        <f t="shared" si="74"/>
        <v>Lương</v>
      </c>
      <c r="X40" s="486">
        <v>1</v>
      </c>
      <c r="Y40" s="487" t="str">
        <f t="shared" si="75"/>
        <v>/</v>
      </c>
      <c r="Z40" s="488">
        <f t="shared" si="76"/>
        <v>9</v>
      </c>
      <c r="AA40" s="365">
        <f t="shared" si="77"/>
        <v>2.34</v>
      </c>
      <c r="AB40" s="489">
        <f t="shared" si="78"/>
        <v>2</v>
      </c>
      <c r="AC40" s="477" t="str">
        <f t="shared" si="79"/>
        <v>/</v>
      </c>
      <c r="AD40" s="488">
        <f t="shared" si="80"/>
        <v>9</v>
      </c>
      <c r="AE40" s="490">
        <f t="shared" si="81"/>
        <v>2.67</v>
      </c>
      <c r="AF40" s="491" t="s">
        <v>11</v>
      </c>
      <c r="AG40" s="492" t="s">
        <v>12</v>
      </c>
      <c r="AH40" s="376" t="s">
        <v>133</v>
      </c>
      <c r="AI40" s="493" t="s">
        <v>12</v>
      </c>
      <c r="AJ40" s="494">
        <v>2015</v>
      </c>
      <c r="AK40" s="495"/>
      <c r="AL40" s="496"/>
      <c r="AM40" s="497">
        <f t="shared" si="82"/>
        <v>3</v>
      </c>
      <c r="AN40" s="497">
        <f t="shared" si="83"/>
        <v>-24183</v>
      </c>
      <c r="AO40" s="358"/>
      <c r="AP40" s="498"/>
      <c r="AQ40" s="371">
        <f>VLOOKUP(U40,'[1]- DLiêu Gốc -'!$B$1:$E$56,3,0)</f>
        <v>2.34</v>
      </c>
      <c r="AR40" s="369">
        <f>VLOOKUP(U40,'[1]- DLiêu Gốc -'!$B$1:$E$56,4,0)</f>
        <v>0.33</v>
      </c>
      <c r="AS40" s="499"/>
      <c r="AT40" s="500" t="str">
        <f t="shared" si="84"/>
        <v>o-o-o</v>
      </c>
      <c r="AU40" s="368"/>
      <c r="AV40" s="368"/>
      <c r="AW40" s="369">
        <f t="shared" si="85"/>
        <v>0</v>
      </c>
      <c r="AX40" s="501"/>
      <c r="AY40" s="502"/>
      <c r="AZ40" s="370"/>
      <c r="BA40" s="370"/>
      <c r="BB40" s="370"/>
      <c r="BC40" s="370"/>
      <c r="BD40" s="370"/>
      <c r="BE40" s="370"/>
      <c r="BF40" s="380" t="str">
        <f t="shared" si="86"/>
        <v>- - -</v>
      </c>
      <c r="BG40" s="503" t="str">
        <f t="shared" si="87"/>
        <v>- - -</v>
      </c>
      <c r="BH40" s="504" t="str">
        <f t="shared" si="88"/>
        <v>NLĐ</v>
      </c>
      <c r="BI40" s="282"/>
      <c r="BJ40" s="269"/>
      <c r="BK40" s="270" t="s">
        <v>53</v>
      </c>
      <c r="BL40" s="271" t="str">
        <f t="shared" si="89"/>
        <v>A</v>
      </c>
      <c r="BM40" s="270" t="str">
        <f t="shared" si="90"/>
        <v>=&gt; s</v>
      </c>
      <c r="BN40" s="272">
        <f t="shared" si="91"/>
        <v>24207</v>
      </c>
      <c r="BO40" s="273" t="str">
        <f t="shared" si="92"/>
        <v>---</v>
      </c>
      <c r="BP40" s="274"/>
      <c r="BQ40" s="275"/>
      <c r="BR40" s="275"/>
      <c r="BS40" s="275"/>
      <c r="BT40" s="274" t="str">
        <f t="shared" si="93"/>
        <v>- - -</v>
      </c>
      <c r="BU40" s="273" t="str">
        <f t="shared" si="94"/>
        <v>- - -</v>
      </c>
      <c r="BV40" s="270"/>
      <c r="BW40" s="270"/>
      <c r="BX40" s="276"/>
      <c r="BY40" s="276"/>
      <c r="BZ40" s="276" t="str">
        <f t="shared" si="95"/>
        <v>- - -</v>
      </c>
      <c r="CA40" s="276"/>
      <c r="CB40" s="276"/>
      <c r="CC40" s="276"/>
      <c r="CE40" s="378" t="str">
        <f t="shared" si="116"/>
        <v>---</v>
      </c>
      <c r="CF40" s="378" t="str">
        <f t="shared" si="97"/>
        <v>/-/ /-/</v>
      </c>
      <c r="CG40" s="378">
        <f t="shared" si="98"/>
        <v>11</v>
      </c>
      <c r="CH40" s="378">
        <f t="shared" si="99"/>
        <v>2046</v>
      </c>
      <c r="CI40" s="378">
        <f t="shared" si="100"/>
        <v>8</v>
      </c>
      <c r="CJ40" s="378">
        <f t="shared" si="101"/>
        <v>2046</v>
      </c>
      <c r="CK40" s="378">
        <f t="shared" si="102"/>
        <v>5</v>
      </c>
      <c r="CL40" s="378">
        <f t="shared" si="103"/>
        <v>2046</v>
      </c>
      <c r="CM40" s="378" t="str">
        <f t="shared" si="104"/>
        <v>- - -</v>
      </c>
      <c r="CN40" s="619" t="str">
        <f t="shared" si="105"/>
        <v>. .</v>
      </c>
      <c r="CO40" s="620"/>
      <c r="CP40" s="497">
        <f t="shared" si="106"/>
        <v>720</v>
      </c>
      <c r="CQ40" s="379">
        <f t="shared" si="107"/>
        <v>-23830</v>
      </c>
      <c r="CR40" s="498">
        <f t="shared" si="108"/>
        <v>-1986</v>
      </c>
      <c r="CS40" s="371" t="str">
        <f t="shared" si="109"/>
        <v>Nam dưới 35</v>
      </c>
      <c r="CT40" s="369"/>
      <c r="CU40" s="499"/>
      <c r="CV40" s="500" t="str">
        <f t="shared" si="110"/>
        <v>Đến 30</v>
      </c>
      <c r="CW40" s="368" t="str">
        <f t="shared" si="111"/>
        <v>--</v>
      </c>
      <c r="CX40" s="368"/>
      <c r="CY40" s="369"/>
      <c r="CZ40" s="505"/>
      <c r="DA40" s="381"/>
      <c r="DB40" s="370"/>
      <c r="DC40" s="370"/>
      <c r="DG40" s="378" t="s">
        <v>228</v>
      </c>
      <c r="DH40" s="378" t="s">
        <v>57</v>
      </c>
      <c r="DI40" s="378" t="s">
        <v>12</v>
      </c>
      <c r="DJ40" s="378" t="s">
        <v>40</v>
      </c>
      <c r="DK40" s="378" t="s">
        <v>12</v>
      </c>
      <c r="DL40" s="378" t="s">
        <v>49</v>
      </c>
      <c r="DM40" s="378">
        <f t="shared" si="112"/>
        <v>14</v>
      </c>
      <c r="DN40" s="378" t="str">
        <f t="shared" si="113"/>
        <v>Sửa</v>
      </c>
      <c r="DO40" s="378" t="s">
        <v>11</v>
      </c>
      <c r="DP40" s="378" t="s">
        <v>12</v>
      </c>
      <c r="DQ40" s="378" t="s">
        <v>133</v>
      </c>
      <c r="DR40" s="378" t="s">
        <v>12</v>
      </c>
      <c r="DS40" s="378" t="s">
        <v>49</v>
      </c>
      <c r="DU40" s="378" t="str">
        <f t="shared" si="114"/>
        <v>- - -</v>
      </c>
      <c r="DV40" s="378" t="str">
        <f t="shared" si="115"/>
        <v>---</v>
      </c>
    </row>
    <row r="41" spans="1:126" s="150" customFormat="1" ht="47.25" customHeight="1" x14ac:dyDescent="0.25">
      <c r="A41" s="564">
        <v>777</v>
      </c>
      <c r="B41" s="157">
        <v>16</v>
      </c>
      <c r="C41" s="157" t="str">
        <f t="shared" si="71"/>
        <v>Ông</v>
      </c>
      <c r="D41" s="171" t="s">
        <v>230</v>
      </c>
      <c r="E41" s="157" t="s">
        <v>43</v>
      </c>
      <c r="F41" s="172" t="s">
        <v>121</v>
      </c>
      <c r="G41" s="173" t="s">
        <v>12</v>
      </c>
      <c r="H41" s="173" t="s">
        <v>44</v>
      </c>
      <c r="I41" s="173" t="s">
        <v>12</v>
      </c>
      <c r="J41" s="174">
        <v>1976</v>
      </c>
      <c r="K41" s="565"/>
      <c r="L41" s="565"/>
      <c r="M41" s="565" t="e">
        <f>VLOOKUP(L41,'[1]- DLiêu Gốc -'!$B$2:$G$121,2,0)</f>
        <v>#N/A</v>
      </c>
      <c r="N41" s="175" t="s">
        <v>72</v>
      </c>
      <c r="O41" s="176" t="s">
        <v>67</v>
      </c>
      <c r="P41" s="177" t="str">
        <f>VLOOKUP(U41,'[1]- DLiêu Gốc -'!$B$2:$G$56,5,0)</f>
        <v>C</v>
      </c>
      <c r="Q41" s="177" t="str">
        <f>VLOOKUP(U41,'[1]- DLiêu Gốc -'!$B$2:$G$56,6,0)</f>
        <v>Nhân viên</v>
      </c>
      <c r="R41" s="178" t="s">
        <v>45</v>
      </c>
      <c r="S41" s="179" t="str">
        <f t="shared" si="72"/>
        <v>Nhân viên</v>
      </c>
      <c r="T41" s="180" t="str">
        <f t="shared" si="73"/>
        <v>01.005</v>
      </c>
      <c r="U41" s="181" t="s">
        <v>231</v>
      </c>
      <c r="V41" s="180" t="str">
        <f>VLOOKUP(U41,'[1]- DLiêu Gốc -'!$B$1:$G$121,2,0)</f>
        <v>01.011</v>
      </c>
      <c r="W41" s="182" t="str">
        <f t="shared" si="74"/>
        <v>Lương</v>
      </c>
      <c r="X41" s="183">
        <v>7</v>
      </c>
      <c r="Y41" s="184" t="str">
        <f t="shared" si="75"/>
        <v>/</v>
      </c>
      <c r="Z41" s="185">
        <f t="shared" si="76"/>
        <v>12</v>
      </c>
      <c r="AA41" s="186">
        <f t="shared" si="77"/>
        <v>2.58</v>
      </c>
      <c r="AB41" s="187">
        <f t="shared" si="78"/>
        <v>8</v>
      </c>
      <c r="AC41" s="565" t="str">
        <f t="shared" si="79"/>
        <v>/</v>
      </c>
      <c r="AD41" s="185">
        <f t="shared" si="80"/>
        <v>12</v>
      </c>
      <c r="AE41" s="188">
        <f t="shared" si="81"/>
        <v>2.7600000000000002</v>
      </c>
      <c r="AF41" s="189" t="s">
        <v>11</v>
      </c>
      <c r="AG41" s="190" t="s">
        <v>12</v>
      </c>
      <c r="AH41" s="191" t="s">
        <v>133</v>
      </c>
      <c r="AI41" s="192" t="s">
        <v>12</v>
      </c>
      <c r="AJ41" s="193">
        <v>2015</v>
      </c>
      <c r="AK41" s="194"/>
      <c r="AL41" s="195"/>
      <c r="AM41" s="160">
        <f t="shared" si="82"/>
        <v>2</v>
      </c>
      <c r="AN41" s="160">
        <f t="shared" si="83"/>
        <v>-24183</v>
      </c>
      <c r="AO41" s="154"/>
      <c r="AP41" s="196"/>
      <c r="AQ41" s="162">
        <f>VLOOKUP(U41,'[1]- DLiêu Gốc -'!$B$1:$E$56,3,0)</f>
        <v>1.5</v>
      </c>
      <c r="AR41" s="156">
        <f>VLOOKUP(U41,'[1]- DLiêu Gốc -'!$B$1:$E$56,4,0)</f>
        <v>0.18</v>
      </c>
      <c r="AS41" s="197"/>
      <c r="AT41" s="198" t="str">
        <f t="shared" si="84"/>
        <v>o-o-o</v>
      </c>
      <c r="AU41" s="199"/>
      <c r="AV41" s="199"/>
      <c r="AW41" s="156">
        <f t="shared" si="85"/>
        <v>0</v>
      </c>
      <c r="AX41" s="200"/>
      <c r="AY41" s="201"/>
      <c r="AZ41" s="159"/>
      <c r="BA41" s="159"/>
      <c r="BB41" s="159"/>
      <c r="BC41" s="159"/>
      <c r="BD41" s="159"/>
      <c r="BE41" s="159"/>
      <c r="BF41" s="161" t="str">
        <f t="shared" si="86"/>
        <v>- - -</v>
      </c>
      <c r="BG41" s="202" t="str">
        <f t="shared" si="87"/>
        <v>- - -</v>
      </c>
      <c r="BH41" s="506" t="str">
        <f t="shared" si="88"/>
        <v>NLĐ</v>
      </c>
      <c r="BI41" s="282"/>
      <c r="BJ41" s="269"/>
      <c r="BK41" s="270" t="s">
        <v>53</v>
      </c>
      <c r="BL41" s="271" t="str">
        <f t="shared" si="89"/>
        <v>A</v>
      </c>
      <c r="BM41" s="270" t="str">
        <f t="shared" si="90"/>
        <v>=&gt; s</v>
      </c>
      <c r="BN41" s="272">
        <f t="shared" si="91"/>
        <v>24195</v>
      </c>
      <c r="BO41" s="273" t="str">
        <f t="shared" si="92"/>
        <v>---</v>
      </c>
      <c r="BP41" s="274"/>
      <c r="BQ41" s="275"/>
      <c r="BR41" s="275"/>
      <c r="BS41" s="275"/>
      <c r="BT41" s="274" t="str">
        <f t="shared" si="93"/>
        <v>- - -</v>
      </c>
      <c r="BU41" s="273" t="str">
        <f t="shared" si="94"/>
        <v>- - -</v>
      </c>
      <c r="BV41" s="270"/>
      <c r="BW41" s="270"/>
      <c r="BX41" s="276"/>
      <c r="BY41" s="276"/>
      <c r="BZ41" s="276" t="str">
        <f t="shared" si="95"/>
        <v>- - -</v>
      </c>
      <c r="CA41" s="276"/>
      <c r="CB41" s="276"/>
      <c r="CC41" s="276"/>
      <c r="CE41" s="150" t="str">
        <f t="shared" si="116"/>
        <v>---</v>
      </c>
      <c r="CF41" s="150" t="str">
        <f t="shared" si="97"/>
        <v>/-/ /-/</v>
      </c>
      <c r="CG41" s="150">
        <f t="shared" si="98"/>
        <v>12</v>
      </c>
      <c r="CH41" s="150">
        <f t="shared" si="99"/>
        <v>2036</v>
      </c>
      <c r="CI41" s="150">
        <f t="shared" si="100"/>
        <v>9</v>
      </c>
      <c r="CJ41" s="150">
        <f t="shared" si="101"/>
        <v>2036</v>
      </c>
      <c r="CK41" s="150">
        <f t="shared" si="102"/>
        <v>6</v>
      </c>
      <c r="CL41" s="150">
        <f t="shared" si="103"/>
        <v>2036</v>
      </c>
      <c r="CM41" s="150" t="str">
        <f t="shared" si="104"/>
        <v>- - -</v>
      </c>
      <c r="CN41" s="622" t="str">
        <f t="shared" si="105"/>
        <v>. .</v>
      </c>
      <c r="CO41" s="623"/>
      <c r="CP41" s="160">
        <f t="shared" si="106"/>
        <v>720</v>
      </c>
      <c r="CQ41" s="155">
        <f t="shared" si="107"/>
        <v>-23711</v>
      </c>
      <c r="CR41" s="196">
        <f t="shared" si="108"/>
        <v>-1976</v>
      </c>
      <c r="CS41" s="162" t="str">
        <f t="shared" si="109"/>
        <v>Nam dưới 35</v>
      </c>
      <c r="CT41" s="156"/>
      <c r="CU41" s="197"/>
      <c r="CV41" s="198" t="str">
        <f t="shared" si="110"/>
        <v>Đến 30</v>
      </c>
      <c r="CW41" s="203" t="str">
        <f t="shared" si="111"/>
        <v>--</v>
      </c>
      <c r="CX41" s="203"/>
      <c r="CY41" s="156"/>
      <c r="CZ41" s="204"/>
      <c r="DA41" s="205"/>
      <c r="DB41" s="159"/>
      <c r="DC41" s="159"/>
      <c r="DG41" s="150" t="s">
        <v>74</v>
      </c>
      <c r="DH41" s="150" t="s">
        <v>11</v>
      </c>
      <c r="DI41" s="150" t="s">
        <v>12</v>
      </c>
      <c r="DJ41" s="150" t="s">
        <v>133</v>
      </c>
      <c r="DK41" s="150" t="s">
        <v>12</v>
      </c>
      <c r="DL41" s="150">
        <v>2013</v>
      </c>
      <c r="DM41" s="150">
        <f t="shared" si="112"/>
        <v>0</v>
      </c>
      <c r="DN41" s="150" t="str">
        <f t="shared" si="113"/>
        <v>- - -</v>
      </c>
      <c r="DO41" s="150" t="s">
        <v>11</v>
      </c>
      <c r="DP41" s="150" t="s">
        <v>12</v>
      </c>
      <c r="DQ41" s="150" t="s">
        <v>133</v>
      </c>
      <c r="DR41" s="150" t="s">
        <v>12</v>
      </c>
      <c r="DS41" s="150">
        <v>2013</v>
      </c>
      <c r="DU41" s="150" t="str">
        <f t="shared" si="114"/>
        <v>- - -</v>
      </c>
      <c r="DV41" s="150" t="str">
        <f t="shared" si="115"/>
        <v>---</v>
      </c>
    </row>
    <row r="42" spans="1:126" s="212" customFormat="1" ht="21" customHeight="1" x14ac:dyDescent="0.3">
      <c r="A42" s="206"/>
      <c r="B42" s="207" t="s">
        <v>75</v>
      </c>
      <c r="C42" s="208"/>
      <c r="D42" s="208"/>
      <c r="E42" s="208"/>
      <c r="F42" s="208"/>
      <c r="G42" s="208"/>
      <c r="H42" s="208"/>
      <c r="I42" s="208"/>
      <c r="J42" s="208"/>
      <c r="K42" s="208"/>
      <c r="L42" s="208"/>
      <c r="M42" s="208"/>
      <c r="N42" s="208"/>
      <c r="O42" s="208"/>
      <c r="P42" s="209"/>
      <c r="Q42" s="209"/>
      <c r="R42" s="209"/>
      <c r="S42" s="210"/>
      <c r="T42" s="211"/>
      <c r="U42" s="210"/>
      <c r="V42" s="139"/>
      <c r="W42" s="139"/>
      <c r="X42" s="751" t="s">
        <v>76</v>
      </c>
      <c r="Y42" s="751"/>
      <c r="Z42" s="751"/>
      <c r="AA42" s="751"/>
      <c r="AB42" s="751"/>
      <c r="AC42" s="751"/>
      <c r="AD42" s="751"/>
      <c r="AE42" s="751"/>
      <c r="AF42" s="751"/>
      <c r="AG42" s="751"/>
      <c r="AH42" s="751"/>
      <c r="AI42" s="751"/>
      <c r="AJ42" s="751"/>
      <c r="AK42" s="751"/>
      <c r="AL42" s="751"/>
      <c r="AM42" s="751"/>
      <c r="AN42" s="751"/>
      <c r="AO42" s="751"/>
      <c r="AP42" s="751"/>
      <c r="AQ42" s="751"/>
      <c r="AR42" s="751"/>
      <c r="AS42" s="751"/>
      <c r="AT42" s="751"/>
      <c r="AU42" s="751"/>
      <c r="AV42" s="751"/>
      <c r="AW42" s="751"/>
      <c r="AX42" s="751"/>
      <c r="AY42" s="751"/>
      <c r="AZ42" s="751"/>
      <c r="BA42" s="751"/>
      <c r="BB42" s="751"/>
      <c r="BC42" s="751"/>
      <c r="BD42" s="751"/>
      <c r="BE42" s="751"/>
      <c r="BF42" s="751"/>
      <c r="BG42" s="751"/>
      <c r="BH42" s="751"/>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row>
    <row r="43" spans="1:126" s="221" customFormat="1" ht="15.75" x14ac:dyDescent="0.25">
      <c r="A43" s="213"/>
      <c r="B43" s="214" t="s">
        <v>77</v>
      </c>
      <c r="C43" s="215"/>
      <c r="D43" s="208"/>
      <c r="E43" s="216"/>
      <c r="F43" s="215"/>
      <c r="G43" s="217"/>
      <c r="H43" s="212"/>
      <c r="I43" s="218"/>
      <c r="J43" s="218"/>
      <c r="K43" s="218"/>
      <c r="L43" s="218"/>
      <c r="M43" s="218"/>
      <c r="N43" s="219"/>
      <c r="O43" s="219"/>
      <c r="P43" s="218"/>
      <c r="Q43" s="218"/>
      <c r="R43" s="218"/>
      <c r="S43" s="219"/>
      <c r="T43" s="216"/>
      <c r="U43" s="219"/>
      <c r="V43" s="220"/>
      <c r="W43" s="220"/>
      <c r="X43" s="751" t="s">
        <v>78</v>
      </c>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1"/>
      <c r="BB43" s="751"/>
      <c r="BC43" s="751"/>
      <c r="BD43" s="751"/>
      <c r="BE43" s="751"/>
      <c r="BF43" s="751"/>
      <c r="BG43" s="751"/>
      <c r="BH43" s="751"/>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row>
    <row r="44" spans="1:126" s="231" customFormat="1" ht="15.75" x14ac:dyDescent="0.25">
      <c r="A44" s="222">
        <v>690</v>
      </c>
      <c r="B44" s="223" t="s">
        <v>79</v>
      </c>
      <c r="C44" s="215"/>
      <c r="D44" s="212"/>
      <c r="E44" s="216"/>
      <c r="F44" s="215"/>
      <c r="G44" s="217"/>
      <c r="H44" s="212"/>
      <c r="I44" s="218"/>
      <c r="J44" s="218"/>
      <c r="K44" s="218"/>
      <c r="L44" s="218"/>
      <c r="M44" s="218"/>
      <c r="N44" s="219"/>
      <c r="O44" s="219"/>
      <c r="P44" s="218"/>
      <c r="Q44" s="218"/>
      <c r="R44" s="218"/>
      <c r="S44" s="219"/>
      <c r="T44" s="216"/>
      <c r="U44" s="219"/>
      <c r="V44" s="220"/>
      <c r="W44" s="220"/>
      <c r="X44" s="224"/>
      <c r="Y44" s="224"/>
      <c r="Z44" s="224"/>
      <c r="AA44" s="224"/>
      <c r="AB44" s="224"/>
      <c r="AC44" s="224"/>
      <c r="AD44" s="224"/>
      <c r="AE44" s="224"/>
      <c r="AF44" s="224"/>
      <c r="AG44" s="224"/>
      <c r="AH44" s="224"/>
      <c r="AI44" s="224"/>
      <c r="AJ44" s="224"/>
      <c r="AK44" s="225"/>
      <c r="AL44" s="226"/>
      <c r="AM44" s="226"/>
      <c r="AN44" s="226"/>
      <c r="AO44" s="226"/>
      <c r="AP44" s="226"/>
      <c r="AQ44" s="226"/>
      <c r="AR44" s="226"/>
      <c r="AS44" s="226"/>
      <c r="AT44" s="226"/>
      <c r="AU44" s="227"/>
      <c r="AV44" s="227"/>
      <c r="AW44" s="226"/>
      <c r="AX44" s="226"/>
      <c r="AY44" s="226"/>
      <c r="AZ44" s="226"/>
      <c r="BA44" s="226"/>
      <c r="BB44" s="226"/>
      <c r="BC44" s="226"/>
      <c r="BD44" s="226"/>
      <c r="BE44" s="226"/>
      <c r="BF44" s="226"/>
      <c r="BG44" s="226"/>
      <c r="BH44" s="226"/>
      <c r="BI44" s="285"/>
      <c r="BJ44" s="286"/>
      <c r="BK44" s="287"/>
      <c r="BL44" s="288"/>
      <c r="BM44" s="287"/>
      <c r="BN44" s="251"/>
      <c r="BO44" s="252"/>
      <c r="BP44" s="253"/>
      <c r="BQ44" s="254"/>
      <c r="BR44" s="255"/>
      <c r="BS44" s="255"/>
      <c r="BT44" s="253"/>
      <c r="BU44" s="256"/>
      <c r="BV44" s="250"/>
      <c r="BW44" s="250"/>
      <c r="BX44" s="257"/>
      <c r="BY44" s="257"/>
      <c r="BZ44" s="257"/>
      <c r="CA44" s="257"/>
      <c r="CB44" s="257"/>
      <c r="CC44" s="257"/>
      <c r="CD44" s="257"/>
      <c r="CE44" s="257"/>
      <c r="CF44" s="257"/>
      <c r="CG44" s="257"/>
      <c r="CH44" s="257"/>
      <c r="CI44" s="257"/>
      <c r="CJ44" s="257"/>
      <c r="CK44" s="257"/>
      <c r="CL44" s="257"/>
      <c r="CM44" s="257"/>
      <c r="CN44" s="258"/>
      <c r="CO44" s="259"/>
      <c r="CP44" s="260"/>
      <c r="CQ44" s="261"/>
      <c r="CR44" s="262"/>
      <c r="CS44" s="263"/>
      <c r="CT44" s="264"/>
      <c r="CU44" s="265"/>
      <c r="CV44" s="266"/>
      <c r="CW44" s="267"/>
      <c r="CX44" s="267"/>
      <c r="CY44" s="264"/>
      <c r="CZ44" s="228"/>
      <c r="DA44" s="229"/>
      <c r="DB44" s="230"/>
      <c r="DC44" s="230"/>
    </row>
    <row r="45" spans="1:126" s="231" customFormat="1" ht="15.75" x14ac:dyDescent="0.25">
      <c r="A45" s="222">
        <v>721</v>
      </c>
      <c r="B45" s="223" t="s">
        <v>81</v>
      </c>
      <c r="C45" s="215"/>
      <c r="D45" s="212"/>
      <c r="E45" s="216"/>
      <c r="F45" s="215"/>
      <c r="G45" s="217"/>
      <c r="H45" s="212"/>
      <c r="I45" s="232"/>
      <c r="J45" s="232"/>
      <c r="K45" s="232"/>
      <c r="L45" s="232"/>
      <c r="M45" s="232"/>
      <c r="N45" s="233"/>
      <c r="O45" s="233"/>
      <c r="P45" s="232"/>
      <c r="Q45" s="232"/>
      <c r="R45" s="232"/>
      <c r="S45" s="233"/>
      <c r="T45" s="234"/>
      <c r="U45" s="233"/>
      <c r="V45" s="220"/>
      <c r="W45" s="220"/>
      <c r="X45" s="752" t="s">
        <v>80</v>
      </c>
      <c r="Y45" s="752"/>
      <c r="Z45" s="752"/>
      <c r="AA45" s="752"/>
      <c r="AB45" s="752"/>
      <c r="AC45" s="752"/>
      <c r="AD45" s="752"/>
      <c r="AE45" s="752"/>
      <c r="AF45" s="752"/>
      <c r="AG45" s="752"/>
      <c r="AH45" s="752"/>
      <c r="AI45" s="752"/>
      <c r="AJ45" s="752"/>
      <c r="AK45" s="752"/>
      <c r="AL45" s="752"/>
      <c r="AM45" s="752"/>
      <c r="AN45" s="752"/>
      <c r="AO45" s="752"/>
      <c r="AP45" s="752"/>
      <c r="AQ45" s="752"/>
      <c r="AR45" s="752"/>
      <c r="AS45" s="752"/>
      <c r="AT45" s="752"/>
      <c r="AU45" s="752"/>
      <c r="AV45" s="752"/>
      <c r="AW45" s="752"/>
      <c r="AX45" s="752"/>
      <c r="AY45" s="752"/>
      <c r="AZ45" s="752"/>
      <c r="BA45" s="752"/>
      <c r="BB45" s="752"/>
      <c r="BC45" s="752"/>
      <c r="BD45" s="752"/>
      <c r="BE45" s="752"/>
      <c r="BF45" s="752"/>
      <c r="BG45" s="752"/>
      <c r="BH45" s="752"/>
      <c r="BI45" s="285"/>
      <c r="BJ45" s="286"/>
      <c r="BK45" s="287"/>
      <c r="BL45" s="288"/>
      <c r="BM45" s="287"/>
      <c r="BN45" s="251"/>
      <c r="BO45" s="252"/>
      <c r="BP45" s="253"/>
      <c r="BQ45" s="254"/>
      <c r="BR45" s="255"/>
      <c r="BS45" s="255"/>
      <c r="BT45" s="253"/>
      <c r="BU45" s="256"/>
      <c r="BV45" s="250"/>
      <c r="BW45" s="250"/>
      <c r="BX45" s="257"/>
      <c r="BY45" s="257"/>
      <c r="BZ45" s="257"/>
      <c r="CA45" s="257"/>
      <c r="CB45" s="257"/>
      <c r="CC45" s="257"/>
      <c r="CD45" s="257"/>
      <c r="CE45" s="257"/>
      <c r="CF45" s="257"/>
      <c r="CG45" s="257"/>
      <c r="CH45" s="257"/>
      <c r="CI45" s="257"/>
      <c r="CJ45" s="257"/>
      <c r="CK45" s="257"/>
      <c r="CL45" s="257"/>
      <c r="CM45" s="257"/>
      <c r="CN45" s="258"/>
      <c r="CO45" s="259"/>
      <c r="CP45" s="260"/>
      <c r="CQ45" s="261"/>
      <c r="CR45" s="262"/>
      <c r="CS45" s="263"/>
      <c r="CT45" s="264"/>
      <c r="CU45" s="265"/>
      <c r="CV45" s="266"/>
      <c r="CW45" s="267"/>
      <c r="CX45" s="267"/>
      <c r="CY45" s="264"/>
      <c r="CZ45" s="228"/>
      <c r="DA45" s="229"/>
      <c r="DB45" s="230"/>
      <c r="DC45" s="230"/>
    </row>
    <row r="46" spans="1:126" s="231" customFormat="1" ht="15.75" x14ac:dyDescent="0.25">
      <c r="A46" s="222">
        <v>746</v>
      </c>
      <c r="C46" s="215"/>
      <c r="D46" s="212"/>
      <c r="E46" s="216"/>
      <c r="F46" s="215"/>
      <c r="G46" s="217"/>
      <c r="H46" s="212"/>
      <c r="I46" s="232"/>
      <c r="J46" s="232"/>
      <c r="K46" s="232"/>
      <c r="L46" s="232"/>
      <c r="M46" s="232"/>
      <c r="N46" s="233"/>
      <c r="O46" s="233"/>
      <c r="P46" s="232"/>
      <c r="Q46" s="232"/>
      <c r="R46" s="232"/>
      <c r="S46" s="233"/>
      <c r="T46" s="234"/>
      <c r="U46" s="233"/>
      <c r="V46" s="220"/>
      <c r="W46" s="220"/>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85"/>
      <c r="BJ46" s="286"/>
      <c r="BK46" s="287"/>
      <c r="BL46" s="288"/>
      <c r="BM46" s="287"/>
      <c r="BN46" s="251"/>
      <c r="BO46" s="252"/>
      <c r="BP46" s="253"/>
      <c r="BQ46" s="254"/>
      <c r="BR46" s="255"/>
      <c r="BS46" s="255"/>
      <c r="BT46" s="253"/>
      <c r="BU46" s="256"/>
      <c r="BV46" s="250"/>
      <c r="BW46" s="250"/>
      <c r="BX46" s="257"/>
      <c r="BY46" s="257"/>
      <c r="BZ46" s="257"/>
      <c r="CA46" s="257"/>
      <c r="CB46" s="257"/>
      <c r="CC46" s="257"/>
      <c r="CD46" s="257"/>
      <c r="CE46" s="257"/>
      <c r="CF46" s="257"/>
      <c r="CG46" s="257"/>
      <c r="CH46" s="257"/>
      <c r="CI46" s="257"/>
      <c r="CJ46" s="257"/>
      <c r="CK46" s="257"/>
      <c r="CL46" s="257"/>
      <c r="CM46" s="257"/>
      <c r="CN46" s="258"/>
      <c r="CO46" s="259"/>
      <c r="CP46" s="260"/>
      <c r="CQ46" s="261"/>
      <c r="CR46" s="262"/>
      <c r="CS46" s="263"/>
      <c r="CT46" s="264"/>
      <c r="CU46" s="265"/>
      <c r="CV46" s="266"/>
      <c r="CW46" s="267"/>
      <c r="CX46" s="267"/>
      <c r="CY46" s="264"/>
      <c r="CZ46" s="228"/>
      <c r="DA46" s="229"/>
      <c r="DB46" s="230"/>
      <c r="DC46" s="230"/>
    </row>
    <row r="47" spans="1:126" s="231" customFormat="1" ht="16.5" customHeight="1" x14ac:dyDescent="0.3">
      <c r="A47" s="222">
        <v>749</v>
      </c>
      <c r="B47" s="236"/>
      <c r="C47" s="215"/>
      <c r="D47" s="237"/>
      <c r="E47" s="216"/>
      <c r="F47" s="215"/>
      <c r="G47" s="217"/>
      <c r="H47" s="212"/>
      <c r="I47" s="232"/>
      <c r="J47" s="232"/>
      <c r="K47" s="232"/>
      <c r="L47" s="232"/>
      <c r="M47" s="232"/>
      <c r="N47" s="233"/>
      <c r="O47" s="233"/>
      <c r="P47" s="232"/>
      <c r="Q47" s="232"/>
      <c r="R47" s="232"/>
      <c r="S47" s="233"/>
      <c r="T47" s="234"/>
      <c r="U47" s="233"/>
      <c r="V47" s="220"/>
      <c r="W47" s="220"/>
      <c r="X47" s="753" t="s">
        <v>82</v>
      </c>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289"/>
      <c r="BJ47" s="286"/>
      <c r="BK47" s="287"/>
      <c r="BL47" s="288"/>
      <c r="BM47" s="287"/>
      <c r="BN47" s="251"/>
      <c r="BO47" s="252"/>
      <c r="BP47" s="253"/>
      <c r="BQ47" s="254"/>
      <c r="BR47" s="255"/>
      <c r="BS47" s="255"/>
      <c r="BT47" s="253"/>
      <c r="BU47" s="256"/>
      <c r="BV47" s="250"/>
      <c r="BW47" s="250"/>
      <c r="BX47" s="257"/>
      <c r="BY47" s="257"/>
      <c r="BZ47" s="257"/>
      <c r="CA47" s="257"/>
      <c r="CB47" s="257"/>
      <c r="CC47" s="257"/>
      <c r="CD47" s="257"/>
      <c r="CE47" s="257"/>
      <c r="CF47" s="257"/>
      <c r="CG47" s="257"/>
      <c r="CH47" s="257"/>
      <c r="CI47" s="257"/>
      <c r="CJ47" s="257"/>
      <c r="CK47" s="257"/>
      <c r="CL47" s="257"/>
      <c r="CM47" s="257"/>
      <c r="CN47" s="258"/>
      <c r="CO47" s="259"/>
      <c r="CP47" s="260"/>
      <c r="CQ47" s="261"/>
      <c r="CR47" s="262"/>
      <c r="CS47" s="263"/>
      <c r="CT47" s="264"/>
      <c r="CU47" s="265"/>
      <c r="CV47" s="266"/>
      <c r="CW47" s="267"/>
      <c r="CX47" s="267"/>
      <c r="CY47" s="264"/>
      <c r="CZ47" s="228"/>
      <c r="DA47" s="229"/>
      <c r="DB47" s="230"/>
      <c r="DC47" s="230"/>
    </row>
  </sheetData>
  <mergeCells count="33">
    <mergeCell ref="AF15:AJ15"/>
    <mergeCell ref="X42:BH42"/>
    <mergeCell ref="X43:BH43"/>
    <mergeCell ref="X45:BH45"/>
    <mergeCell ref="X47:BH47"/>
    <mergeCell ref="D20:AJ20"/>
    <mergeCell ref="N16:O16"/>
    <mergeCell ref="S16:T16"/>
    <mergeCell ref="X16:Z16"/>
    <mergeCell ref="AB16:AD16"/>
    <mergeCell ref="AF16:AJ16"/>
    <mergeCell ref="AF6:AJ6"/>
    <mergeCell ref="D9:BH9"/>
    <mergeCell ref="B14:B15"/>
    <mergeCell ref="D14:D15"/>
    <mergeCell ref="E14:E15"/>
    <mergeCell ref="N14:O15"/>
    <mergeCell ref="S14:T15"/>
    <mergeCell ref="U14:U15"/>
    <mergeCell ref="V14:V15"/>
    <mergeCell ref="X14:AJ14"/>
    <mergeCell ref="AK14:AK15"/>
    <mergeCell ref="AM14:AM15"/>
    <mergeCell ref="AX14:AX15"/>
    <mergeCell ref="BH14:BH15"/>
    <mergeCell ref="X15:Z15"/>
    <mergeCell ref="AB15:AD15"/>
    <mergeCell ref="A4:BH5"/>
    <mergeCell ref="B1:N1"/>
    <mergeCell ref="S1:AE1"/>
    <mergeCell ref="B2:N2"/>
    <mergeCell ref="S2:AE2"/>
    <mergeCell ref="S3:AE3"/>
  </mergeCells>
  <conditionalFormatting sqref="BI13:BI15">
    <cfRule type="expression" dxfId="698" priority="1287" stopIfTrue="1">
      <formula>IF(BJ13="Trên 45",1,0)</formula>
    </cfRule>
    <cfRule type="expression" dxfId="697" priority="1288" stopIfTrue="1">
      <formula>IF(BJ13="30 - 45",1,0)</formula>
    </cfRule>
    <cfRule type="expression" dxfId="696" priority="1289" stopIfTrue="1">
      <formula>IF(BJ13="Dưới 30",1,0)</formula>
    </cfRule>
  </conditionalFormatting>
  <conditionalFormatting sqref="CU13:CU15">
    <cfRule type="expression" dxfId="695" priority="1290" stopIfTrue="1">
      <formula>IF(CV13&gt;0,1,0)</formula>
    </cfRule>
    <cfRule type="expression" dxfId="694" priority="1291" stopIfTrue="1">
      <formula>IF(CV13=0,1,0)</formula>
    </cfRule>
  </conditionalFormatting>
  <conditionalFormatting sqref="CT13:CT15">
    <cfRule type="expression" dxfId="693" priority="1281" stopIfTrue="1">
      <formula>12*(#REF!-CM13)+(#REF!-CK13)</formula>
    </cfRule>
  </conditionalFormatting>
  <conditionalFormatting sqref="CY13:CY15">
    <cfRule type="expression" dxfId="692" priority="1282" stopIfTrue="1">
      <formula>12*(#REF!-CQ13)+(#REF!-CO13)</formula>
    </cfRule>
  </conditionalFormatting>
  <conditionalFormatting sqref="BJ11">
    <cfRule type="expression" dxfId="691" priority="1067" stopIfTrue="1">
      <formula>IF(BK11="Trên 45",1,0)</formula>
    </cfRule>
    <cfRule type="expression" dxfId="690" priority="1068" stopIfTrue="1">
      <formula>IF(BK11="30 - 45",1,0)</formula>
    </cfRule>
    <cfRule type="expression" dxfId="689" priority="1069" stopIfTrue="1">
      <formula>IF(BK11="Dưới 30",1,0)</formula>
    </cfRule>
  </conditionalFormatting>
  <conditionalFormatting sqref="CV11">
    <cfRule type="expression" dxfId="688" priority="1070" stopIfTrue="1">
      <formula>IF(CW11&gt;0,1,0)</formula>
    </cfRule>
    <cfRule type="expression" dxfId="687" priority="1071" stopIfTrue="1">
      <formula>IF(CW11=0,1,0)</formula>
    </cfRule>
  </conditionalFormatting>
  <conditionalFormatting sqref="BI11">
    <cfRule type="cellIs" dxfId="686" priority="1072" stopIfTrue="1" operator="between">
      <formula>"720"</formula>
      <formula>"720"</formula>
    </cfRule>
    <cfRule type="cellIs" dxfId="685" priority="1073" stopIfTrue="1" operator="between">
      <formula>"660"</formula>
      <formula>"660"</formula>
    </cfRule>
  </conditionalFormatting>
  <conditionalFormatting sqref="CY11">
    <cfRule type="expression" dxfId="684" priority="1079" stopIfTrue="1">
      <formula>IF(OR(CY11=0.36),1,0)</formula>
    </cfRule>
    <cfRule type="expression" dxfId="683" priority="1080" stopIfTrue="1">
      <formula>IF(CY11=0.34,1,0)</formula>
    </cfRule>
    <cfRule type="expression" dxfId="682" priority="1081" stopIfTrue="1">
      <formula>IF(CY11&lt;0.33,1,0)</formula>
    </cfRule>
  </conditionalFormatting>
  <conditionalFormatting sqref="DB11">
    <cfRule type="cellIs" dxfId="681" priority="1082" stopIfTrue="1" operator="between">
      <formula>"Hưu"</formula>
      <formula>"Hưu"</formula>
    </cfRule>
    <cfRule type="cellIs" dxfId="680" priority="1083" stopIfTrue="1" operator="between">
      <formula>"---"</formula>
      <formula>"---"</formula>
    </cfRule>
    <cfRule type="cellIs" dxfId="679" priority="1084" stopIfTrue="1" operator="between">
      <formula>"Quá"</formula>
      <formula>"Quá"</formula>
    </cfRule>
  </conditionalFormatting>
  <conditionalFormatting sqref="CX11">
    <cfRule type="expression" dxfId="678" priority="1085" stopIfTrue="1">
      <formula>IF(OR(CX11=5.57,CX11=6.2),1,0)</formula>
    </cfRule>
    <cfRule type="expression" dxfId="677" priority="1086" stopIfTrue="1">
      <formula>IF(OR(CX11=4,CX11=4.4),1,0)</formula>
    </cfRule>
    <cfRule type="expression" dxfId="676" priority="1087" stopIfTrue="1">
      <formula>IF(AND(CX11&gt;0.9,CX11&lt;2.34),1,0)</formula>
    </cfRule>
  </conditionalFormatting>
  <conditionalFormatting sqref="CT11">
    <cfRule type="cellIs" dxfId="675" priority="1088" stopIfTrue="1" operator="between">
      <formula>1</formula>
      <formula>1</formula>
    </cfRule>
    <cfRule type="cellIs" dxfId="674" priority="1089" stopIfTrue="1" operator="between">
      <formula>2</formula>
      <formula>2</formula>
    </cfRule>
    <cfRule type="cellIs" dxfId="673" priority="1090" stopIfTrue="1" operator="between">
      <formula>3</formula>
      <formula>3</formula>
    </cfRule>
  </conditionalFormatting>
  <conditionalFormatting sqref="CW11">
    <cfRule type="expression" dxfId="672" priority="1091" stopIfTrue="1">
      <formula>IF(CW11&gt;0,1,0)</formula>
    </cfRule>
    <cfRule type="expression" dxfId="671" priority="1092" stopIfTrue="1">
      <formula>IF(CW11&lt;1,1,0)</formula>
    </cfRule>
  </conditionalFormatting>
  <conditionalFormatting sqref="CS11">
    <cfRule type="cellIs" dxfId="670" priority="1093" stopIfTrue="1" operator="between">
      <formula>"Đến"</formula>
      <formula>"Đến"</formula>
    </cfRule>
    <cfRule type="cellIs" dxfId="669" priority="1094" stopIfTrue="1" operator="between">
      <formula>"Quá"</formula>
      <formula>"Quá"</formula>
    </cfRule>
    <cfRule type="expression" dxfId="668" priority="1095" stopIfTrue="1">
      <formula>IF(OR(CS11="Lương Sớm Hưu",CS11="Nâng Ngạch Hưu"),1,0)</formula>
    </cfRule>
  </conditionalFormatting>
  <conditionalFormatting sqref="DC11:DD11">
    <cfRule type="expression" dxfId="667" priority="1096" stopIfTrue="1">
      <formula>IF(DC11&gt;0,1,0)</formula>
    </cfRule>
  </conditionalFormatting>
  <conditionalFormatting sqref="CR11">
    <cfRule type="cellIs" dxfId="666" priority="1097" stopIfTrue="1" operator="between">
      <formula>"B"</formula>
      <formula>"B"</formula>
    </cfRule>
    <cfRule type="cellIs" dxfId="665" priority="1098" stopIfTrue="1" operator="between">
      <formula>"C"</formula>
      <formula>"C"</formula>
    </cfRule>
    <cfRule type="cellIs" dxfId="664" priority="1099" stopIfTrue="1" operator="between">
      <formula>"D"</formula>
      <formula>"D"</formula>
    </cfRule>
  </conditionalFormatting>
  <conditionalFormatting sqref="CQ11">
    <cfRule type="cellIs" dxfId="663" priority="1100" stopIfTrue="1" operator="between">
      <formula>"công chức, viên chức"</formula>
      <formula>"công chức, viên chức"</formula>
    </cfRule>
    <cfRule type="cellIs" dxfId="662" priority="1101" stopIfTrue="1" operator="between">
      <formula>"lao động hợp đồng"</formula>
      <formula>"lao động hợp đồng"</formula>
    </cfRule>
  </conditionalFormatting>
  <conditionalFormatting sqref="DA11">
    <cfRule type="expression" dxfId="661" priority="1102" stopIfTrue="1">
      <formula>IF(DA11="Nâg Ngạch sau TB",1,0)</formula>
    </cfRule>
    <cfRule type="expression" dxfId="660" priority="1103" stopIfTrue="1">
      <formula>IF(DA11="Nâg Lươg Sớm sau TB",1,0)</formula>
    </cfRule>
    <cfRule type="expression" dxfId="659" priority="1104" stopIfTrue="1">
      <formula>IF(DA11="Nâg PC TNVK cùng QĐ",1,0)</formula>
    </cfRule>
  </conditionalFormatting>
  <conditionalFormatting sqref="CP11">
    <cfRule type="expression" dxfId="658" priority="1105" stopIfTrue="1">
      <formula>IF(CP11=0,1,0)</formula>
    </cfRule>
    <cfRule type="expression" dxfId="657" priority="1106" stopIfTrue="1">
      <formula>IF(CP11&gt;0,1,0)</formula>
    </cfRule>
  </conditionalFormatting>
  <conditionalFormatting sqref="BK11">
    <cfRule type="expression" dxfId="656" priority="1074" stopIfTrue="1">
      <formula>IF(BK11="Trên 45",1,0)</formula>
    </cfRule>
    <cfRule type="expression" dxfId="655" priority="1075" stopIfTrue="1">
      <formula>IF(BK11="30 - 45",1,0)</formula>
    </cfRule>
    <cfRule type="expression" dxfId="654" priority="1076" stopIfTrue="1">
      <formula>IF(BK11="Dưới 30",1,0)</formula>
    </cfRule>
  </conditionalFormatting>
  <conditionalFormatting sqref="BM11">
    <cfRule type="cellIs" dxfId="653" priority="1077" stopIfTrue="1" operator="between">
      <formula>"Có hạn"</formula>
      <formula>"Có hạn"</formula>
    </cfRule>
    <cfRule type="cellIs" dxfId="652" priority="1078" stopIfTrue="1" operator="between">
      <formula>"Ko hạn"</formula>
      <formula>"Ko hạn"</formula>
    </cfRule>
  </conditionalFormatting>
  <conditionalFormatting sqref="CX13:CX15">
    <cfRule type="expression" dxfId="651" priority="1039" stopIfTrue="1">
      <formula>IF(OR(CX13=0.36),1,0)</formula>
    </cfRule>
    <cfRule type="expression" dxfId="650" priority="1040" stopIfTrue="1">
      <formula>IF(CX13=0.34,1,0)</formula>
    </cfRule>
    <cfRule type="expression" dxfId="649" priority="1041" stopIfTrue="1">
      <formula>IF(CX13&lt;0.33,1,0)</formula>
    </cfRule>
  </conditionalFormatting>
  <conditionalFormatting sqref="DA13:DA15">
    <cfRule type="cellIs" dxfId="648" priority="1042" stopIfTrue="1" operator="between">
      <formula>"Hưu"</formula>
      <formula>"Hưu"</formula>
    </cfRule>
    <cfRule type="cellIs" dxfId="647" priority="1043" stopIfTrue="1" operator="between">
      <formula>"---"</formula>
      <formula>"---"</formula>
    </cfRule>
    <cfRule type="cellIs" dxfId="646" priority="1044" stopIfTrue="1" operator="between">
      <formula>"Quá"</formula>
      <formula>"Quá"</formula>
    </cfRule>
  </conditionalFormatting>
  <conditionalFormatting sqref="CW13:CW15">
    <cfRule type="expression" dxfId="645" priority="1045" stopIfTrue="1">
      <formula>IF(OR(CW13=5.57,CW13=6.2),1,0)</formula>
    </cfRule>
    <cfRule type="expression" dxfId="644" priority="1046" stopIfTrue="1">
      <formula>IF(OR(CW13=4,CW13=4.4),1,0)</formula>
    </cfRule>
    <cfRule type="expression" dxfId="643" priority="1047" stopIfTrue="1">
      <formula>IF(AND(CW13&gt;0.9,CW13&lt;2.34),1,0)</formula>
    </cfRule>
  </conditionalFormatting>
  <conditionalFormatting sqref="CS13:CS15">
    <cfRule type="cellIs" dxfId="642" priority="1048" stopIfTrue="1" operator="between">
      <formula>1</formula>
      <formula>1</formula>
    </cfRule>
    <cfRule type="cellIs" dxfId="641" priority="1049" stopIfTrue="1" operator="between">
      <formula>2</formula>
      <formula>2</formula>
    </cfRule>
    <cfRule type="cellIs" dxfId="640" priority="1050" stopIfTrue="1" operator="between">
      <formula>3</formula>
      <formula>3</formula>
    </cfRule>
  </conditionalFormatting>
  <conditionalFormatting sqref="CV13:CV15">
    <cfRule type="expression" dxfId="639" priority="1051" stopIfTrue="1">
      <formula>IF(CV13&gt;0,1,0)</formula>
    </cfRule>
    <cfRule type="expression" dxfId="638" priority="1052" stopIfTrue="1">
      <formula>IF(CV13&lt;1,1,0)</formula>
    </cfRule>
  </conditionalFormatting>
  <conditionalFormatting sqref="CR13:CR15">
    <cfRule type="cellIs" dxfId="637" priority="1053" stopIfTrue="1" operator="between">
      <formula>"Đến"</formula>
      <formula>"Đến"</formula>
    </cfRule>
    <cfRule type="cellIs" dxfId="636" priority="1054" stopIfTrue="1" operator="between">
      <formula>"Quá"</formula>
      <formula>"Quá"</formula>
    </cfRule>
    <cfRule type="expression" dxfId="635" priority="1055" stopIfTrue="1">
      <formula>IF(OR(CR13="Lương Sớm Hưu",CR13="Nâng Ngạch Hưu"),1,0)</formula>
    </cfRule>
  </conditionalFormatting>
  <conditionalFormatting sqref="DB13:DC15">
    <cfRule type="expression" dxfId="634" priority="1056" stopIfTrue="1">
      <formula>IF(DB13&gt;0,1,0)</formula>
    </cfRule>
  </conditionalFormatting>
  <conditionalFormatting sqref="CQ13:CQ15">
    <cfRule type="cellIs" dxfId="633" priority="1057" stopIfTrue="1" operator="between">
      <formula>"B"</formula>
      <formula>"B"</formula>
    </cfRule>
    <cfRule type="cellIs" dxfId="632" priority="1058" stopIfTrue="1" operator="between">
      <formula>"C"</formula>
      <formula>"C"</formula>
    </cfRule>
    <cfRule type="cellIs" dxfId="631" priority="1059" stopIfTrue="1" operator="between">
      <formula>"D"</formula>
      <formula>"D"</formula>
    </cfRule>
  </conditionalFormatting>
  <conditionalFormatting sqref="CP13:CP15">
    <cfRule type="cellIs" dxfId="630" priority="1060" stopIfTrue="1" operator="between">
      <formula>"công chức, viên chức"</formula>
      <formula>"công chức, viên chức"</formula>
    </cfRule>
    <cfRule type="cellIs" dxfId="629" priority="1061" stopIfTrue="1" operator="between">
      <formula>"lao động hợp đồng"</formula>
      <formula>"lao động hợp đồng"</formula>
    </cfRule>
  </conditionalFormatting>
  <conditionalFormatting sqref="CZ13:CZ15">
    <cfRule type="expression" dxfId="628" priority="1062" stopIfTrue="1">
      <formula>IF(CZ13="Nâg Ngạch sau TB",1,0)</formula>
    </cfRule>
    <cfRule type="expression" dxfId="627" priority="1063" stopIfTrue="1">
      <formula>IF(CZ13="Nâg Lươg Sớm sau TB",1,0)</formula>
    </cfRule>
    <cfRule type="expression" dxfId="626" priority="1064" stopIfTrue="1">
      <formula>IF(CZ13="Nâg PC TNVK cùng QĐ",1,0)</formula>
    </cfRule>
  </conditionalFormatting>
  <conditionalFormatting sqref="CO13:CO15">
    <cfRule type="expression" dxfId="625" priority="1065" stopIfTrue="1">
      <formula>IF(CO13=0,1,0)</formula>
    </cfRule>
    <cfRule type="expression" dxfId="624" priority="1066" stopIfTrue="1">
      <formula>IF(CO13&gt;0,1,0)</formula>
    </cfRule>
  </conditionalFormatting>
  <conditionalFormatting sqref="BJ13:BJ15">
    <cfRule type="expression" dxfId="623" priority="1034" stopIfTrue="1">
      <formula>IF(BJ13="Trên 45",1,0)</formula>
    </cfRule>
    <cfRule type="expression" dxfId="622" priority="1035" stopIfTrue="1">
      <formula>IF(BJ13="30 - 45",1,0)</formula>
    </cfRule>
    <cfRule type="expression" dxfId="621" priority="1036" stopIfTrue="1">
      <formula>IF(BJ13="Dưới 30",1,0)</formula>
    </cfRule>
  </conditionalFormatting>
  <conditionalFormatting sqref="BL13:BL15">
    <cfRule type="cellIs" dxfId="620" priority="1037" stopIfTrue="1" operator="between">
      <formula>"Có hạn"</formula>
      <formula>"Có hạn"</formula>
    </cfRule>
    <cfRule type="cellIs" dxfId="619" priority="1038" stopIfTrue="1" operator="between">
      <formula>"Ko hạn"</formula>
      <formula>"Ko hạn"</formula>
    </cfRule>
  </conditionalFormatting>
  <conditionalFormatting sqref="CZ11">
    <cfRule type="expression" dxfId="618" priority="1337" stopIfTrue="1">
      <formula>12*(#REF!-CR11)+(#REF!-CP11)</formula>
    </cfRule>
  </conditionalFormatting>
  <conditionalFormatting sqref="CU11">
    <cfRule type="expression" dxfId="617" priority="1338" stopIfTrue="1">
      <formula>12*(#REF!-CN11)+(#REF!-CL11)</formula>
    </cfRule>
  </conditionalFormatting>
  <conditionalFormatting sqref="BI44:BI46">
    <cfRule type="expression" dxfId="616" priority="990" stopIfTrue="1">
      <formula>IF(BJ44="Trên 45",1,0)</formula>
    </cfRule>
    <cfRule type="expression" dxfId="615" priority="991" stopIfTrue="1">
      <formula>IF(BJ44="30 - 45",1,0)</formula>
    </cfRule>
    <cfRule type="expression" dxfId="614" priority="992" stopIfTrue="1">
      <formula>IF(BJ44="Dưới 30",1,0)</formula>
    </cfRule>
  </conditionalFormatting>
  <conditionalFormatting sqref="CU44:CU47">
    <cfRule type="expression" dxfId="613" priority="993" stopIfTrue="1">
      <formula>IF(CV44&gt;0,1,0)</formula>
    </cfRule>
    <cfRule type="expression" dxfId="612" priority="994" stopIfTrue="1">
      <formula>IF(CV44=0,1,0)</formula>
    </cfRule>
  </conditionalFormatting>
  <conditionalFormatting sqref="CT44:CT47">
    <cfRule type="expression" dxfId="611" priority="995" stopIfTrue="1">
      <formula>12*(#REF!-CM44)+(#REF!-CK44)</formula>
    </cfRule>
  </conditionalFormatting>
  <conditionalFormatting sqref="CY44:CY47">
    <cfRule type="expression" dxfId="610" priority="996" stopIfTrue="1">
      <formula>12*(#REF!-CQ44)+(#REF!-CO44)</formula>
    </cfRule>
  </conditionalFormatting>
  <conditionalFormatting sqref="AV44 CX44:CX47">
    <cfRule type="expression" dxfId="609" priority="1002" stopIfTrue="1">
      <formula>IF(OR(AV44=0.36),1,0)</formula>
    </cfRule>
    <cfRule type="expression" dxfId="608" priority="1003" stopIfTrue="1">
      <formula>IF(AV44=0.34,1,0)</formula>
    </cfRule>
    <cfRule type="expression" dxfId="607" priority="1004" stopIfTrue="1">
      <formula>IF(AV44&lt;0.33,1,0)</formula>
    </cfRule>
  </conditionalFormatting>
  <conditionalFormatting sqref="DA44:DA47">
    <cfRule type="cellIs" dxfId="606" priority="1005" stopIfTrue="1" operator="between">
      <formula>"Hưu"</formula>
      <formula>"Hưu"</formula>
    </cfRule>
    <cfRule type="cellIs" dxfId="605" priority="1006" stopIfTrue="1" operator="between">
      <formula>"---"</formula>
      <formula>"---"</formula>
    </cfRule>
    <cfRule type="cellIs" dxfId="604" priority="1007" stopIfTrue="1" operator="between">
      <formula>"Quá"</formula>
      <formula>"Quá"</formula>
    </cfRule>
  </conditionalFormatting>
  <conditionalFormatting sqref="AU44 CW44:CW47">
    <cfRule type="expression" dxfId="603" priority="1008" stopIfTrue="1">
      <formula>IF(OR(AU44=5.57,AU44=6.2),1,0)</formula>
    </cfRule>
    <cfRule type="expression" dxfId="602" priority="1009" stopIfTrue="1">
      <formula>IF(OR(AU44=4,AU44=4.4),1,0)</formula>
    </cfRule>
    <cfRule type="expression" dxfId="601" priority="1010" stopIfTrue="1">
      <formula>IF(AND(AU44&gt;0.9,AU44&lt;2.34),1,0)</formula>
    </cfRule>
  </conditionalFormatting>
  <conditionalFormatting sqref="CS44:CS47">
    <cfRule type="cellIs" dxfId="600" priority="1011" stopIfTrue="1" operator="between">
      <formula>1</formula>
      <formula>1</formula>
    </cfRule>
    <cfRule type="cellIs" dxfId="599" priority="1012" stopIfTrue="1" operator="between">
      <formula>2</formula>
      <formula>2</formula>
    </cfRule>
    <cfRule type="cellIs" dxfId="598" priority="1013" stopIfTrue="1" operator="between">
      <formula>3</formula>
      <formula>3</formula>
    </cfRule>
  </conditionalFormatting>
  <conditionalFormatting sqref="CV44:CV47">
    <cfRule type="expression" dxfId="597" priority="1014" stopIfTrue="1">
      <formula>IF(CV44&gt;0,1,0)</formula>
    </cfRule>
    <cfRule type="expression" dxfId="596" priority="1015" stopIfTrue="1">
      <formula>IF(CV44&lt;1,1,0)</formula>
    </cfRule>
  </conditionalFormatting>
  <conditionalFormatting sqref="CR44:CR47">
    <cfRule type="cellIs" dxfId="595" priority="1016" stopIfTrue="1" operator="between">
      <formula>"Đến"</formula>
      <formula>"Đến"</formula>
    </cfRule>
    <cfRule type="cellIs" dxfId="594" priority="1017" stopIfTrue="1" operator="between">
      <formula>"Quá"</formula>
      <formula>"Quá"</formula>
    </cfRule>
    <cfRule type="expression" dxfId="593" priority="1018" stopIfTrue="1">
      <formula>IF(OR(CR44="Lương Sớm Hưu",CR44="Nâng Ngạch Hưu"),1,0)</formula>
    </cfRule>
  </conditionalFormatting>
  <conditionalFormatting sqref="DB44:DC47">
    <cfRule type="expression" dxfId="592" priority="1019" stopIfTrue="1">
      <formula>IF(DB44&gt;0,1,0)</formula>
    </cfRule>
  </conditionalFormatting>
  <conditionalFormatting sqref="CQ44:CQ47">
    <cfRule type="cellIs" dxfId="591" priority="1020" stopIfTrue="1" operator="between">
      <formula>"B"</formula>
      <formula>"B"</formula>
    </cfRule>
    <cfRule type="cellIs" dxfId="590" priority="1021" stopIfTrue="1" operator="between">
      <formula>"C"</formula>
      <formula>"C"</formula>
    </cfRule>
    <cfRule type="cellIs" dxfId="589" priority="1022" stopIfTrue="1" operator="between">
      <formula>"D"</formula>
      <formula>"D"</formula>
    </cfRule>
  </conditionalFormatting>
  <conditionalFormatting sqref="CP44:CP47">
    <cfRule type="cellIs" dxfId="588" priority="1023" stopIfTrue="1" operator="between">
      <formula>"công chức, viên chức"</formula>
      <formula>"công chức, viên chức"</formula>
    </cfRule>
    <cfRule type="cellIs" dxfId="587" priority="1024" stopIfTrue="1" operator="between">
      <formula>"lao động hợp đồng"</formula>
      <formula>"lao động hợp đồng"</formula>
    </cfRule>
  </conditionalFormatting>
  <conditionalFormatting sqref="CZ44:CZ47">
    <cfRule type="expression" dxfId="586" priority="1025" stopIfTrue="1">
      <formula>IF(CZ44="Nâg Ngạch sau TB",1,0)</formula>
    </cfRule>
    <cfRule type="expression" dxfId="585" priority="1026" stopIfTrue="1">
      <formula>IF(CZ44="Nâg Lươg Sớm sau TB",1,0)</formula>
    </cfRule>
    <cfRule type="expression" dxfId="584" priority="1027" stopIfTrue="1">
      <formula>IF(CZ44="Nâg PC TNVK cùng QĐ",1,0)</formula>
    </cfRule>
  </conditionalFormatting>
  <conditionalFormatting sqref="CO44:CO47">
    <cfRule type="expression" dxfId="583" priority="1028" stopIfTrue="1">
      <formula>IF(CO44=0,1,0)</formula>
    </cfRule>
    <cfRule type="expression" dxfId="582" priority="1029" stopIfTrue="1">
      <formula>IF(CO44&gt;0,1,0)</formula>
    </cfRule>
  </conditionalFormatting>
  <conditionalFormatting sqref="BJ44:BJ47">
    <cfRule type="expression" dxfId="581" priority="997" stopIfTrue="1">
      <formula>IF(BJ44="Trên 45",1,0)</formula>
    </cfRule>
    <cfRule type="expression" dxfId="580" priority="998" stopIfTrue="1">
      <formula>IF(BJ44="30 - 45",1,0)</formula>
    </cfRule>
    <cfRule type="expression" dxfId="579" priority="999" stopIfTrue="1">
      <formula>IF(BJ44="Dưới 30",1,0)</formula>
    </cfRule>
  </conditionalFormatting>
  <conditionalFormatting sqref="BL44:BL47">
    <cfRule type="cellIs" dxfId="578" priority="1000" stopIfTrue="1" operator="between">
      <formula>"Có hạn"</formula>
      <formula>"Có hạn"</formula>
    </cfRule>
    <cfRule type="cellIs" dxfId="577" priority="1001" stopIfTrue="1" operator="between">
      <formula>"Ko hạn"</formula>
      <formula>"Ko hạn"</formula>
    </cfRule>
  </conditionalFormatting>
  <conditionalFormatting sqref="A45:A47">
    <cfRule type="expression" dxfId="576" priority="1030" stopIfTrue="1">
      <formula>IF(#REF!="Hưu",1,0)</formula>
    </cfRule>
    <cfRule type="expression" dxfId="575" priority="1031" stopIfTrue="1">
      <formula>IF(#REF!="Quá",1,0)</formula>
    </cfRule>
  </conditionalFormatting>
  <conditionalFormatting sqref="A44">
    <cfRule type="expression" dxfId="574" priority="1032" stopIfTrue="1">
      <formula>IF(#REF!="Hưu",1,0)</formula>
    </cfRule>
    <cfRule type="expression" dxfId="573" priority="1033" stopIfTrue="1">
      <formula>IF(#REF!="Quá",1,0)</formula>
    </cfRule>
  </conditionalFormatting>
  <conditionalFormatting sqref="BD16">
    <cfRule type="expression" dxfId="572" priority="945" stopIfTrue="1">
      <formula>IF(BA16&gt;6,BB16,IF(BA16&lt;7,BB16-1))</formula>
    </cfRule>
  </conditionalFormatting>
  <conditionalFormatting sqref="AT16">
    <cfRule type="expression" dxfId="571" priority="946" stopIfTrue="1">
      <formula>IF(AU16&gt;0,1,0)</formula>
    </cfRule>
    <cfRule type="expression" dxfId="570" priority="947" stopIfTrue="1">
      <formula>IF(AU16=0,1,0)</formula>
    </cfRule>
  </conditionalFormatting>
  <conditionalFormatting sqref="BF16">
    <cfRule type="expression" dxfId="569" priority="948" stopIfTrue="1">
      <formula>IF(BC16&gt;6,BD16,IF(BC16&lt;7,BD16-1))</formula>
    </cfRule>
  </conditionalFormatting>
  <conditionalFormatting sqref="AW16">
    <cfRule type="expression" dxfId="568" priority="949" stopIfTrue="1">
      <formula>IF(OR(AW16=0.36),1,0)</formula>
    </cfRule>
    <cfRule type="expression" dxfId="567" priority="950" stopIfTrue="1">
      <formula>IF(AW16=0.34,1,0)</formula>
    </cfRule>
    <cfRule type="expression" dxfId="566" priority="951" stopIfTrue="1">
      <formula>IF(AW16&lt;0.33,1,0)</formula>
    </cfRule>
  </conditionalFormatting>
  <conditionalFormatting sqref="AZ16">
    <cfRule type="cellIs" dxfId="565" priority="952" stopIfTrue="1" operator="between">
      <formula>"Hưu"</formula>
      <formula>"Hưu"</formula>
    </cfRule>
    <cfRule type="cellIs" dxfId="564" priority="953" stopIfTrue="1" operator="between">
      <formula>"---"</formula>
      <formula>"---"</formula>
    </cfRule>
    <cfRule type="cellIs" dxfId="563" priority="954" stopIfTrue="1" operator="between">
      <formula>"Quá"</formula>
      <formula>"Quá"</formula>
    </cfRule>
  </conditionalFormatting>
  <conditionalFormatting sqref="AV16">
    <cfRule type="expression" dxfId="562" priority="955" stopIfTrue="1">
      <formula>IF(OR(AV16=5.57,AV16=6.2),1,0)</formula>
    </cfRule>
    <cfRule type="expression" dxfId="561" priority="956" stopIfTrue="1">
      <formula>IF(OR(AV16=4,AV16=4.4),1,0)</formula>
    </cfRule>
    <cfRule type="expression" dxfId="560" priority="957" stopIfTrue="1">
      <formula>IF(AND(AV16&gt;0.9,AV16&lt;2.34),1,0)</formula>
    </cfRule>
  </conditionalFormatting>
  <conditionalFormatting sqref="AR16">
    <cfRule type="cellIs" dxfId="559" priority="958" stopIfTrue="1" operator="between">
      <formula>1</formula>
      <formula>1</formula>
    </cfRule>
    <cfRule type="cellIs" dxfId="558" priority="959" stopIfTrue="1" operator="between">
      <formula>2</formula>
      <formula>2</formula>
    </cfRule>
    <cfRule type="cellIs" dxfId="557" priority="960" stopIfTrue="1" operator="between">
      <formula>3</formula>
      <formula>3</formula>
    </cfRule>
  </conditionalFormatting>
  <conditionalFormatting sqref="AU16">
    <cfRule type="expression" dxfId="556" priority="961" stopIfTrue="1">
      <formula>IF(AU16&gt;0,1,0)</formula>
    </cfRule>
    <cfRule type="expression" dxfId="555" priority="962" stopIfTrue="1">
      <formula>IF(AU16&lt;1,1,0)</formula>
    </cfRule>
  </conditionalFormatting>
  <conditionalFormatting sqref="AQ16">
    <cfRule type="cellIs" dxfId="554" priority="963" stopIfTrue="1" operator="between">
      <formula>"Đến"</formula>
      <formula>"Đến"</formula>
    </cfRule>
    <cfRule type="cellIs" dxfId="553" priority="964" stopIfTrue="1" operator="between">
      <formula>"Quá"</formula>
      <formula>"Quá"</formula>
    </cfRule>
    <cfRule type="expression" dxfId="552" priority="965" stopIfTrue="1">
      <formula>IF(OR(AQ16="Lương Sớm Hưu",AQ16="Nâng Ngạch Hưu"),1,0)</formula>
    </cfRule>
  </conditionalFormatting>
  <conditionalFormatting sqref="BA16:BB16 G16">
    <cfRule type="expression" dxfId="551" priority="966" stopIfTrue="1">
      <formula>IF(G16&gt;0,1,0)</formula>
    </cfRule>
  </conditionalFormatting>
  <conditionalFormatting sqref="AP16">
    <cfRule type="cellIs" dxfId="550" priority="967" stopIfTrue="1" operator="between">
      <formula>"B"</formula>
      <formula>"B"</formula>
    </cfRule>
    <cfRule type="cellIs" dxfId="549" priority="968" stopIfTrue="1" operator="between">
      <formula>"C"</formula>
      <formula>"C"</formula>
    </cfRule>
    <cfRule type="cellIs" dxfId="548" priority="969" stopIfTrue="1" operator="between">
      <formula>"D"</formula>
      <formula>"D"</formula>
    </cfRule>
  </conditionalFormatting>
  <conditionalFormatting sqref="AO16">
    <cfRule type="cellIs" dxfId="547" priority="970" stopIfTrue="1" operator="between">
      <formula>"công chức, viên chức"</formula>
      <formula>"công chức, viên chức"</formula>
    </cfRule>
    <cfRule type="cellIs" dxfId="546" priority="971" stopIfTrue="1" operator="between">
      <formula>"lao động hợp đồng"</formula>
      <formula>"lao động hợp đồng"</formula>
    </cfRule>
  </conditionalFormatting>
  <conditionalFormatting sqref="AY16">
    <cfRule type="expression" dxfId="545" priority="972" stopIfTrue="1">
      <formula>IF(AY16="Nâg Ngạch sau TB",1,0)</formula>
    </cfRule>
    <cfRule type="expression" dxfId="544" priority="973" stopIfTrue="1">
      <formula>IF(AY16="Nâg Lươg Sớm sau TB",1,0)</formula>
    </cfRule>
    <cfRule type="expression" dxfId="543" priority="974" stopIfTrue="1">
      <formula>IF(AY16="Nâg PC TNVK cùng QĐ",1,0)</formula>
    </cfRule>
  </conditionalFormatting>
  <conditionalFormatting sqref="AN16">
    <cfRule type="expression" dxfId="542" priority="975" stopIfTrue="1">
      <formula>IF(AN16=0,1,0)</formula>
    </cfRule>
    <cfRule type="expression" dxfId="541" priority="976" stopIfTrue="1">
      <formula>IF(AN16&gt;0,1,0)</formula>
    </cfRule>
  </conditionalFormatting>
  <conditionalFormatting sqref="BE16">
    <cfRule type="expression" dxfId="540" priority="977" stopIfTrue="1">
      <formula>IF(#REF!&gt;6,#REF!-6,IF(#REF!=6,12,IF(#REF!&lt;6,#REF!+6)))</formula>
    </cfRule>
  </conditionalFormatting>
  <conditionalFormatting sqref="BG16">
    <cfRule type="cellIs" dxfId="539" priority="978" stopIfTrue="1" operator="between">
      <formula>"-"</formula>
      <formula>"-"</formula>
    </cfRule>
    <cfRule type="cellIs" dxfId="538" priority="979" stopIfTrue="1" operator="between">
      <formula>1</formula>
      <formula>40</formula>
    </cfRule>
  </conditionalFormatting>
  <conditionalFormatting sqref="U16">
    <cfRule type="expression" dxfId="537" priority="980" stopIfTrue="1">
      <formula>IF(U16="A0-CĐ",1,0)</formula>
    </cfRule>
    <cfRule type="expression" dxfId="536" priority="981" stopIfTrue="1">
      <formula>IF(U16="B-TC",1,0)</formula>
    </cfRule>
    <cfRule type="expression" dxfId="535" priority="982" stopIfTrue="1">
      <formula>IF(U16="C-NV",1,0)</formula>
    </cfRule>
  </conditionalFormatting>
  <conditionalFormatting sqref="F16">
    <cfRule type="cellIs" dxfId="534" priority="983" stopIfTrue="1" operator="between">
      <formula>"Nam"</formula>
      <formula>"Nam"</formula>
    </cfRule>
    <cfRule type="cellIs" dxfId="533" priority="984" stopIfTrue="1" operator="between">
      <formula>"Nữ"</formula>
      <formula>"Nữ"</formula>
    </cfRule>
  </conditionalFormatting>
  <conditionalFormatting sqref="BC16">
    <cfRule type="expression" dxfId="532" priority="985" stopIfTrue="1">
      <formula>IF(#REF!&gt;6,#REF!-6,IF(#REF!=6,12,IF(#REF!&lt;6,#REF!+6)))</formula>
    </cfRule>
  </conditionalFormatting>
  <conditionalFormatting sqref="BI16">
    <cfRule type="expression" dxfId="531" priority="905" stopIfTrue="1">
      <formula>IF(BJ16="Trên 45",1,0)</formula>
    </cfRule>
    <cfRule type="expression" dxfId="530" priority="906" stopIfTrue="1">
      <formula>IF(BJ16="30 - 45",1,0)</formula>
    </cfRule>
    <cfRule type="expression" dxfId="529" priority="907" stopIfTrue="1">
      <formula>IF(BJ16="Dưới 30",1,0)</formula>
    </cfRule>
  </conditionalFormatting>
  <conditionalFormatting sqref="CU16">
    <cfRule type="expression" dxfId="528" priority="908" stopIfTrue="1">
      <formula>IF(CV16&gt;0,1,0)</formula>
    </cfRule>
    <cfRule type="expression" dxfId="527" priority="909" stopIfTrue="1">
      <formula>IF(CV16=0,1,0)</formula>
    </cfRule>
  </conditionalFormatting>
  <conditionalFormatting sqref="CT16">
    <cfRule type="expression" dxfId="526" priority="910" stopIfTrue="1">
      <formula>12*(#REF!-CM16)+(#REF!-CK16)</formula>
    </cfRule>
  </conditionalFormatting>
  <conditionalFormatting sqref="CY16">
    <cfRule type="expression" dxfId="525" priority="911" stopIfTrue="1">
      <formula>12*(#REF!-CQ16)+(#REF!-CO16)</formula>
    </cfRule>
  </conditionalFormatting>
  <conditionalFormatting sqref="CX16">
    <cfRule type="expression" dxfId="524" priority="917" stopIfTrue="1">
      <formula>IF(OR(CX16=0.36),1,0)</formula>
    </cfRule>
    <cfRule type="expression" dxfId="523" priority="918" stopIfTrue="1">
      <formula>IF(CX16=0.34,1,0)</formula>
    </cfRule>
    <cfRule type="expression" dxfId="522" priority="919" stopIfTrue="1">
      <formula>IF(CX16&lt;0.33,1,0)</formula>
    </cfRule>
  </conditionalFormatting>
  <conditionalFormatting sqref="DA16">
    <cfRule type="cellIs" dxfId="521" priority="920" stopIfTrue="1" operator="between">
      <formula>"Hưu"</formula>
      <formula>"Hưu"</formula>
    </cfRule>
    <cfRule type="cellIs" dxfId="520" priority="921" stopIfTrue="1" operator="between">
      <formula>"---"</formula>
      <formula>"---"</formula>
    </cfRule>
    <cfRule type="cellIs" dxfId="519" priority="922" stopIfTrue="1" operator="between">
      <formula>"Quá"</formula>
      <formula>"Quá"</formula>
    </cfRule>
  </conditionalFormatting>
  <conditionalFormatting sqref="CW16">
    <cfRule type="expression" dxfId="518" priority="923" stopIfTrue="1">
      <formula>IF(OR(CW16=5.57,CW16=6.2),1,0)</formula>
    </cfRule>
    <cfRule type="expression" dxfId="517" priority="924" stopIfTrue="1">
      <formula>IF(OR(CW16=4,CW16=4.4),1,0)</formula>
    </cfRule>
    <cfRule type="expression" dxfId="516" priority="925" stopIfTrue="1">
      <formula>IF(AND(CW16&gt;0.9,CW16&lt;2.34),1,0)</formula>
    </cfRule>
  </conditionalFormatting>
  <conditionalFormatting sqref="CS16">
    <cfRule type="cellIs" dxfId="515" priority="926" stopIfTrue="1" operator="between">
      <formula>1</formula>
      <formula>1</formula>
    </cfRule>
    <cfRule type="cellIs" dxfId="514" priority="927" stopIfTrue="1" operator="between">
      <formula>2</formula>
      <formula>2</formula>
    </cfRule>
    <cfRule type="cellIs" dxfId="513" priority="928" stopIfTrue="1" operator="between">
      <formula>3</formula>
      <formula>3</formula>
    </cfRule>
  </conditionalFormatting>
  <conditionalFormatting sqref="CV16">
    <cfRule type="expression" dxfId="512" priority="929" stopIfTrue="1">
      <formula>IF(CV16&gt;0,1,0)</formula>
    </cfRule>
    <cfRule type="expression" dxfId="511" priority="930" stopIfTrue="1">
      <formula>IF(CV16&lt;1,1,0)</formula>
    </cfRule>
  </conditionalFormatting>
  <conditionalFormatting sqref="CR16">
    <cfRule type="cellIs" dxfId="510" priority="931" stopIfTrue="1" operator="between">
      <formula>"Đến"</formula>
      <formula>"Đến"</formula>
    </cfRule>
    <cfRule type="cellIs" dxfId="509" priority="932" stopIfTrue="1" operator="between">
      <formula>"Quá"</formula>
      <formula>"Quá"</formula>
    </cfRule>
    <cfRule type="expression" dxfId="508" priority="933" stopIfTrue="1">
      <formula>IF(OR(CR16="Lương Sớm Hưu",CR16="Nâng Ngạch Hưu"),1,0)</formula>
    </cfRule>
  </conditionalFormatting>
  <conditionalFormatting sqref="DB16:DC16">
    <cfRule type="expression" dxfId="507" priority="934" stopIfTrue="1">
      <formula>IF(DB16&gt;0,1,0)</formula>
    </cfRule>
  </conditionalFormatting>
  <conditionalFormatting sqref="CQ16">
    <cfRule type="cellIs" dxfId="506" priority="935" stopIfTrue="1" operator="between">
      <formula>"B"</formula>
      <formula>"B"</formula>
    </cfRule>
    <cfRule type="cellIs" dxfId="505" priority="936" stopIfTrue="1" operator="between">
      <formula>"C"</formula>
      <formula>"C"</formula>
    </cfRule>
    <cfRule type="cellIs" dxfId="504" priority="937" stopIfTrue="1" operator="between">
      <formula>"D"</formula>
      <formula>"D"</formula>
    </cfRule>
  </conditionalFormatting>
  <conditionalFormatting sqref="CP16">
    <cfRule type="cellIs" dxfId="503" priority="938" stopIfTrue="1" operator="between">
      <formula>"công chức, viên chức"</formula>
      <formula>"công chức, viên chức"</formula>
    </cfRule>
    <cfRule type="cellIs" dxfId="502" priority="939" stopIfTrue="1" operator="between">
      <formula>"lao động hợp đồng"</formula>
      <formula>"lao động hợp đồng"</formula>
    </cfRule>
  </conditionalFormatting>
  <conditionalFormatting sqref="CZ16">
    <cfRule type="expression" dxfId="501" priority="940" stopIfTrue="1">
      <formula>IF(CZ16="Nâg Ngạch sau TB",1,0)</formula>
    </cfRule>
    <cfRule type="expression" dxfId="500" priority="941" stopIfTrue="1">
      <formula>IF(CZ16="Nâg Lươg Sớm sau TB",1,0)</formula>
    </cfRule>
    <cfRule type="expression" dxfId="499" priority="942" stopIfTrue="1">
      <formula>IF(CZ16="Nâg PC TNVK cùng QĐ",1,0)</formula>
    </cfRule>
  </conditionalFormatting>
  <conditionalFormatting sqref="CO16">
    <cfRule type="expression" dxfId="498" priority="943" stopIfTrue="1">
      <formula>IF(CO16=0,1,0)</formula>
    </cfRule>
    <cfRule type="expression" dxfId="497" priority="944" stopIfTrue="1">
      <formula>IF(CO16&gt;0,1,0)</formula>
    </cfRule>
  </conditionalFormatting>
  <conditionalFormatting sqref="BJ16">
    <cfRule type="expression" dxfId="496" priority="912" stopIfTrue="1">
      <formula>IF(BJ16="Trên 45",1,0)</formula>
    </cfRule>
    <cfRule type="expression" dxfId="495" priority="913" stopIfTrue="1">
      <formula>IF(BJ16="30 - 45",1,0)</formula>
    </cfRule>
    <cfRule type="expression" dxfId="494" priority="914" stopIfTrue="1">
      <formula>IF(BJ16="Dưới 30",1,0)</formula>
    </cfRule>
  </conditionalFormatting>
  <conditionalFormatting sqref="BL16">
    <cfRule type="cellIs" dxfId="493" priority="915" stopIfTrue="1" operator="between">
      <formula>"Có hạn"</formula>
      <formula>"Có hạn"</formula>
    </cfRule>
    <cfRule type="cellIs" dxfId="492" priority="916" stopIfTrue="1" operator="between">
      <formula>"Ko hạn"</formula>
      <formula>"Ko hạn"</formula>
    </cfRule>
  </conditionalFormatting>
  <conditionalFormatting sqref="A16">
    <cfRule type="expression" dxfId="491" priority="986" stopIfTrue="1">
      <formula>IF(#REF!="Hưu",1,0)</formula>
    </cfRule>
    <cfRule type="expression" dxfId="490" priority="987" stopIfTrue="1">
      <formula>IF(#REF!="Quá",1,0)</formula>
    </cfRule>
  </conditionalFormatting>
  <conditionalFormatting sqref="AX16">
    <cfRule type="expression" dxfId="489" priority="988" stopIfTrue="1">
      <formula>12*(#REF!-AP16)+(#REF!-AN16)</formula>
    </cfRule>
  </conditionalFormatting>
  <conditionalFormatting sqref="AS16">
    <cfRule type="expression" dxfId="488" priority="989" stopIfTrue="1">
      <formula>12*(#REF!-AK16)+(#REF!-#REF!)</formula>
    </cfRule>
  </conditionalFormatting>
  <conditionalFormatting sqref="A11">
    <cfRule type="expression" dxfId="487" priority="1341" stopIfTrue="1">
      <formula>IF(#REF!="Hưu",1,0)</formula>
    </cfRule>
    <cfRule type="expression" dxfId="486" priority="1342" stopIfTrue="1">
      <formula>IF(#REF!="Quá",1,0)</formula>
    </cfRule>
  </conditionalFormatting>
  <conditionalFormatting sqref="A13:A15">
    <cfRule type="expression" dxfId="485" priority="1345" stopIfTrue="1">
      <formula>IF(#REF!="Hưu",1,0)</formula>
    </cfRule>
    <cfRule type="expression" dxfId="484" priority="1346" stopIfTrue="1">
      <formula>IF(#REF!="Quá",1,0)</formula>
    </cfRule>
  </conditionalFormatting>
  <conditionalFormatting sqref="BI26:BI41">
    <cfRule type="expression" dxfId="483" priority="466" stopIfTrue="1">
      <formula>IF(BJ26="Trên 45",1,0)</formula>
    </cfRule>
    <cfRule type="expression" dxfId="482" priority="467" stopIfTrue="1">
      <formula>IF(BJ26="30 - 45",1,0)</formula>
    </cfRule>
    <cfRule type="expression" dxfId="481" priority="468" stopIfTrue="1">
      <formula>IF(BJ26="Dưới 30",1,0)</formula>
    </cfRule>
  </conditionalFormatting>
  <conditionalFormatting sqref="AS26:AS41 CU26:CU41">
    <cfRule type="expression" dxfId="480" priority="469" stopIfTrue="1">
      <formula>IF(AT26&gt;0,1,0)</formula>
    </cfRule>
    <cfRule type="expression" dxfId="479" priority="470" stopIfTrue="1">
      <formula>IF(AT26=0,1,0)</formula>
    </cfRule>
  </conditionalFormatting>
  <conditionalFormatting sqref="AV26:AV41 CX26:CX41">
    <cfRule type="expression" dxfId="478" priority="471" stopIfTrue="1">
      <formula>IF(OR(AV26=0.36),1,0)</formula>
    </cfRule>
    <cfRule type="expression" dxfId="477" priority="472" stopIfTrue="1">
      <formula>IF(AV26=0.34,1,0)</formula>
    </cfRule>
    <cfRule type="expression" dxfId="476" priority="473" stopIfTrue="1">
      <formula>IF(AV26&lt;0.33,1,0)</formula>
    </cfRule>
  </conditionalFormatting>
  <conditionalFormatting sqref="AU26:AU41 CW26:CW41">
    <cfRule type="expression" dxfId="475" priority="474" stopIfTrue="1">
      <formula>IF(OR(AU26=5.57,AU26=6.2),1,0)</formula>
    </cfRule>
    <cfRule type="expression" dxfId="474" priority="475" stopIfTrue="1">
      <formula>IF(OR(AU26=4,AU26=4.4),1,0)</formula>
    </cfRule>
    <cfRule type="expression" dxfId="473" priority="476" stopIfTrue="1">
      <formula>IF(AND(AU26&gt;0.9,AU26&lt;2.34),1,0)</formula>
    </cfRule>
  </conditionalFormatting>
  <conditionalFormatting sqref="AM26:AM41">
    <cfRule type="cellIs" dxfId="472" priority="477" stopIfTrue="1" operator="between">
      <formula>"CC,VC"</formula>
      <formula>"CC,VC"</formula>
    </cfRule>
    <cfRule type="cellIs" dxfId="471" priority="478" stopIfTrue="1" operator="between">
      <formula>"LĐHĐ"</formula>
      <formula>"LĐHĐ"</formula>
    </cfRule>
  </conditionalFormatting>
  <conditionalFormatting sqref="BC26:BC41">
    <cfRule type="expression" dxfId="470" priority="437" stopIfTrue="1">
      <formula>IF(AZ26&gt;6,BA26,IF(AZ26&lt;7,BA26-1))</formula>
    </cfRule>
  </conditionalFormatting>
  <conditionalFormatting sqref="BE26:BE41">
    <cfRule type="expression" dxfId="469" priority="438" stopIfTrue="1">
      <formula>IF(BB26&gt;6,BC26,IF(BB26&lt;7,BC26-1))</formula>
    </cfRule>
  </conditionalFormatting>
  <conditionalFormatting sqref="AY26:AY41 DA26:DA41">
    <cfRule type="cellIs" dxfId="468" priority="439" stopIfTrue="1" operator="between">
      <formula>"Hưu"</formula>
      <formula>"Hưu"</formula>
    </cfRule>
    <cfRule type="cellIs" dxfId="467" priority="440" stopIfTrue="1" operator="between">
      <formula>"---"</formula>
      <formula>"---"</formula>
    </cfRule>
    <cfRule type="cellIs" dxfId="466" priority="441" stopIfTrue="1" operator="between">
      <formula>"Quá"</formula>
      <formula>"Quá"</formula>
    </cfRule>
  </conditionalFormatting>
  <conditionalFormatting sqref="AQ26:AQ41 CS26:CS41">
    <cfRule type="cellIs" dxfId="465" priority="442" stopIfTrue="1" operator="between">
      <formula>1</formula>
      <formula>1</formula>
    </cfRule>
    <cfRule type="cellIs" dxfId="464" priority="443" stopIfTrue="1" operator="between">
      <formula>2</formula>
      <formula>2</formula>
    </cfRule>
    <cfRule type="cellIs" dxfId="463" priority="444" stopIfTrue="1" operator="between">
      <formula>3</formula>
      <formula>3</formula>
    </cfRule>
  </conditionalFormatting>
  <conditionalFormatting sqref="AT26:AT41 CV26:CV41">
    <cfRule type="expression" dxfId="462" priority="445" stopIfTrue="1">
      <formula>IF(AT26&gt;0,1,0)</formula>
    </cfRule>
    <cfRule type="expression" dxfId="461" priority="446" stopIfTrue="1">
      <formula>IF(AT26&lt;1,1,0)</formula>
    </cfRule>
  </conditionalFormatting>
  <conditionalFormatting sqref="AP26:AP41 CR26:CR41">
    <cfRule type="cellIs" dxfId="460" priority="447" stopIfTrue="1" operator="between">
      <formula>"Đến"</formula>
      <formula>"Đến"</formula>
    </cfRule>
    <cfRule type="cellIs" dxfId="459" priority="448" stopIfTrue="1" operator="between">
      <formula>"Quá"</formula>
      <formula>"Quá"</formula>
    </cfRule>
    <cfRule type="expression" dxfId="458" priority="449" stopIfTrue="1">
      <formula>IF(OR(AP26="Lương Sớm Hưu",AP26="Nâng Ngạch Hưu"),1,0)</formula>
    </cfRule>
  </conditionalFormatting>
  <conditionalFormatting sqref="AZ26:BA41 J26:M41 F26:F41 DB26:DC41">
    <cfRule type="expression" dxfId="457" priority="450" stopIfTrue="1">
      <formula>IF(F26&gt;0,1,0)</formula>
    </cfRule>
  </conditionalFormatting>
  <conditionalFormatting sqref="AO26:AO41 CQ26:CQ41">
    <cfRule type="cellIs" dxfId="456" priority="451" stopIfTrue="1" operator="between">
      <formula>"B"</formula>
      <formula>"B"</formula>
    </cfRule>
    <cfRule type="cellIs" dxfId="455" priority="452" stopIfTrue="1" operator="between">
      <formula>"C"</formula>
      <formula>"C"</formula>
    </cfRule>
    <cfRule type="cellIs" dxfId="454" priority="453" stopIfTrue="1" operator="between">
      <formula>"D"</formula>
      <formula>"D"</formula>
    </cfRule>
  </conditionalFormatting>
  <conditionalFormatting sqref="AN26:AN41 CP26:CP41">
    <cfRule type="cellIs" dxfId="453" priority="454" stopIfTrue="1" operator="between">
      <formula>"công chức, viên chức"</formula>
      <formula>"công chức, viên chức"</formula>
    </cfRule>
    <cfRule type="cellIs" dxfId="452" priority="455" stopIfTrue="1" operator="between">
      <formula>"lao động hợp đồng"</formula>
      <formula>"lao động hợp đồng"</formula>
    </cfRule>
  </conditionalFormatting>
  <conditionalFormatting sqref="AX26:AX41 CZ26:CZ41">
    <cfRule type="expression" dxfId="451" priority="456" stopIfTrue="1">
      <formula>IF(AX26="Nâg Ngạch sau TB",1,0)</formula>
    </cfRule>
    <cfRule type="expression" dxfId="450" priority="457" stopIfTrue="1">
      <formula>IF(AX26="Nâg Lươg Sớm sau TB",1,0)</formula>
    </cfRule>
    <cfRule type="expression" dxfId="449" priority="458" stopIfTrue="1">
      <formula>IF(AX26="Nâg PC TNVK cùng QĐ",1,0)</formula>
    </cfRule>
  </conditionalFormatting>
  <conditionalFormatting sqref="AL26:AL41 CO26:CO41">
    <cfRule type="expression" dxfId="448" priority="459" stopIfTrue="1">
      <formula>IF(AL26=0,1,0)</formula>
    </cfRule>
    <cfRule type="expression" dxfId="447" priority="460" stopIfTrue="1">
      <formula>IF(AL26&gt;0,1,0)</formula>
    </cfRule>
  </conditionalFormatting>
  <conditionalFormatting sqref="BF26:BF41">
    <cfRule type="cellIs" dxfId="446" priority="461" stopIfTrue="1" operator="between">
      <formula>"-"</formula>
      <formula>"-"</formula>
    </cfRule>
    <cfRule type="cellIs" dxfId="445" priority="462" stopIfTrue="1" operator="between">
      <formula>1</formula>
      <formula>40</formula>
    </cfRule>
  </conditionalFormatting>
  <conditionalFormatting sqref="P26:T41">
    <cfRule type="expression" dxfId="444" priority="463" stopIfTrue="1">
      <formula>IF(P26="A0-CĐ",1,0)</formula>
    </cfRule>
    <cfRule type="expression" dxfId="443" priority="464" stopIfTrue="1">
      <formula>IF(P26="B-TC",1,0)</formula>
    </cfRule>
    <cfRule type="expression" dxfId="442" priority="465" stopIfTrue="1">
      <formula>IF(P26="C-NV",1,0)</formula>
    </cfRule>
  </conditionalFormatting>
  <conditionalFormatting sqref="BJ26:BJ41">
    <cfRule type="expression" dxfId="441" priority="432" stopIfTrue="1">
      <formula>IF(BJ26="Trên 45",1,0)</formula>
    </cfRule>
    <cfRule type="expression" dxfId="440" priority="433" stopIfTrue="1">
      <formula>IF(BJ26="30 - 45",1,0)</formula>
    </cfRule>
    <cfRule type="expression" dxfId="439" priority="434" stopIfTrue="1">
      <formula>IF(BJ26="Dưới 30",1,0)</formula>
    </cfRule>
  </conditionalFormatting>
  <conditionalFormatting sqref="BL26:BL41">
    <cfRule type="cellIs" dxfId="438" priority="435" stopIfTrue="1" operator="between">
      <formula>"Có hạn"</formula>
      <formula>"Có hạn"</formula>
    </cfRule>
    <cfRule type="cellIs" dxfId="437" priority="436" stopIfTrue="1" operator="between">
      <formula>"Ko hạn"</formula>
      <formula>"Ko hạn"</formula>
    </cfRule>
  </conditionalFormatting>
  <conditionalFormatting sqref="BC21">
    <cfRule type="expression" dxfId="436" priority="384" stopIfTrue="1">
      <formula>IF(AZ21&gt;6,BA21,IF(AZ21&lt;7,BA21-1))</formula>
    </cfRule>
  </conditionalFormatting>
  <conditionalFormatting sqref="BI21">
    <cfRule type="expression" dxfId="435" priority="385" stopIfTrue="1">
      <formula>IF(BJ21="Trên 45",1,0)</formula>
    </cfRule>
    <cfRule type="expression" dxfId="434" priority="386" stopIfTrue="1">
      <formula>IF(BJ21="30 - 45",1,0)</formula>
    </cfRule>
    <cfRule type="expression" dxfId="433" priority="387" stopIfTrue="1">
      <formula>IF(BJ21="Dưới 30",1,0)</formula>
    </cfRule>
  </conditionalFormatting>
  <conditionalFormatting sqref="AS21 CU21">
    <cfRule type="expression" dxfId="432" priority="388" stopIfTrue="1">
      <formula>IF(AT21&gt;0,1,0)</formula>
    </cfRule>
    <cfRule type="expression" dxfId="431" priority="389" stopIfTrue="1">
      <formula>IF(AT21=0,1,0)</formula>
    </cfRule>
  </conditionalFormatting>
  <conditionalFormatting sqref="BE21">
    <cfRule type="expression" dxfId="430" priority="390" stopIfTrue="1">
      <formula>IF(BB21&gt;6,BC21,IF(BB21&lt;7,BC21-1))</formula>
    </cfRule>
  </conditionalFormatting>
  <conditionalFormatting sqref="AV21 CX21">
    <cfRule type="expression" dxfId="429" priority="396" stopIfTrue="1">
      <formula>IF(OR(AV21=0.36),1,0)</formula>
    </cfRule>
    <cfRule type="expression" dxfId="428" priority="397" stopIfTrue="1">
      <formula>IF(AV21=0.34,1,0)</formula>
    </cfRule>
    <cfRule type="expression" dxfId="427" priority="398" stopIfTrue="1">
      <formula>IF(AV21&lt;0.33,1,0)</formula>
    </cfRule>
  </conditionalFormatting>
  <conditionalFormatting sqref="AY21 DA21">
    <cfRule type="cellIs" dxfId="426" priority="399" stopIfTrue="1" operator="between">
      <formula>"Hưu"</formula>
      <formula>"Hưu"</formula>
    </cfRule>
    <cfRule type="cellIs" dxfId="425" priority="400" stopIfTrue="1" operator="between">
      <formula>"---"</formula>
      <formula>"---"</formula>
    </cfRule>
    <cfRule type="cellIs" dxfId="424" priority="401" stopIfTrue="1" operator="between">
      <formula>"Quá"</formula>
      <formula>"Quá"</formula>
    </cfRule>
  </conditionalFormatting>
  <conditionalFormatting sqref="AU21 CW21">
    <cfRule type="expression" dxfId="423" priority="402" stopIfTrue="1">
      <formula>IF(OR(AU21=5.57,AU21=6.2),1,0)</formula>
    </cfRule>
    <cfRule type="expression" dxfId="422" priority="403" stopIfTrue="1">
      <formula>IF(OR(AU21=4,AU21=4.4),1,0)</formula>
    </cfRule>
    <cfRule type="expression" dxfId="421" priority="404" stopIfTrue="1">
      <formula>IF(AND(AU21&gt;0.9,AU21&lt;2.34),1,0)</formula>
    </cfRule>
  </conditionalFormatting>
  <conditionalFormatting sqref="AQ21 CS21">
    <cfRule type="cellIs" dxfId="420" priority="405" stopIfTrue="1" operator="between">
      <formula>1</formula>
      <formula>1</formula>
    </cfRule>
    <cfRule type="cellIs" dxfId="419" priority="406" stopIfTrue="1" operator="between">
      <formula>2</formula>
      <formula>2</formula>
    </cfRule>
    <cfRule type="cellIs" dxfId="418" priority="407" stopIfTrue="1" operator="between">
      <formula>3</formula>
      <formula>3</formula>
    </cfRule>
  </conditionalFormatting>
  <conditionalFormatting sqref="AT21 CV21">
    <cfRule type="expression" dxfId="417" priority="408" stopIfTrue="1">
      <formula>IF(AT21&gt;0,1,0)</formula>
    </cfRule>
    <cfRule type="expression" dxfId="416" priority="409" stopIfTrue="1">
      <formula>IF(AT21&lt;1,1,0)</formula>
    </cfRule>
  </conditionalFormatting>
  <conditionalFormatting sqref="AP21 CR21">
    <cfRule type="cellIs" dxfId="415" priority="410" stopIfTrue="1" operator="between">
      <formula>"Đến"</formula>
      <formula>"Đến"</formula>
    </cfRule>
    <cfRule type="cellIs" dxfId="414" priority="411" stopIfTrue="1" operator="between">
      <formula>"Quá"</formula>
      <formula>"Quá"</formula>
    </cfRule>
    <cfRule type="expression" dxfId="413" priority="412" stopIfTrue="1">
      <formula>IF(OR(AP21="Lương Sớm Hưu",AP21="Nâng Ngạch Hưu"),1,0)</formula>
    </cfRule>
  </conditionalFormatting>
  <conditionalFormatting sqref="AZ21:BA21 J21:M21 F21 DB21:DC21">
    <cfRule type="expression" dxfId="412" priority="413" stopIfTrue="1">
      <formula>IF(F21&gt;0,1,0)</formula>
    </cfRule>
  </conditionalFormatting>
  <conditionalFormatting sqref="AO21 CQ21">
    <cfRule type="cellIs" dxfId="411" priority="414" stopIfTrue="1" operator="between">
      <formula>"B"</formula>
      <formula>"B"</formula>
    </cfRule>
    <cfRule type="cellIs" dxfId="410" priority="415" stopIfTrue="1" operator="between">
      <formula>"C"</formula>
      <formula>"C"</formula>
    </cfRule>
    <cfRule type="cellIs" dxfId="409" priority="416" stopIfTrue="1" operator="between">
      <formula>"D"</formula>
      <formula>"D"</formula>
    </cfRule>
  </conditionalFormatting>
  <conditionalFormatting sqref="AN21 CP21">
    <cfRule type="cellIs" dxfId="408" priority="417" stopIfTrue="1" operator="between">
      <formula>"công chức, viên chức"</formula>
      <formula>"công chức, viên chức"</formula>
    </cfRule>
    <cfRule type="cellIs" dxfId="407" priority="418" stopIfTrue="1" operator="between">
      <formula>"lao động hợp đồng"</formula>
      <formula>"lao động hợp đồng"</formula>
    </cfRule>
  </conditionalFormatting>
  <conditionalFormatting sqref="AX21 CZ21">
    <cfRule type="expression" dxfId="406" priority="419" stopIfTrue="1">
      <formula>IF(AX21="Nâg Ngạch sau TB",1,0)</formula>
    </cfRule>
    <cfRule type="expression" dxfId="405" priority="420" stopIfTrue="1">
      <formula>IF(AX21="Nâg Lươg Sớm sau TB",1,0)</formula>
    </cfRule>
    <cfRule type="expression" dxfId="404" priority="421" stopIfTrue="1">
      <formula>IF(AX21="Nâg PC TNVK cùng QĐ",1,0)</formula>
    </cfRule>
  </conditionalFormatting>
  <conditionalFormatting sqref="AL21 CO21">
    <cfRule type="expression" dxfId="403" priority="422" stopIfTrue="1">
      <formula>IF(AL21=0,1,0)</formula>
    </cfRule>
    <cfRule type="expression" dxfId="402" priority="423" stopIfTrue="1">
      <formula>IF(AL21&gt;0,1,0)</formula>
    </cfRule>
  </conditionalFormatting>
  <conditionalFormatting sqref="BJ21">
    <cfRule type="expression" dxfId="401" priority="391" stopIfTrue="1">
      <formula>IF(BJ21="Trên 45",1,0)</formula>
    </cfRule>
    <cfRule type="expression" dxfId="400" priority="392" stopIfTrue="1">
      <formula>IF(BJ21="30 - 45",1,0)</formula>
    </cfRule>
    <cfRule type="expression" dxfId="399" priority="393" stopIfTrue="1">
      <formula>IF(BJ21="Dưới 30",1,0)</formula>
    </cfRule>
  </conditionalFormatting>
  <conditionalFormatting sqref="BL21">
    <cfRule type="cellIs" dxfId="398" priority="394" stopIfTrue="1" operator="between">
      <formula>"Có hạn"</formula>
      <formula>"Có hạn"</formula>
    </cfRule>
    <cfRule type="cellIs" dxfId="397" priority="395" stopIfTrue="1" operator="between">
      <formula>"Ko hạn"</formula>
      <formula>"Ko hạn"</formula>
    </cfRule>
  </conditionalFormatting>
  <conditionalFormatting sqref="BD21 BD26:BD41">
    <cfRule type="expression" dxfId="396" priority="424" stopIfTrue="1">
      <formula>IF(#REF!&gt;6,#REF!-6,IF(#REF!=6,12,IF(#REF!&lt;6,#REF!+6)))</formula>
    </cfRule>
  </conditionalFormatting>
  <conditionalFormatting sqref="BF21">
    <cfRule type="cellIs" dxfId="395" priority="425" stopIfTrue="1" operator="between">
      <formula>"-"</formula>
      <formula>"-"</formula>
    </cfRule>
    <cfRule type="cellIs" dxfId="394" priority="426" stopIfTrue="1" operator="between">
      <formula>1</formula>
      <formula>40</formula>
    </cfRule>
  </conditionalFormatting>
  <conditionalFormatting sqref="P21:T21">
    <cfRule type="expression" dxfId="393" priority="427" stopIfTrue="1">
      <formula>IF(P21="A0-CĐ",1,0)</formula>
    </cfRule>
    <cfRule type="expression" dxfId="392" priority="428" stopIfTrue="1">
      <formula>IF(P21="B-TC",1,0)</formula>
    </cfRule>
    <cfRule type="expression" dxfId="391" priority="429" stopIfTrue="1">
      <formula>IF(P21="C-NV",1,0)</formula>
    </cfRule>
  </conditionalFormatting>
  <conditionalFormatting sqref="AM21">
    <cfRule type="cellIs" dxfId="390" priority="430" stopIfTrue="1" operator="between">
      <formula>"CC,VC"</formula>
      <formula>"CC,VC"</formula>
    </cfRule>
    <cfRule type="cellIs" dxfId="389" priority="431" stopIfTrue="1" operator="between">
      <formula>"LĐHĐ"</formula>
      <formula>"LĐHĐ"</formula>
    </cfRule>
  </conditionalFormatting>
  <conditionalFormatting sqref="AW21 AW26:AW41">
    <cfRule type="expression" dxfId="388" priority="383" stopIfTrue="1">
      <formula>12*(#REF!-AO21)+(#REF!-AL21)</formula>
    </cfRule>
  </conditionalFormatting>
  <conditionalFormatting sqref="CT21 CT26:CT41">
    <cfRule type="expression" dxfId="387" priority="381" stopIfTrue="1">
      <formula>12*(#REF!-CM21)+(#REF!-CK21)</formula>
    </cfRule>
  </conditionalFormatting>
  <conditionalFormatting sqref="CY21 CY26:CY41">
    <cfRule type="expression" dxfId="386" priority="382" stopIfTrue="1">
      <formula>12*(#REF!-CQ21)+(#REF!-CO21)</formula>
    </cfRule>
  </conditionalFormatting>
  <conditionalFormatting sqref="BG21 BG26:BG41">
    <cfRule type="expression" dxfId="385" priority="376" stopIfTrue="1">
      <formula>IF(AND(#REF!&gt;0,#REF!&lt;5),1,0)</formula>
    </cfRule>
    <cfRule type="expression" dxfId="384" priority="377" stopIfTrue="1">
      <formula>IF(#REF!=5,1,0)</formula>
    </cfRule>
    <cfRule type="expression" dxfId="383" priority="378" stopIfTrue="1">
      <formula>IF(#REF!&gt;5,1,0)</formula>
    </cfRule>
  </conditionalFormatting>
  <conditionalFormatting sqref="BB21 BB26:BB41">
    <cfRule type="expression" dxfId="382" priority="379" stopIfTrue="1">
      <formula>IF(#REF!&gt;6,#REF!-6,IF(#REF!=6,12,IF(#REF!&lt;6,#REF!+6)))</formula>
    </cfRule>
  </conditionalFormatting>
  <conditionalFormatting sqref="AR21 AR26:AR41">
    <cfRule type="expression" dxfId="381" priority="380" stopIfTrue="1">
      <formula>12*(#REF!-#REF!)+(#REF!-#REF!)</formula>
    </cfRule>
  </conditionalFormatting>
  <conditionalFormatting sqref="BH23">
    <cfRule type="expression" dxfId="380" priority="338" stopIfTrue="1">
      <formula>IF(BI23="Trên 45",1,0)</formula>
    </cfRule>
    <cfRule type="expression" dxfId="379" priority="339" stopIfTrue="1">
      <formula>IF(BI23="30 - 45",1,0)</formula>
    </cfRule>
    <cfRule type="expression" dxfId="378" priority="340" stopIfTrue="1">
      <formula>IF(BI23="Dưới 30",1,0)</formula>
    </cfRule>
  </conditionalFormatting>
  <conditionalFormatting sqref="CT23">
    <cfRule type="expression" dxfId="377" priority="341" stopIfTrue="1">
      <formula>IF(CU23&gt;0,1,0)</formula>
    </cfRule>
    <cfRule type="expression" dxfId="376" priority="342" stopIfTrue="1">
      <formula>IF(CU23=0,1,0)</formula>
    </cfRule>
  </conditionalFormatting>
  <conditionalFormatting sqref="CW23">
    <cfRule type="expression" dxfId="375" priority="348" stopIfTrue="1">
      <formula>IF(OR(CW23=0.36),1,0)</formula>
    </cfRule>
    <cfRule type="expression" dxfId="374" priority="349" stopIfTrue="1">
      <formula>IF(CW23=0.34,1,0)</formula>
    </cfRule>
    <cfRule type="expression" dxfId="373" priority="350" stopIfTrue="1">
      <formula>IF(CW23&lt;0.33,1,0)</formula>
    </cfRule>
  </conditionalFormatting>
  <conditionalFormatting sqref="CZ23">
    <cfRule type="cellIs" dxfId="372" priority="351" stopIfTrue="1" operator="between">
      <formula>"Hưu"</formula>
      <formula>"Hưu"</formula>
    </cfRule>
    <cfRule type="cellIs" dxfId="371" priority="352" stopIfTrue="1" operator="between">
      <formula>"---"</formula>
      <formula>"---"</formula>
    </cfRule>
    <cfRule type="cellIs" dxfId="370" priority="353" stopIfTrue="1" operator="between">
      <formula>"Quá"</formula>
      <formula>"Quá"</formula>
    </cfRule>
  </conditionalFormatting>
  <conditionalFormatting sqref="CV23">
    <cfRule type="expression" dxfId="369" priority="354" stopIfTrue="1">
      <formula>IF(OR(CV23=5.57,CV23=6.2),1,0)</formula>
    </cfRule>
    <cfRule type="expression" dxfId="368" priority="355" stopIfTrue="1">
      <formula>IF(OR(CV23=4,CV23=4.4),1,0)</formula>
    </cfRule>
    <cfRule type="expression" dxfId="367" priority="356" stopIfTrue="1">
      <formula>IF(AND(CV23&gt;0.9,CV23&lt;2.34),1,0)</formula>
    </cfRule>
  </conditionalFormatting>
  <conditionalFormatting sqref="CR23">
    <cfRule type="cellIs" dxfId="366" priority="357" stopIfTrue="1" operator="between">
      <formula>1</formula>
      <formula>1</formula>
    </cfRule>
    <cfRule type="cellIs" dxfId="365" priority="358" stopIfTrue="1" operator="between">
      <formula>2</formula>
      <formula>2</formula>
    </cfRule>
    <cfRule type="cellIs" dxfId="364" priority="359" stopIfTrue="1" operator="between">
      <formula>3</formula>
      <formula>3</formula>
    </cfRule>
  </conditionalFormatting>
  <conditionalFormatting sqref="CU23">
    <cfRule type="expression" dxfId="363" priority="360" stopIfTrue="1">
      <formula>IF(CU23&gt;0,1,0)</formula>
    </cfRule>
    <cfRule type="expression" dxfId="362" priority="361" stopIfTrue="1">
      <formula>IF(CU23&lt;1,1,0)</formula>
    </cfRule>
  </conditionalFormatting>
  <conditionalFormatting sqref="CQ23">
    <cfRule type="cellIs" dxfId="361" priority="362" stopIfTrue="1" operator="between">
      <formula>"Đến"</formula>
      <formula>"Đến"</formula>
    </cfRule>
    <cfRule type="cellIs" dxfId="360" priority="363" stopIfTrue="1" operator="between">
      <formula>"Quá"</formula>
      <formula>"Quá"</formula>
    </cfRule>
    <cfRule type="expression" dxfId="359" priority="364" stopIfTrue="1">
      <formula>IF(OR(CQ23="Lương Sớm Hưu",CQ23="Nâng Ngạch Hưu"),1,0)</formula>
    </cfRule>
  </conditionalFormatting>
  <conditionalFormatting sqref="DA23:DB23">
    <cfRule type="expression" dxfId="358" priority="365" stopIfTrue="1">
      <formula>IF(DA23&gt;0,1,0)</formula>
    </cfRule>
  </conditionalFormatting>
  <conditionalFormatting sqref="CP23">
    <cfRule type="cellIs" dxfId="357" priority="366" stopIfTrue="1" operator="between">
      <formula>"B"</formula>
      <formula>"B"</formula>
    </cfRule>
    <cfRule type="cellIs" dxfId="356" priority="367" stopIfTrue="1" operator="between">
      <formula>"C"</formula>
      <formula>"C"</formula>
    </cfRule>
    <cfRule type="cellIs" dxfId="355" priority="368" stopIfTrue="1" operator="between">
      <formula>"D"</formula>
      <formula>"D"</formula>
    </cfRule>
  </conditionalFormatting>
  <conditionalFormatting sqref="CO23">
    <cfRule type="cellIs" dxfId="354" priority="369" stopIfTrue="1" operator="between">
      <formula>"công chức, viên chức"</formula>
      <formula>"công chức, viên chức"</formula>
    </cfRule>
    <cfRule type="cellIs" dxfId="353" priority="370" stopIfTrue="1" operator="between">
      <formula>"lao động hợp đồng"</formula>
      <formula>"lao động hợp đồng"</formula>
    </cfRule>
  </conditionalFormatting>
  <conditionalFormatting sqref="CY23">
    <cfRule type="expression" dxfId="352" priority="371" stopIfTrue="1">
      <formula>IF(CY23="Nâg Ngạch sau TB",1,0)</formula>
    </cfRule>
    <cfRule type="expression" dxfId="351" priority="372" stopIfTrue="1">
      <formula>IF(CY23="Nâg Lươg Sớm sau TB",1,0)</formula>
    </cfRule>
    <cfRule type="expression" dxfId="350" priority="373" stopIfTrue="1">
      <formula>IF(CY23="Nâg PC TNVK cùng QĐ",1,0)</formula>
    </cfRule>
  </conditionalFormatting>
  <conditionalFormatting sqref="CN23">
    <cfRule type="expression" dxfId="349" priority="374" stopIfTrue="1">
      <formula>IF(CN23=0,1,0)</formula>
    </cfRule>
    <cfRule type="expression" dxfId="348" priority="375" stopIfTrue="1">
      <formula>IF(CN23&gt;0,1,0)</formula>
    </cfRule>
  </conditionalFormatting>
  <conditionalFormatting sqref="BI23">
    <cfRule type="expression" dxfId="347" priority="343" stopIfTrue="1">
      <formula>IF(BI23="Trên 45",1,0)</formula>
    </cfRule>
    <cfRule type="expression" dxfId="346" priority="344" stopIfTrue="1">
      <formula>IF(BI23="30 - 45",1,0)</formula>
    </cfRule>
    <cfRule type="expression" dxfId="345" priority="345" stopIfTrue="1">
      <formula>IF(BI23="Dưới 30",1,0)</formula>
    </cfRule>
  </conditionalFormatting>
  <conditionalFormatting sqref="BK23">
    <cfRule type="cellIs" dxfId="344" priority="346" stopIfTrue="1" operator="between">
      <formula>"Có hạn"</formula>
      <formula>"Có hạn"</formula>
    </cfRule>
    <cfRule type="cellIs" dxfId="343" priority="347" stopIfTrue="1" operator="between">
      <formula>"Ko hạn"</formula>
      <formula>"Ko hạn"</formula>
    </cfRule>
  </conditionalFormatting>
  <conditionalFormatting sqref="CS23">
    <cfRule type="expression" dxfId="342" priority="336" stopIfTrue="1">
      <formula>12*(#REF!-CL23)+(#REF!-CJ23)</formula>
    </cfRule>
  </conditionalFormatting>
  <conditionalFormatting sqref="CX23">
    <cfRule type="expression" dxfId="341" priority="337" stopIfTrue="1">
      <formula>12*(#REF!-CP23)+(#REF!-CN23)</formula>
    </cfRule>
  </conditionalFormatting>
  <conditionalFormatting sqref="AY23">
    <cfRule type="cellIs" dxfId="340" priority="320" stopIfTrue="1" operator="between">
      <formula>"Hưu"</formula>
      <formula>"Hưu"</formula>
    </cfRule>
    <cfRule type="cellIs" dxfId="339" priority="321" stopIfTrue="1" operator="between">
      <formula>"---"</formula>
      <formula>"---"</formula>
    </cfRule>
    <cfRule type="cellIs" dxfId="338" priority="322" stopIfTrue="1" operator="between">
      <formula>"Quá"</formula>
      <formula>"Quá"</formula>
    </cfRule>
  </conditionalFormatting>
  <conditionalFormatting sqref="AQ23">
    <cfRule type="cellIs" dxfId="337" priority="323" stopIfTrue="1" operator="between">
      <formula>1</formula>
      <formula>1</formula>
    </cfRule>
    <cfRule type="cellIs" dxfId="336" priority="324" stopIfTrue="1" operator="between">
      <formula>2</formula>
      <formula>2</formula>
    </cfRule>
    <cfRule type="cellIs" dxfId="335" priority="325" stopIfTrue="1" operator="between">
      <formula>3</formula>
      <formula>3</formula>
    </cfRule>
  </conditionalFormatting>
  <conditionalFormatting sqref="AO23">
    <cfRule type="cellIs" dxfId="334" priority="326" stopIfTrue="1" operator="between">
      <formula>"B"</formula>
      <formula>"B"</formula>
    </cfRule>
    <cfRule type="cellIs" dxfId="333" priority="327" stopIfTrue="1" operator="between">
      <formula>"C"</formula>
      <formula>"C"</formula>
    </cfRule>
    <cfRule type="cellIs" dxfId="332" priority="328" stopIfTrue="1" operator="between">
      <formula>"D"</formula>
      <formula>"D"</formula>
    </cfRule>
  </conditionalFormatting>
  <conditionalFormatting sqref="AN23">
    <cfRule type="cellIs" dxfId="331" priority="329" stopIfTrue="1" operator="between">
      <formula>"công chức, viên chức"</formula>
      <formula>"công chức, viên chức"</formula>
    </cfRule>
    <cfRule type="cellIs" dxfId="330" priority="330" stopIfTrue="1" operator="between">
      <formula>"lao động hợp đồng"</formula>
      <formula>"lao động hợp đồng"</formula>
    </cfRule>
  </conditionalFormatting>
  <conditionalFormatting sqref="BD23">
    <cfRule type="expression" dxfId="329" priority="331" stopIfTrue="1">
      <formula>IF(#REF!&gt;6,#REF!-6,IF(#REF!=6,12,IF(#REF!&lt;6,#REF!+6)))</formula>
    </cfRule>
  </conditionalFormatting>
  <conditionalFormatting sqref="BF23">
    <cfRule type="cellIs" dxfId="328" priority="332" stopIfTrue="1" operator="between">
      <formula>"-"</formula>
      <formula>"-"</formula>
    </cfRule>
    <cfRule type="cellIs" dxfId="327" priority="333" stopIfTrue="1" operator="between">
      <formula>1</formula>
      <formula>40</formula>
    </cfRule>
  </conditionalFormatting>
  <conditionalFormatting sqref="F23">
    <cfRule type="cellIs" dxfId="326" priority="334" stopIfTrue="1" operator="between">
      <formula>"Nam"</formula>
      <formula>"Nam"</formula>
    </cfRule>
    <cfRule type="cellIs" dxfId="325" priority="335" stopIfTrue="1" operator="between">
      <formula>"Nữ"</formula>
      <formula>"Nữ"</formula>
    </cfRule>
  </conditionalFormatting>
  <conditionalFormatting sqref="AP23">
    <cfRule type="cellIs" dxfId="324" priority="317" stopIfTrue="1" operator="between">
      <formula>"Đến"</formula>
      <formula>"Đến"</formula>
    </cfRule>
    <cfRule type="cellIs" dxfId="323" priority="318" stopIfTrue="1" operator="between">
      <formula>"Quá"</formula>
      <formula>"Quá"</formula>
    </cfRule>
  </conditionalFormatting>
  <conditionalFormatting sqref="BB23">
    <cfRule type="expression" dxfId="322" priority="319" stopIfTrue="1">
      <formula>IF(#REF!&gt;6,#REF!-6,IF(#REF!=6,12,IF(#REF!&lt;6,#REF!+6)))</formula>
    </cfRule>
  </conditionalFormatting>
  <conditionalFormatting sqref="BH25">
    <cfRule type="expression" dxfId="321" priority="272" stopIfTrue="1">
      <formula>IF(BI25="Trên 45",1,0)</formula>
    </cfRule>
    <cfRule type="expression" dxfId="320" priority="273" stopIfTrue="1">
      <formula>IF(BI25="30 - 45",1,0)</formula>
    </cfRule>
    <cfRule type="expression" dxfId="319" priority="274" stopIfTrue="1">
      <formula>IF(BI25="Dưới 30",1,0)</formula>
    </cfRule>
  </conditionalFormatting>
  <conditionalFormatting sqref="CT25">
    <cfRule type="expression" dxfId="318" priority="275" stopIfTrue="1">
      <formula>IF(CU25&gt;0,1,0)</formula>
    </cfRule>
    <cfRule type="expression" dxfId="317" priority="276" stopIfTrue="1">
      <formula>IF(CU25=0,1,0)</formula>
    </cfRule>
  </conditionalFormatting>
  <conditionalFormatting sqref="CW25">
    <cfRule type="expression" dxfId="316" priority="282" stopIfTrue="1">
      <formula>IF(OR(CW25=0.36),1,0)</formula>
    </cfRule>
    <cfRule type="expression" dxfId="315" priority="283" stopIfTrue="1">
      <formula>IF(CW25=0.34,1,0)</formula>
    </cfRule>
    <cfRule type="expression" dxfId="314" priority="284" stopIfTrue="1">
      <formula>IF(CW25&lt;0.33,1,0)</formula>
    </cfRule>
  </conditionalFormatting>
  <conditionalFormatting sqref="AY25 CZ25">
    <cfRule type="cellIs" dxfId="313" priority="285" stopIfTrue="1" operator="between">
      <formula>"Hưu"</formula>
      <formula>"Hưu"</formula>
    </cfRule>
    <cfRule type="cellIs" dxfId="312" priority="286" stopIfTrue="1" operator="between">
      <formula>"---"</formula>
      <formula>"---"</formula>
    </cfRule>
    <cfRule type="cellIs" dxfId="311" priority="287" stopIfTrue="1" operator="between">
      <formula>"Quá"</formula>
      <formula>"Quá"</formula>
    </cfRule>
  </conditionalFormatting>
  <conditionalFormatting sqref="CV25">
    <cfRule type="expression" dxfId="310" priority="288" stopIfTrue="1">
      <formula>IF(OR(CV25=5.57,CV25=6.2),1,0)</formula>
    </cfRule>
    <cfRule type="expression" dxfId="309" priority="289" stopIfTrue="1">
      <formula>IF(OR(CV25=4,CV25=4.4),1,0)</formula>
    </cfRule>
    <cfRule type="expression" dxfId="308" priority="290" stopIfTrue="1">
      <formula>IF(AND(CV25&gt;0.9,CV25&lt;2.34),1,0)</formula>
    </cfRule>
  </conditionalFormatting>
  <conditionalFormatting sqref="AQ25 CR25">
    <cfRule type="cellIs" dxfId="307" priority="291" stopIfTrue="1" operator="between">
      <formula>1</formula>
      <formula>1</formula>
    </cfRule>
    <cfRule type="cellIs" dxfId="306" priority="292" stopIfTrue="1" operator="between">
      <formula>2</formula>
      <formula>2</formula>
    </cfRule>
    <cfRule type="cellIs" dxfId="305" priority="293" stopIfTrue="1" operator="between">
      <formula>3</formula>
      <formula>3</formula>
    </cfRule>
  </conditionalFormatting>
  <conditionalFormatting sqref="CU25">
    <cfRule type="expression" dxfId="304" priority="294" stopIfTrue="1">
      <formula>IF(CU25&gt;0,1,0)</formula>
    </cfRule>
    <cfRule type="expression" dxfId="303" priority="295" stopIfTrue="1">
      <formula>IF(CU25&lt;1,1,0)</formula>
    </cfRule>
  </conditionalFormatting>
  <conditionalFormatting sqref="CQ25">
    <cfRule type="cellIs" dxfId="302" priority="296" stopIfTrue="1" operator="between">
      <formula>"Đến"</formula>
      <formula>"Đến"</formula>
    </cfRule>
    <cfRule type="cellIs" dxfId="301" priority="297" stopIfTrue="1" operator="between">
      <formula>"Quá"</formula>
      <formula>"Quá"</formula>
    </cfRule>
    <cfRule type="expression" dxfId="300" priority="298" stopIfTrue="1">
      <formula>IF(OR(CQ25="Lương Sớm Hưu",CQ25="Nâng Ngạch Hưu"),1,0)</formula>
    </cfRule>
  </conditionalFormatting>
  <conditionalFormatting sqref="DA25:DB25">
    <cfRule type="expression" dxfId="299" priority="299" stopIfTrue="1">
      <formula>IF(DA25&gt;0,1,0)</formula>
    </cfRule>
  </conditionalFormatting>
  <conditionalFormatting sqref="AO25 CP25">
    <cfRule type="cellIs" dxfId="298" priority="300" stopIfTrue="1" operator="between">
      <formula>"B"</formula>
      <formula>"B"</formula>
    </cfRule>
    <cfRule type="cellIs" dxfId="297" priority="301" stopIfTrue="1" operator="between">
      <formula>"C"</formula>
      <formula>"C"</formula>
    </cfRule>
    <cfRule type="cellIs" dxfId="296" priority="302" stopIfTrue="1" operator="between">
      <formula>"D"</formula>
      <formula>"D"</formula>
    </cfRule>
  </conditionalFormatting>
  <conditionalFormatting sqref="AN25 CO25">
    <cfRule type="cellIs" dxfId="295" priority="303" stopIfTrue="1" operator="between">
      <formula>"công chức, viên chức"</formula>
      <formula>"công chức, viên chức"</formula>
    </cfRule>
    <cfRule type="cellIs" dxfId="294" priority="304" stopIfTrue="1" operator="between">
      <formula>"lao động hợp đồng"</formula>
      <formula>"lao động hợp đồng"</formula>
    </cfRule>
  </conditionalFormatting>
  <conditionalFormatting sqref="CY25">
    <cfRule type="expression" dxfId="293" priority="305" stopIfTrue="1">
      <formula>IF(CY25="Nâg Ngạch sau TB",1,0)</formula>
    </cfRule>
    <cfRule type="expression" dxfId="292" priority="306" stopIfTrue="1">
      <formula>IF(CY25="Nâg Lươg Sớm sau TB",1,0)</formula>
    </cfRule>
    <cfRule type="expression" dxfId="291" priority="307" stopIfTrue="1">
      <formula>IF(CY25="Nâg PC TNVK cùng QĐ",1,0)</formula>
    </cfRule>
  </conditionalFormatting>
  <conditionalFormatting sqref="CN25">
    <cfRule type="expression" dxfId="290" priority="308" stopIfTrue="1">
      <formula>IF(CN25=0,1,0)</formula>
    </cfRule>
    <cfRule type="expression" dxfId="289" priority="309" stopIfTrue="1">
      <formula>IF(CN25&gt;0,1,0)</formula>
    </cfRule>
  </conditionalFormatting>
  <conditionalFormatting sqref="BI25">
    <cfRule type="expression" dxfId="288" priority="277" stopIfTrue="1">
      <formula>IF(BI25="Trên 45",1,0)</formula>
    </cfRule>
    <cfRule type="expression" dxfId="287" priority="278" stopIfTrue="1">
      <formula>IF(BI25="30 - 45",1,0)</formula>
    </cfRule>
    <cfRule type="expression" dxfId="286" priority="279" stopIfTrue="1">
      <formula>IF(BI25="Dưới 30",1,0)</formula>
    </cfRule>
  </conditionalFormatting>
  <conditionalFormatting sqref="BK25">
    <cfRule type="cellIs" dxfId="285" priority="280" stopIfTrue="1" operator="between">
      <formula>"Có hạn"</formula>
      <formula>"Có hạn"</formula>
    </cfRule>
    <cfRule type="cellIs" dxfId="284" priority="281" stopIfTrue="1" operator="between">
      <formula>"Ko hạn"</formula>
      <formula>"Ko hạn"</formula>
    </cfRule>
  </conditionalFormatting>
  <conditionalFormatting sqref="BD25">
    <cfRule type="expression" dxfId="283" priority="310" stopIfTrue="1">
      <formula>IF(#REF!&gt;6,#REF!-6,IF(#REF!=6,12,IF(#REF!&lt;6,#REF!+6)))</formula>
    </cfRule>
  </conditionalFormatting>
  <conditionalFormatting sqref="BF25">
    <cfRule type="cellIs" dxfId="282" priority="311" stopIfTrue="1" operator="between">
      <formula>"-"</formula>
      <formula>"-"</formula>
    </cfRule>
    <cfRule type="cellIs" dxfId="281" priority="312" stopIfTrue="1" operator="between">
      <formula>1</formula>
      <formula>40</formula>
    </cfRule>
  </conditionalFormatting>
  <conditionalFormatting sqref="F25">
    <cfRule type="cellIs" dxfId="280" priority="313" stopIfTrue="1" operator="between">
      <formula>"Nam"</formula>
      <formula>"Nam"</formula>
    </cfRule>
    <cfRule type="cellIs" dxfId="279" priority="314" stopIfTrue="1" operator="between">
      <formula>"Nữ"</formula>
      <formula>"Nữ"</formula>
    </cfRule>
  </conditionalFormatting>
  <conditionalFormatting sqref="AP25">
    <cfRule type="cellIs" dxfId="278" priority="269" stopIfTrue="1" operator="between">
      <formula>"Đến"</formula>
      <formula>"Đến"</formula>
    </cfRule>
    <cfRule type="cellIs" dxfId="277" priority="270" stopIfTrue="1" operator="between">
      <formula>"Quá"</formula>
      <formula>"Quá"</formula>
    </cfRule>
  </conditionalFormatting>
  <conditionalFormatting sqref="BB25">
    <cfRule type="expression" dxfId="276" priority="271" stopIfTrue="1">
      <formula>IF(#REF!&gt;6,#REF!-6,IF(#REF!=6,12,IF(#REF!&lt;6,#REF!+6)))</formula>
    </cfRule>
  </conditionalFormatting>
  <conditionalFormatting sqref="CS25">
    <cfRule type="expression" dxfId="275" priority="267" stopIfTrue="1">
      <formula>12*(#REF!-CL25)+(#REF!-CJ25)</formula>
    </cfRule>
  </conditionalFormatting>
  <conditionalFormatting sqref="CX25">
    <cfRule type="expression" dxfId="274" priority="268" stopIfTrue="1">
      <formula>12*(#REF!-CP25)+(#REF!-CN25)</formula>
    </cfRule>
  </conditionalFormatting>
  <conditionalFormatting sqref="A25:A41">
    <cfRule type="expression" dxfId="273" priority="315" stopIfTrue="1">
      <formula>IF(#REF!="Hưu",1,0)</formula>
    </cfRule>
    <cfRule type="expression" dxfId="272" priority="316" stopIfTrue="1">
      <formula>IF(#REF!="Quá",1,0)</formula>
    </cfRule>
  </conditionalFormatting>
  <conditionalFormatting sqref="A21">
    <cfRule type="expression" dxfId="271" priority="479" stopIfTrue="1">
      <formula>IF(#REF!="Hưu",1,0)</formula>
    </cfRule>
    <cfRule type="expression" dxfId="270" priority="480" stopIfTrue="1">
      <formula>IF(#REF!="Quá",1,0)</formula>
    </cfRule>
  </conditionalFormatting>
  <conditionalFormatting sqref="BC22">
    <cfRule type="expression" dxfId="269" priority="217" stopIfTrue="1">
      <formula>IF(AZ22&gt;6,BA22,IF(AZ22&lt;7,BA22-1))</formula>
    </cfRule>
  </conditionalFormatting>
  <conditionalFormatting sqref="BI22">
    <cfRule type="expression" dxfId="268" priority="218" stopIfTrue="1">
      <formula>IF(BJ22="Trên 45",1,0)</formula>
    </cfRule>
    <cfRule type="expression" dxfId="267" priority="219" stopIfTrue="1">
      <formula>IF(BJ22="30 - 45",1,0)</formula>
    </cfRule>
    <cfRule type="expression" dxfId="266" priority="220" stopIfTrue="1">
      <formula>IF(BJ22="Dưới 30",1,0)</formula>
    </cfRule>
  </conditionalFormatting>
  <conditionalFormatting sqref="AS22 CU22">
    <cfRule type="expression" dxfId="265" priority="221" stopIfTrue="1">
      <formula>IF(AT22&gt;0,1,0)</formula>
    </cfRule>
    <cfRule type="expression" dxfId="264" priority="222" stopIfTrue="1">
      <formula>IF(AT22=0,1,0)</formula>
    </cfRule>
  </conditionalFormatting>
  <conditionalFormatting sqref="BE22">
    <cfRule type="expression" dxfId="263" priority="223" stopIfTrue="1">
      <formula>IF(BB22&gt;6,BC22,IF(BB22&lt;7,BC22-1))</formula>
    </cfRule>
  </conditionalFormatting>
  <conditionalFormatting sqref="AV22 CX22">
    <cfRule type="expression" dxfId="262" priority="229" stopIfTrue="1">
      <formula>IF(OR(AV22=0.36),1,0)</formula>
    </cfRule>
    <cfRule type="expression" dxfId="261" priority="230" stopIfTrue="1">
      <formula>IF(AV22=0.34,1,0)</formula>
    </cfRule>
    <cfRule type="expression" dxfId="260" priority="231" stopIfTrue="1">
      <formula>IF(AV22&lt;0.33,1,0)</formula>
    </cfRule>
  </conditionalFormatting>
  <conditionalFormatting sqref="AY22 DA22">
    <cfRule type="cellIs" dxfId="259" priority="232" stopIfTrue="1" operator="between">
      <formula>"Hưu"</formula>
      <formula>"Hưu"</formula>
    </cfRule>
    <cfRule type="cellIs" dxfId="258" priority="233" stopIfTrue="1" operator="between">
      <formula>"---"</formula>
      <formula>"---"</formula>
    </cfRule>
    <cfRule type="cellIs" dxfId="257" priority="234" stopIfTrue="1" operator="between">
      <formula>"Quá"</formula>
      <formula>"Quá"</formula>
    </cfRule>
  </conditionalFormatting>
  <conditionalFormatting sqref="AU22 CW22">
    <cfRule type="expression" dxfId="256" priority="235" stopIfTrue="1">
      <formula>IF(OR(AU22=5.57,AU22=6.2),1,0)</formula>
    </cfRule>
    <cfRule type="expression" dxfId="255" priority="236" stopIfTrue="1">
      <formula>IF(OR(AU22=4,AU22=4.4),1,0)</formula>
    </cfRule>
    <cfRule type="expression" dxfId="254" priority="237" stopIfTrue="1">
      <formula>IF(AND(AU22&gt;0.9,AU22&lt;2.34),1,0)</formula>
    </cfRule>
  </conditionalFormatting>
  <conditionalFormatting sqref="AQ22 CS22">
    <cfRule type="cellIs" dxfId="253" priority="238" stopIfTrue="1" operator="between">
      <formula>1</formula>
      <formula>1</formula>
    </cfRule>
    <cfRule type="cellIs" dxfId="252" priority="239" stopIfTrue="1" operator="between">
      <formula>2</formula>
      <formula>2</formula>
    </cfRule>
    <cfRule type="cellIs" dxfId="251" priority="240" stopIfTrue="1" operator="between">
      <formula>3</formula>
      <formula>3</formula>
    </cfRule>
  </conditionalFormatting>
  <conditionalFormatting sqref="AT22 CV22">
    <cfRule type="expression" dxfId="250" priority="241" stopIfTrue="1">
      <formula>IF(AT22&gt;0,1,0)</formula>
    </cfRule>
    <cfRule type="expression" dxfId="249" priority="242" stopIfTrue="1">
      <formula>IF(AT22&lt;1,1,0)</formula>
    </cfRule>
  </conditionalFormatting>
  <conditionalFormatting sqref="AP22 CR22">
    <cfRule type="cellIs" dxfId="248" priority="243" stopIfTrue="1" operator="between">
      <formula>"Đến"</formula>
      <formula>"Đến"</formula>
    </cfRule>
    <cfRule type="cellIs" dxfId="247" priority="244" stopIfTrue="1" operator="between">
      <formula>"Quá"</formula>
      <formula>"Quá"</formula>
    </cfRule>
    <cfRule type="expression" dxfId="246" priority="245" stopIfTrue="1">
      <formula>IF(OR(AP22="Lương Sớm Hưu",AP22="Nâng Ngạch Hưu"),1,0)</formula>
    </cfRule>
  </conditionalFormatting>
  <conditionalFormatting sqref="AZ22:BA22 J22:M22 F22 DB22:DC22">
    <cfRule type="expression" dxfId="245" priority="246" stopIfTrue="1">
      <formula>IF(F22&gt;0,1,0)</formula>
    </cfRule>
  </conditionalFormatting>
  <conditionalFormatting sqref="AO22 CQ22">
    <cfRule type="cellIs" dxfId="244" priority="247" stopIfTrue="1" operator="between">
      <formula>"B"</formula>
      <formula>"B"</formula>
    </cfRule>
    <cfRule type="cellIs" dxfId="243" priority="248" stopIfTrue="1" operator="between">
      <formula>"C"</formula>
      <formula>"C"</formula>
    </cfRule>
    <cfRule type="cellIs" dxfId="242" priority="249" stopIfTrue="1" operator="between">
      <formula>"D"</formula>
      <formula>"D"</formula>
    </cfRule>
  </conditionalFormatting>
  <conditionalFormatting sqref="AN22 CP22">
    <cfRule type="cellIs" dxfId="241" priority="250" stopIfTrue="1" operator="between">
      <formula>"công chức, viên chức"</formula>
      <formula>"công chức, viên chức"</formula>
    </cfRule>
    <cfRule type="cellIs" dxfId="240" priority="251" stopIfTrue="1" operator="between">
      <formula>"lao động hợp đồng"</formula>
      <formula>"lao động hợp đồng"</formula>
    </cfRule>
  </conditionalFormatting>
  <conditionalFormatting sqref="AX22 CZ22">
    <cfRule type="expression" dxfId="239" priority="252" stopIfTrue="1">
      <formula>IF(AX22="Nâg Ngạch sau TB",1,0)</formula>
    </cfRule>
    <cfRule type="expression" dxfId="238" priority="253" stopIfTrue="1">
      <formula>IF(AX22="Nâg Lươg Sớm sau TB",1,0)</formula>
    </cfRule>
    <cfRule type="expression" dxfId="237" priority="254" stopIfTrue="1">
      <formula>IF(AX22="Nâg PC TNVK cùng QĐ",1,0)</formula>
    </cfRule>
  </conditionalFormatting>
  <conditionalFormatting sqref="AL22 CO22">
    <cfRule type="expression" dxfId="236" priority="255" stopIfTrue="1">
      <formula>IF(AL22=0,1,0)</formula>
    </cfRule>
    <cfRule type="expression" dxfId="235" priority="256" stopIfTrue="1">
      <formula>IF(AL22&gt;0,1,0)</formula>
    </cfRule>
  </conditionalFormatting>
  <conditionalFormatting sqref="BJ22">
    <cfRule type="expression" dxfId="234" priority="224" stopIfTrue="1">
      <formula>IF(BJ22="Trên 45",1,0)</formula>
    </cfRule>
    <cfRule type="expression" dxfId="233" priority="225" stopIfTrue="1">
      <formula>IF(BJ22="30 - 45",1,0)</formula>
    </cfRule>
    <cfRule type="expression" dxfId="232" priority="226" stopIfTrue="1">
      <formula>IF(BJ22="Dưới 30",1,0)</formula>
    </cfRule>
  </conditionalFormatting>
  <conditionalFormatting sqref="BL22">
    <cfRule type="cellIs" dxfId="231" priority="227" stopIfTrue="1" operator="between">
      <formula>"Có hạn"</formula>
      <formula>"Có hạn"</formula>
    </cfRule>
    <cfRule type="cellIs" dxfId="230" priority="228" stopIfTrue="1" operator="between">
      <formula>"Ko hạn"</formula>
      <formula>"Ko hạn"</formula>
    </cfRule>
  </conditionalFormatting>
  <conditionalFormatting sqref="BD22">
    <cfRule type="expression" dxfId="229" priority="257" stopIfTrue="1">
      <formula>IF(#REF!&gt;6,#REF!-6,IF(#REF!=6,12,IF(#REF!&lt;6,#REF!+6)))</formula>
    </cfRule>
  </conditionalFormatting>
  <conditionalFormatting sqref="BF22">
    <cfRule type="cellIs" dxfId="228" priority="258" stopIfTrue="1" operator="between">
      <formula>"-"</formula>
      <formula>"-"</formula>
    </cfRule>
    <cfRule type="cellIs" dxfId="227" priority="259" stopIfTrue="1" operator="between">
      <formula>1</formula>
      <formula>40</formula>
    </cfRule>
  </conditionalFormatting>
  <conditionalFormatting sqref="P22:T22">
    <cfRule type="expression" dxfId="226" priority="260" stopIfTrue="1">
      <formula>IF(P22="A0-CĐ",1,0)</formula>
    </cfRule>
    <cfRule type="expression" dxfId="225" priority="261" stopIfTrue="1">
      <formula>IF(P22="B-TC",1,0)</formula>
    </cfRule>
    <cfRule type="expression" dxfId="224" priority="262" stopIfTrue="1">
      <formula>IF(P22="C-NV",1,0)</formula>
    </cfRule>
  </conditionalFormatting>
  <conditionalFormatting sqref="AM22">
    <cfRule type="cellIs" dxfId="223" priority="263" stopIfTrue="1" operator="between">
      <formula>"CC,VC"</formula>
      <formula>"CC,VC"</formula>
    </cfRule>
    <cfRule type="cellIs" dxfId="222" priority="264" stopIfTrue="1" operator="between">
      <formula>"LĐHĐ"</formula>
      <formula>"LĐHĐ"</formula>
    </cfRule>
  </conditionalFormatting>
  <conditionalFormatting sqref="AW22">
    <cfRule type="expression" dxfId="221" priority="216" stopIfTrue="1">
      <formula>12*(#REF!-AO22)+(#REF!-AL22)</formula>
    </cfRule>
  </conditionalFormatting>
  <conditionalFormatting sqref="CT22">
    <cfRule type="expression" dxfId="220" priority="214" stopIfTrue="1">
      <formula>12*(#REF!-CM22)+(#REF!-CK22)</formula>
    </cfRule>
  </conditionalFormatting>
  <conditionalFormatting sqref="CY22">
    <cfRule type="expression" dxfId="219" priority="215" stopIfTrue="1">
      <formula>12*(#REF!-CQ22)+(#REF!-CO22)</formula>
    </cfRule>
  </conditionalFormatting>
  <conditionalFormatting sqref="BG22">
    <cfRule type="expression" dxfId="218" priority="209" stopIfTrue="1">
      <formula>IF(AND(#REF!&gt;0,#REF!&lt;5),1,0)</formula>
    </cfRule>
    <cfRule type="expression" dxfId="217" priority="210" stopIfTrue="1">
      <formula>IF(#REF!=5,1,0)</formula>
    </cfRule>
    <cfRule type="expression" dxfId="216" priority="211" stopIfTrue="1">
      <formula>IF(#REF!&gt;5,1,0)</formula>
    </cfRule>
  </conditionalFormatting>
  <conditionalFormatting sqref="BB22">
    <cfRule type="expression" dxfId="215" priority="212" stopIfTrue="1">
      <formula>IF(#REF!&gt;6,#REF!-6,IF(#REF!=6,12,IF(#REF!&lt;6,#REF!+6)))</formula>
    </cfRule>
  </conditionalFormatting>
  <conditionalFormatting sqref="AR22">
    <cfRule type="expression" dxfId="214" priority="213" stopIfTrue="1">
      <formula>12*(#REF!-#REF!)+(#REF!-#REF!)</formula>
    </cfRule>
  </conditionalFormatting>
  <conditionalFormatting sqref="A22">
    <cfRule type="expression" dxfId="213" priority="265" stopIfTrue="1">
      <formula>IF(#REF!="Hưu",1,0)</formula>
    </cfRule>
    <cfRule type="expression" dxfId="212" priority="266" stopIfTrue="1">
      <formula>IF(#REF!="Quá",1,0)</formula>
    </cfRule>
  </conditionalFormatting>
  <conditionalFormatting sqref="BC24">
    <cfRule type="expression" dxfId="211" priority="163" stopIfTrue="1">
      <formula>IF(AZ24&gt;6,BA24,IF(AZ24&lt;7,BA24-1))</formula>
    </cfRule>
  </conditionalFormatting>
  <conditionalFormatting sqref="AS24">
    <cfRule type="expression" dxfId="210" priority="164" stopIfTrue="1">
      <formula>IF(AT24&gt;0,1,0)</formula>
    </cfRule>
    <cfRule type="expression" dxfId="209" priority="165" stopIfTrue="1">
      <formula>IF(AT24=0,1,0)</formula>
    </cfRule>
  </conditionalFormatting>
  <conditionalFormatting sqref="BE24">
    <cfRule type="expression" dxfId="208" priority="166" stopIfTrue="1">
      <formula>IF(BB24&gt;6,BC24,IF(BB24&lt;7,BC24-1))</formula>
    </cfRule>
  </conditionalFormatting>
  <conditionalFormatting sqref="AW24">
    <cfRule type="expression" dxfId="207" priority="167" stopIfTrue="1">
      <formula>12*(#REF!-AO24)+(#REF!-AL24)</formula>
    </cfRule>
  </conditionalFormatting>
  <conditionalFormatting sqref="AV24">
    <cfRule type="expression" dxfId="206" priority="168" stopIfTrue="1">
      <formula>IF(OR(AV24=0.36),1,0)</formula>
    </cfRule>
    <cfRule type="expression" dxfId="205" priority="169" stopIfTrue="1">
      <formula>IF(AV24=0.34,1,0)</formula>
    </cfRule>
    <cfRule type="expression" dxfId="204" priority="170" stopIfTrue="1">
      <formula>IF(AV24&lt;0.33,1,0)</formula>
    </cfRule>
  </conditionalFormatting>
  <conditionalFormatting sqref="AY24">
    <cfRule type="cellIs" dxfId="203" priority="171" stopIfTrue="1" operator="between">
      <formula>"Hưu"</formula>
      <formula>"Hưu"</formula>
    </cfRule>
    <cfRule type="cellIs" dxfId="202" priority="172" stopIfTrue="1" operator="between">
      <formula>"---"</formula>
      <formula>"---"</formula>
    </cfRule>
    <cfRule type="cellIs" dxfId="201" priority="173" stopIfTrue="1" operator="between">
      <formula>"Quá"</formula>
      <formula>"Quá"</formula>
    </cfRule>
  </conditionalFormatting>
  <conditionalFormatting sqref="AU24">
    <cfRule type="expression" dxfId="200" priority="174" stopIfTrue="1">
      <formula>IF(OR(AU24=5.57,AU24=6.2),1,0)</formula>
    </cfRule>
    <cfRule type="expression" dxfId="199" priority="175" stopIfTrue="1">
      <formula>IF(OR(AU24=4,AU24=4.4),1,0)</formula>
    </cfRule>
    <cfRule type="expression" dxfId="198" priority="176" stopIfTrue="1">
      <formula>IF(AND(AU24&gt;0.9,AU24&lt;2.34),1,0)</formula>
    </cfRule>
  </conditionalFormatting>
  <conditionalFormatting sqref="AQ24">
    <cfRule type="cellIs" dxfId="197" priority="177" stopIfTrue="1" operator="between">
      <formula>1</formula>
      <formula>1</formula>
    </cfRule>
    <cfRule type="cellIs" dxfId="196" priority="178" stopIfTrue="1" operator="between">
      <formula>2</formula>
      <formula>2</formula>
    </cfRule>
    <cfRule type="cellIs" dxfId="195" priority="179" stopIfTrue="1" operator="between">
      <formula>3</formula>
      <formula>3</formula>
    </cfRule>
  </conditionalFormatting>
  <conditionalFormatting sqref="AT24">
    <cfRule type="expression" dxfId="194" priority="180" stopIfTrue="1">
      <formula>IF(AT24&gt;0,1,0)</formula>
    </cfRule>
    <cfRule type="expression" dxfId="193" priority="181" stopIfTrue="1">
      <formula>IF(AT24&lt;1,1,0)</formula>
    </cfRule>
  </conditionalFormatting>
  <conditionalFormatting sqref="AP24">
    <cfRule type="cellIs" dxfId="192" priority="182" stopIfTrue="1" operator="between">
      <formula>"Đến"</formula>
      <formula>"Đến"</formula>
    </cfRule>
    <cfRule type="cellIs" dxfId="191" priority="183" stopIfTrue="1" operator="between">
      <formula>"Quá"</formula>
      <formula>"Quá"</formula>
    </cfRule>
    <cfRule type="expression" dxfId="190" priority="184" stopIfTrue="1">
      <formula>IF(OR(AP24="Lương Sớm Hưu",AP24="Nâng Ngạch Hưu"),1,0)</formula>
    </cfRule>
  </conditionalFormatting>
  <conditionalFormatting sqref="AZ24:BA24 F24 J24:M24">
    <cfRule type="expression" dxfId="189" priority="185" stopIfTrue="1">
      <formula>IF(F24&gt;0,1,0)</formula>
    </cfRule>
  </conditionalFormatting>
  <conditionalFormatting sqref="AO24">
    <cfRule type="cellIs" dxfId="188" priority="186" stopIfTrue="1" operator="between">
      <formula>"B"</formula>
      <formula>"B"</formula>
    </cfRule>
    <cfRule type="cellIs" dxfId="187" priority="187" stopIfTrue="1" operator="between">
      <formula>"C"</formula>
      <formula>"C"</formula>
    </cfRule>
    <cfRule type="cellIs" dxfId="186" priority="188" stopIfTrue="1" operator="between">
      <formula>"D"</formula>
      <formula>"D"</formula>
    </cfRule>
  </conditionalFormatting>
  <conditionalFormatting sqref="AN24">
    <cfRule type="cellIs" dxfId="185" priority="189" stopIfTrue="1" operator="between">
      <formula>"công chức, viên chức"</formula>
      <formula>"công chức, viên chức"</formula>
    </cfRule>
    <cfRule type="cellIs" dxfId="184" priority="190" stopIfTrue="1" operator="between">
      <formula>"lao động hợp đồng"</formula>
      <formula>"lao động hợp đồng"</formula>
    </cfRule>
  </conditionalFormatting>
  <conditionalFormatting sqref="AX24">
    <cfRule type="expression" dxfId="183" priority="191" stopIfTrue="1">
      <formula>IF(AX24="Nâg Ngạch sau TB",1,0)</formula>
    </cfRule>
    <cfRule type="expression" dxfId="182" priority="192" stopIfTrue="1">
      <formula>IF(AX24="Nâg Lươg Sớm sau TB",1,0)</formula>
    </cfRule>
    <cfRule type="expression" dxfId="181" priority="193" stopIfTrue="1">
      <formula>IF(AX24="Nâg PC TNVK cùng QĐ",1,0)</formula>
    </cfRule>
  </conditionalFormatting>
  <conditionalFormatting sqref="AL24">
    <cfRule type="expression" dxfId="180" priority="194" stopIfTrue="1">
      <formula>IF(AL24=0,1,0)</formula>
    </cfRule>
    <cfRule type="expression" dxfId="179" priority="195" stopIfTrue="1">
      <formula>IF(AL24&gt;0,1,0)</formula>
    </cfRule>
  </conditionalFormatting>
  <conditionalFormatting sqref="BG24">
    <cfRule type="expression" dxfId="178" priority="196" stopIfTrue="1">
      <formula>IF(AND(#REF!&gt;0,#REF!&lt;5),1,0)</formula>
    </cfRule>
    <cfRule type="expression" dxfId="177" priority="197" stopIfTrue="1">
      <formula>IF(#REF!=5,1,0)</formula>
    </cfRule>
    <cfRule type="expression" dxfId="176" priority="198" stopIfTrue="1">
      <formula>IF(#REF!&gt;5,1,0)</formula>
    </cfRule>
  </conditionalFormatting>
  <conditionalFormatting sqref="BD24">
    <cfRule type="expression" dxfId="175" priority="199" stopIfTrue="1">
      <formula>IF(#REF!&gt;6,#REF!-6,IF(#REF!=6,12,IF(#REF!&lt;6,#REF!+6)))</formula>
    </cfRule>
  </conditionalFormatting>
  <conditionalFormatting sqref="BF24">
    <cfRule type="cellIs" dxfId="174" priority="200" stopIfTrue="1" operator="between">
      <formula>"-"</formula>
      <formula>"-"</formula>
    </cfRule>
    <cfRule type="cellIs" dxfId="173" priority="201" stopIfTrue="1" operator="between">
      <formula>1</formula>
      <formula>40</formula>
    </cfRule>
  </conditionalFormatting>
  <conditionalFormatting sqref="AR24">
    <cfRule type="expression" dxfId="172" priority="202" stopIfTrue="1">
      <formula>12*(#REF!-#REF!)+(#REF!-#REF!)</formula>
    </cfRule>
  </conditionalFormatting>
  <conditionalFormatting sqref="P24:T24">
    <cfRule type="expression" dxfId="171" priority="203" stopIfTrue="1">
      <formula>IF(P24="A0-CĐ",1,0)</formula>
    </cfRule>
    <cfRule type="expression" dxfId="170" priority="204" stopIfTrue="1">
      <formula>IF(P24="B-TC",1,0)</formula>
    </cfRule>
    <cfRule type="expression" dxfId="169" priority="205" stopIfTrue="1">
      <formula>IF(P24="C-NV",1,0)</formula>
    </cfRule>
  </conditionalFormatting>
  <conditionalFormatting sqref="BB24">
    <cfRule type="expression" dxfId="168" priority="206" stopIfTrue="1">
      <formula>IF(#REF!&gt;6,#REF!-6,IF(#REF!=6,12,IF(#REF!&lt;6,#REF!+6)))</formula>
    </cfRule>
  </conditionalFormatting>
  <conditionalFormatting sqref="AM24">
    <cfRule type="cellIs" dxfId="167" priority="207" stopIfTrue="1" operator="between">
      <formula>"CC,VC"</formula>
      <formula>"CC,VC"</formula>
    </cfRule>
    <cfRule type="cellIs" dxfId="166" priority="208" stopIfTrue="1" operator="between">
      <formula>"LĐHĐ"</formula>
      <formula>"LĐHĐ"</formula>
    </cfRule>
  </conditionalFormatting>
  <conditionalFormatting sqref="A23">
    <cfRule type="expression" dxfId="165" priority="481" stopIfTrue="1">
      <formula>IF(#REF!="Hưu",1,0)</formula>
    </cfRule>
    <cfRule type="expression" dxfId="164" priority="482" stopIfTrue="1">
      <formula>IF(#REF!="Quá",1,0)</formula>
    </cfRule>
  </conditionalFormatting>
  <conditionalFormatting sqref="BC19">
    <cfRule type="expression" dxfId="163" priority="113" stopIfTrue="1">
      <formula>IF(AZ19&gt;6,BA19,IF(AZ19&lt;7,BA19-1))</formula>
    </cfRule>
  </conditionalFormatting>
  <conditionalFormatting sqref="BI19:BI20">
    <cfRule type="expression" dxfId="162" priority="114" stopIfTrue="1">
      <formula>IF(BJ19="Trên 45",1,0)</formula>
    </cfRule>
    <cfRule type="expression" dxfId="161" priority="115" stopIfTrue="1">
      <formula>IF(BJ19="30 - 45",1,0)</formula>
    </cfRule>
    <cfRule type="expression" dxfId="160" priority="116" stopIfTrue="1">
      <formula>IF(BJ19="Dưới 30",1,0)</formula>
    </cfRule>
  </conditionalFormatting>
  <conditionalFormatting sqref="AS19 CU19:CU20">
    <cfRule type="expression" dxfId="159" priority="117" stopIfTrue="1">
      <formula>IF(AT19&gt;0,1,0)</formula>
    </cfRule>
    <cfRule type="expression" dxfId="158" priority="118" stopIfTrue="1">
      <formula>IF(AT19=0,1,0)</formula>
    </cfRule>
  </conditionalFormatting>
  <conditionalFormatting sqref="BE19">
    <cfRule type="expression" dxfId="157" priority="119" stopIfTrue="1">
      <formula>IF(BB19&gt;6,BC19,IF(BB19&lt;7,BC19-1))</formula>
    </cfRule>
  </conditionalFormatting>
  <conditionalFormatting sqref="AV19 CX19:CX20">
    <cfRule type="expression" dxfId="156" priority="125" stopIfTrue="1">
      <formula>IF(OR(AV19=0.36),1,0)</formula>
    </cfRule>
    <cfRule type="expression" dxfId="155" priority="126" stopIfTrue="1">
      <formula>IF(AV19=0.34,1,0)</formula>
    </cfRule>
    <cfRule type="expression" dxfId="154" priority="127" stopIfTrue="1">
      <formula>IF(AV19&lt;0.33,1,0)</formula>
    </cfRule>
  </conditionalFormatting>
  <conditionalFormatting sqref="AY19 DA19:DA20">
    <cfRule type="cellIs" dxfId="153" priority="128" stopIfTrue="1" operator="between">
      <formula>"Hưu"</formula>
      <formula>"Hưu"</formula>
    </cfRule>
    <cfRule type="cellIs" dxfId="152" priority="129" stopIfTrue="1" operator="between">
      <formula>"---"</formula>
      <formula>"---"</formula>
    </cfRule>
    <cfRule type="cellIs" dxfId="151" priority="130" stopIfTrue="1" operator="between">
      <formula>"Quá"</formula>
      <formula>"Quá"</formula>
    </cfRule>
  </conditionalFormatting>
  <conditionalFormatting sqref="AU19 CW19:CW20">
    <cfRule type="expression" dxfId="150" priority="131" stopIfTrue="1">
      <formula>IF(OR(AU19=5.57,AU19=6.2),1,0)</formula>
    </cfRule>
    <cfRule type="expression" dxfId="149" priority="132" stopIfTrue="1">
      <formula>IF(OR(AU19=4,AU19=4.4),1,0)</formula>
    </cfRule>
    <cfRule type="expression" dxfId="148" priority="133" stopIfTrue="1">
      <formula>IF(AND(AU19&gt;0.9,AU19&lt;2.34),1,0)</formula>
    </cfRule>
  </conditionalFormatting>
  <conditionalFormatting sqref="AQ19 CS19:CS20">
    <cfRule type="cellIs" dxfId="147" priority="134" stopIfTrue="1" operator="between">
      <formula>1</formula>
      <formula>1</formula>
    </cfRule>
    <cfRule type="cellIs" dxfId="146" priority="135" stopIfTrue="1" operator="between">
      <formula>2</formula>
      <formula>2</formula>
    </cfRule>
    <cfRule type="cellIs" dxfId="145" priority="136" stopIfTrue="1" operator="between">
      <formula>3</formula>
      <formula>3</formula>
    </cfRule>
  </conditionalFormatting>
  <conditionalFormatting sqref="AT19 CV19:CV20">
    <cfRule type="expression" dxfId="144" priority="137" stopIfTrue="1">
      <formula>IF(AT19&gt;0,1,0)</formula>
    </cfRule>
    <cfRule type="expression" dxfId="143" priority="138" stopIfTrue="1">
      <formula>IF(AT19&lt;1,1,0)</formula>
    </cfRule>
  </conditionalFormatting>
  <conditionalFormatting sqref="AP19 CR19:CR20">
    <cfRule type="cellIs" dxfId="142" priority="139" stopIfTrue="1" operator="between">
      <formula>"Đến"</formula>
      <formula>"Đến"</formula>
    </cfRule>
    <cfRule type="cellIs" dxfId="141" priority="140" stopIfTrue="1" operator="between">
      <formula>"Quá"</formula>
      <formula>"Quá"</formula>
    </cfRule>
    <cfRule type="expression" dxfId="140" priority="141" stopIfTrue="1">
      <formula>IF(OR(AP19="Lương Sớm Hưu",AP19="Nâng Ngạch Hưu"),1,0)</formula>
    </cfRule>
  </conditionalFormatting>
  <conditionalFormatting sqref="AZ19:BA19 J19:M19 F19 DB19:DC20">
    <cfRule type="expression" dxfId="139" priority="142" stopIfTrue="1">
      <formula>IF(F19&gt;0,1,0)</formula>
    </cfRule>
  </conditionalFormatting>
  <conditionalFormatting sqref="AO19 CQ19:CQ20">
    <cfRule type="cellIs" dxfId="138" priority="143" stopIfTrue="1" operator="between">
      <formula>"B"</formula>
      <formula>"B"</formula>
    </cfRule>
    <cfRule type="cellIs" dxfId="137" priority="144" stopIfTrue="1" operator="between">
      <formula>"C"</formula>
      <formula>"C"</formula>
    </cfRule>
    <cfRule type="cellIs" dxfId="136" priority="145" stopIfTrue="1" operator="between">
      <formula>"D"</formula>
      <formula>"D"</formula>
    </cfRule>
  </conditionalFormatting>
  <conditionalFormatting sqref="AN19 CP19:CP20">
    <cfRule type="cellIs" dxfId="135" priority="146" stopIfTrue="1" operator="between">
      <formula>"công chức, viên chức"</formula>
      <formula>"công chức, viên chức"</formula>
    </cfRule>
    <cfRule type="cellIs" dxfId="134" priority="147" stopIfTrue="1" operator="between">
      <formula>"lao động hợp đồng"</formula>
      <formula>"lao động hợp đồng"</formula>
    </cfRule>
  </conditionalFormatting>
  <conditionalFormatting sqref="AX19 CZ19:CZ20">
    <cfRule type="expression" dxfId="133" priority="148" stopIfTrue="1">
      <formula>IF(AX19="Nâg Ngạch sau TB",1,0)</formula>
    </cfRule>
    <cfRule type="expression" dxfId="132" priority="149" stopIfTrue="1">
      <formula>IF(AX19="Nâg Lươg Sớm sau TB",1,0)</formula>
    </cfRule>
    <cfRule type="expression" dxfId="131" priority="150" stopIfTrue="1">
      <formula>IF(AX19="Nâg PC TNVK cùng QĐ",1,0)</formula>
    </cfRule>
  </conditionalFormatting>
  <conditionalFormatting sqref="AL19 CO19:CO20">
    <cfRule type="expression" dxfId="130" priority="151" stopIfTrue="1">
      <formula>IF(AL19=0,1,0)</formula>
    </cfRule>
    <cfRule type="expression" dxfId="129" priority="152" stopIfTrue="1">
      <formula>IF(AL19&gt;0,1,0)</formula>
    </cfRule>
  </conditionalFormatting>
  <conditionalFormatting sqref="BJ19:BJ20">
    <cfRule type="expression" dxfId="128" priority="120" stopIfTrue="1">
      <formula>IF(BJ19="Trên 45",1,0)</formula>
    </cfRule>
    <cfRule type="expression" dxfId="127" priority="121" stopIfTrue="1">
      <formula>IF(BJ19="30 - 45",1,0)</formula>
    </cfRule>
    <cfRule type="expression" dxfId="126" priority="122" stopIfTrue="1">
      <formula>IF(BJ19="Dưới 30",1,0)</formula>
    </cfRule>
  </conditionalFormatting>
  <conditionalFormatting sqref="BL19:BL20">
    <cfRule type="cellIs" dxfId="125" priority="123" stopIfTrue="1" operator="between">
      <formula>"Có hạn"</formula>
      <formula>"Có hạn"</formula>
    </cfRule>
    <cfRule type="cellIs" dxfId="124" priority="124" stopIfTrue="1" operator="between">
      <formula>"Ko hạn"</formula>
      <formula>"Ko hạn"</formula>
    </cfRule>
  </conditionalFormatting>
  <conditionalFormatting sqref="BD19">
    <cfRule type="expression" dxfId="123" priority="153" stopIfTrue="1">
      <formula>IF(#REF!&gt;6,#REF!-6,IF(#REF!=6,12,IF(#REF!&lt;6,#REF!+6)))</formula>
    </cfRule>
  </conditionalFormatting>
  <conditionalFormatting sqref="BF19">
    <cfRule type="cellIs" dxfId="122" priority="154" stopIfTrue="1" operator="between">
      <formula>"-"</formula>
      <formula>"-"</formula>
    </cfRule>
    <cfRule type="cellIs" dxfId="121" priority="155" stopIfTrue="1" operator="between">
      <formula>1</formula>
      <formula>40</formula>
    </cfRule>
  </conditionalFormatting>
  <conditionalFormatting sqref="P19:T19">
    <cfRule type="expression" dxfId="120" priority="156" stopIfTrue="1">
      <formula>IF(P19="A0-CĐ",1,0)</formula>
    </cfRule>
    <cfRule type="expression" dxfId="119" priority="157" stopIfTrue="1">
      <formula>IF(P19="B-TC",1,0)</formula>
    </cfRule>
    <cfRule type="expression" dxfId="118" priority="158" stopIfTrue="1">
      <formula>IF(P19="C-NV",1,0)</formula>
    </cfRule>
  </conditionalFormatting>
  <conditionalFormatting sqref="AM19">
    <cfRule type="cellIs" dxfId="117" priority="159" stopIfTrue="1" operator="between">
      <formula>"CC,VC"</formula>
      <formula>"CC,VC"</formula>
    </cfRule>
    <cfRule type="cellIs" dxfId="116" priority="160" stopIfTrue="1" operator="between">
      <formula>"LĐHĐ"</formula>
      <formula>"LĐHĐ"</formula>
    </cfRule>
  </conditionalFormatting>
  <conditionalFormatting sqref="AW19">
    <cfRule type="expression" dxfId="115" priority="112" stopIfTrue="1">
      <formula>12*(#REF!-AO19)+(#REF!-AL19)</formula>
    </cfRule>
  </conditionalFormatting>
  <conditionalFormatting sqref="CT19:CT20">
    <cfRule type="expression" dxfId="114" priority="110" stopIfTrue="1">
      <formula>12*(#REF!-CM19)+(#REF!-CK19)</formula>
    </cfRule>
  </conditionalFormatting>
  <conditionalFormatting sqref="CY19:CY20">
    <cfRule type="expression" dxfId="113" priority="111" stopIfTrue="1">
      <formula>12*(#REF!-CQ19)+(#REF!-CO19)</formula>
    </cfRule>
  </conditionalFormatting>
  <conditionalFormatting sqref="BG19">
    <cfRule type="expression" dxfId="112" priority="105" stopIfTrue="1">
      <formula>IF(AND(#REF!&gt;0,#REF!&lt;5),1,0)</formula>
    </cfRule>
    <cfRule type="expression" dxfId="111" priority="106" stopIfTrue="1">
      <formula>IF(#REF!=5,1,0)</formula>
    </cfRule>
    <cfRule type="expression" dxfId="110" priority="107" stopIfTrue="1">
      <formula>IF(#REF!&gt;5,1,0)</formula>
    </cfRule>
  </conditionalFormatting>
  <conditionalFormatting sqref="BB19">
    <cfRule type="expression" dxfId="109" priority="108" stopIfTrue="1">
      <formula>IF(#REF!&gt;6,#REF!-6,IF(#REF!=6,12,IF(#REF!&lt;6,#REF!+6)))</formula>
    </cfRule>
  </conditionalFormatting>
  <conditionalFormatting sqref="AR19">
    <cfRule type="expression" dxfId="108" priority="109" stopIfTrue="1">
      <formula>12*(#REF!-#REF!)+(#REF!-#REF!)</formula>
    </cfRule>
  </conditionalFormatting>
  <conditionalFormatting sqref="A19:A20">
    <cfRule type="expression" dxfId="107" priority="161" stopIfTrue="1">
      <formula>IF(#REF!="Hưu",1,0)</formula>
    </cfRule>
    <cfRule type="expression" dxfId="106" priority="162" stopIfTrue="1">
      <formula>IF(#REF!="Quá",1,0)</formula>
    </cfRule>
  </conditionalFormatting>
  <conditionalFormatting sqref="BH17">
    <cfRule type="expression" dxfId="105" priority="58" stopIfTrue="1">
      <formula>IF(BI17="Trên 45",1,0)</formula>
    </cfRule>
    <cfRule type="expression" dxfId="104" priority="59" stopIfTrue="1">
      <formula>IF(BI17="30 - 45",1,0)</formula>
    </cfRule>
    <cfRule type="expression" dxfId="103" priority="60" stopIfTrue="1">
      <formula>IF(BI17="Dưới 30",1,0)</formula>
    </cfRule>
  </conditionalFormatting>
  <conditionalFormatting sqref="CT17">
    <cfRule type="expression" dxfId="102" priority="61" stopIfTrue="1">
      <formula>IF(CU17&gt;0,1,0)</formula>
    </cfRule>
    <cfRule type="expression" dxfId="101" priority="62" stopIfTrue="1">
      <formula>IF(CU17=0,1,0)</formula>
    </cfRule>
  </conditionalFormatting>
  <conditionalFormatting sqref="CW17">
    <cfRule type="expression" dxfId="100" priority="68" stopIfTrue="1">
      <formula>IF(OR(CW17=0.36),1,0)</formula>
    </cfRule>
    <cfRule type="expression" dxfId="99" priority="69" stopIfTrue="1">
      <formula>IF(CW17=0.34,1,0)</formula>
    </cfRule>
    <cfRule type="expression" dxfId="98" priority="70" stopIfTrue="1">
      <formula>IF(CW17&lt;0.33,1,0)</formula>
    </cfRule>
  </conditionalFormatting>
  <conditionalFormatting sqref="AY17 CZ17">
    <cfRule type="cellIs" dxfId="97" priority="71" stopIfTrue="1" operator="between">
      <formula>"Hưu"</formula>
      <formula>"Hưu"</formula>
    </cfRule>
    <cfRule type="cellIs" dxfId="96" priority="72" stopIfTrue="1" operator="between">
      <formula>"---"</formula>
      <formula>"---"</formula>
    </cfRule>
    <cfRule type="cellIs" dxfId="95" priority="73" stopIfTrue="1" operator="between">
      <formula>"Quá"</formula>
      <formula>"Quá"</formula>
    </cfRule>
  </conditionalFormatting>
  <conditionalFormatting sqref="CV17">
    <cfRule type="expression" dxfId="94" priority="74" stopIfTrue="1">
      <formula>IF(OR(CV17=5.57,CV17=6.2),1,0)</formula>
    </cfRule>
    <cfRule type="expression" dxfId="93" priority="75" stopIfTrue="1">
      <formula>IF(OR(CV17=4,CV17=4.4),1,0)</formula>
    </cfRule>
    <cfRule type="expression" dxfId="92" priority="76" stopIfTrue="1">
      <formula>IF(AND(CV17&gt;0.9,CV17&lt;2.34),1,0)</formula>
    </cfRule>
  </conditionalFormatting>
  <conditionalFormatting sqref="AQ17 CR17">
    <cfRule type="cellIs" dxfId="91" priority="77" stopIfTrue="1" operator="between">
      <formula>1</formula>
      <formula>1</formula>
    </cfRule>
    <cfRule type="cellIs" dxfId="90" priority="78" stopIfTrue="1" operator="between">
      <formula>2</formula>
      <formula>2</formula>
    </cfRule>
    <cfRule type="cellIs" dxfId="89" priority="79" stopIfTrue="1" operator="between">
      <formula>3</formula>
      <formula>3</formula>
    </cfRule>
  </conditionalFormatting>
  <conditionalFormatting sqref="CU17">
    <cfRule type="expression" dxfId="88" priority="80" stopIfTrue="1">
      <formula>IF(CU17&gt;0,1,0)</formula>
    </cfRule>
    <cfRule type="expression" dxfId="87" priority="81" stopIfTrue="1">
      <formula>IF(CU17&lt;1,1,0)</formula>
    </cfRule>
  </conditionalFormatting>
  <conditionalFormatting sqref="CQ17">
    <cfRule type="cellIs" dxfId="86" priority="82" stopIfTrue="1" operator="between">
      <formula>"Đến"</formula>
      <formula>"Đến"</formula>
    </cfRule>
    <cfRule type="cellIs" dxfId="85" priority="83" stopIfTrue="1" operator="between">
      <formula>"Quá"</formula>
      <formula>"Quá"</formula>
    </cfRule>
    <cfRule type="expression" dxfId="84" priority="84" stopIfTrue="1">
      <formula>IF(OR(CQ17="Lương Sớm Hưu",CQ17="Nâng Ngạch Hưu"),1,0)</formula>
    </cfRule>
  </conditionalFormatting>
  <conditionalFormatting sqref="DA17:DB17">
    <cfRule type="expression" dxfId="83" priority="85" stopIfTrue="1">
      <formula>IF(DA17&gt;0,1,0)</formula>
    </cfRule>
  </conditionalFormatting>
  <conditionalFormatting sqref="AO17 CP17">
    <cfRule type="cellIs" dxfId="82" priority="86" stopIfTrue="1" operator="between">
      <formula>"B"</formula>
      <formula>"B"</formula>
    </cfRule>
    <cfRule type="cellIs" dxfId="81" priority="87" stopIfTrue="1" operator="between">
      <formula>"C"</formula>
      <formula>"C"</formula>
    </cfRule>
    <cfRule type="cellIs" dxfId="80" priority="88" stopIfTrue="1" operator="between">
      <formula>"D"</formula>
      <formula>"D"</formula>
    </cfRule>
  </conditionalFormatting>
  <conditionalFormatting sqref="AN17 CO17">
    <cfRule type="cellIs" dxfId="79" priority="89" stopIfTrue="1" operator="between">
      <formula>"công chức, viên chức"</formula>
      <formula>"công chức, viên chức"</formula>
    </cfRule>
    <cfRule type="cellIs" dxfId="78" priority="90" stopIfTrue="1" operator="between">
      <formula>"lao động hợp đồng"</formula>
      <formula>"lao động hợp đồng"</formula>
    </cfRule>
  </conditionalFormatting>
  <conditionalFormatting sqref="CY17">
    <cfRule type="expression" dxfId="77" priority="91" stopIfTrue="1">
      <formula>IF(CY17="Nâg Ngạch sau TB",1,0)</formula>
    </cfRule>
    <cfRule type="expression" dxfId="76" priority="92" stopIfTrue="1">
      <formula>IF(CY17="Nâg Lươg Sớm sau TB",1,0)</formula>
    </cfRule>
    <cfRule type="expression" dxfId="75" priority="93" stopIfTrue="1">
      <formula>IF(CY17="Nâg PC TNVK cùng QĐ",1,0)</formula>
    </cfRule>
  </conditionalFormatting>
  <conditionalFormatting sqref="CN17">
    <cfRule type="expression" dxfId="74" priority="94" stopIfTrue="1">
      <formula>IF(CN17=0,1,0)</formula>
    </cfRule>
    <cfRule type="expression" dxfId="73" priority="95" stopIfTrue="1">
      <formula>IF(CN17&gt;0,1,0)</formula>
    </cfRule>
  </conditionalFormatting>
  <conditionalFormatting sqref="BI17">
    <cfRule type="expression" dxfId="72" priority="63" stopIfTrue="1">
      <formula>IF(BI17="Trên 45",1,0)</formula>
    </cfRule>
    <cfRule type="expression" dxfId="71" priority="64" stopIfTrue="1">
      <formula>IF(BI17="30 - 45",1,0)</formula>
    </cfRule>
    <cfRule type="expression" dxfId="70" priority="65" stopIfTrue="1">
      <formula>IF(BI17="Dưới 30",1,0)</formula>
    </cfRule>
  </conditionalFormatting>
  <conditionalFormatting sqref="BK17">
    <cfRule type="cellIs" dxfId="69" priority="66" stopIfTrue="1" operator="between">
      <formula>"Có hạn"</formula>
      <formula>"Có hạn"</formula>
    </cfRule>
    <cfRule type="cellIs" dxfId="68" priority="67" stopIfTrue="1" operator="between">
      <formula>"Ko hạn"</formula>
      <formula>"Ko hạn"</formula>
    </cfRule>
  </conditionalFormatting>
  <conditionalFormatting sqref="BD17">
    <cfRule type="expression" dxfId="67" priority="96" stopIfTrue="1">
      <formula>IF(#REF!&gt;6,#REF!-6,IF(#REF!=6,12,IF(#REF!&lt;6,#REF!+6)))</formula>
    </cfRule>
  </conditionalFormatting>
  <conditionalFormatting sqref="BF17">
    <cfRule type="cellIs" dxfId="66" priority="97" stopIfTrue="1" operator="between">
      <formula>"-"</formula>
      <formula>"-"</formula>
    </cfRule>
    <cfRule type="cellIs" dxfId="65" priority="98" stopIfTrue="1" operator="between">
      <formula>1</formula>
      <formula>40</formula>
    </cfRule>
  </conditionalFormatting>
  <conditionalFormatting sqref="F17">
    <cfRule type="cellIs" dxfId="64" priority="99" stopIfTrue="1" operator="between">
      <formula>"Nam"</formula>
      <formula>"Nam"</formula>
    </cfRule>
    <cfRule type="cellIs" dxfId="63" priority="100" stopIfTrue="1" operator="between">
      <formula>"Nữ"</formula>
      <formula>"Nữ"</formula>
    </cfRule>
  </conditionalFormatting>
  <conditionalFormatting sqref="AP17">
    <cfRule type="cellIs" dxfId="62" priority="55" stopIfTrue="1" operator="between">
      <formula>"Đến"</formula>
      <formula>"Đến"</formula>
    </cfRule>
    <cfRule type="cellIs" dxfId="61" priority="56" stopIfTrue="1" operator="between">
      <formula>"Quá"</formula>
      <formula>"Quá"</formula>
    </cfRule>
  </conditionalFormatting>
  <conditionalFormatting sqref="BB17">
    <cfRule type="expression" dxfId="60" priority="57" stopIfTrue="1">
      <formula>IF(#REF!&gt;6,#REF!-6,IF(#REF!=6,12,IF(#REF!&lt;6,#REF!+6)))</formula>
    </cfRule>
  </conditionalFormatting>
  <conditionalFormatting sqref="CS17">
    <cfRule type="expression" dxfId="59" priority="53" stopIfTrue="1">
      <formula>12*(#REF!-CL17)+(#REF!-CJ17)</formula>
    </cfRule>
  </conditionalFormatting>
  <conditionalFormatting sqref="CX17">
    <cfRule type="expression" dxfId="58" priority="54" stopIfTrue="1">
      <formula>12*(#REF!-CP17)+(#REF!-CN17)</formula>
    </cfRule>
  </conditionalFormatting>
  <conditionalFormatting sqref="A17">
    <cfRule type="expression" dxfId="57" priority="101" stopIfTrue="1">
      <formula>IF(#REF!="Hưu",1,0)</formula>
    </cfRule>
    <cfRule type="expression" dxfId="56" priority="102" stopIfTrue="1">
      <formula>IF(#REF!="Quá",1,0)</formula>
    </cfRule>
  </conditionalFormatting>
  <conditionalFormatting sqref="AQ18">
    <cfRule type="cellIs" dxfId="55" priority="43" stopIfTrue="1" operator="between">
      <formula>1</formula>
      <formula>1</formula>
    </cfRule>
    <cfRule type="cellIs" dxfId="54" priority="44" stopIfTrue="1" operator="between">
      <formula>2</formula>
      <formula>2</formula>
    </cfRule>
    <cfRule type="cellIs" dxfId="53" priority="45" stopIfTrue="1" operator="between">
      <formula>3</formula>
      <formula>3</formula>
    </cfRule>
  </conditionalFormatting>
  <conditionalFormatting sqref="AO18">
    <cfRule type="cellIs" dxfId="52" priority="46" stopIfTrue="1" operator="between">
      <formula>"B"</formula>
      <formula>"B"</formula>
    </cfRule>
    <cfRule type="cellIs" dxfId="51" priority="47" stopIfTrue="1" operator="between">
      <formula>"C"</formula>
      <formula>"C"</formula>
    </cfRule>
    <cfRule type="cellIs" dxfId="50" priority="48" stopIfTrue="1" operator="between">
      <formula>"D"</formula>
      <formula>"D"</formula>
    </cfRule>
  </conditionalFormatting>
  <conditionalFormatting sqref="AN18">
    <cfRule type="cellIs" dxfId="49" priority="49" stopIfTrue="1" operator="between">
      <formula>"công chức, viên chức"</formula>
      <formula>"công chức, viên chức"</formula>
    </cfRule>
    <cfRule type="cellIs" dxfId="48" priority="50" stopIfTrue="1" operator="between">
      <formula>"lao động hợp đồng"</formula>
      <formula>"lao động hợp đồng"</formula>
    </cfRule>
  </conditionalFormatting>
  <conditionalFormatting sqref="F18">
    <cfRule type="cellIs" dxfId="47" priority="51" stopIfTrue="1" operator="between">
      <formula>"Nam"</formula>
      <formula>"Nam"</formula>
    </cfRule>
    <cfRule type="cellIs" dxfId="46" priority="52" stopIfTrue="1" operator="between">
      <formula>"Nữ"</formula>
      <formula>"Nữ"</formula>
    </cfRule>
  </conditionalFormatting>
  <conditionalFormatting sqref="AP18">
    <cfRule type="cellIs" dxfId="45" priority="41" stopIfTrue="1" operator="between">
      <formula>"Đến"</formula>
      <formula>"Đến"</formula>
    </cfRule>
    <cfRule type="cellIs" dxfId="44" priority="42" stopIfTrue="1" operator="between">
      <formula>"Quá"</formula>
      <formula>"Quá"</formula>
    </cfRule>
  </conditionalFormatting>
  <conditionalFormatting sqref="BH18">
    <cfRule type="expression" dxfId="43" priority="1" stopIfTrue="1">
      <formula>IF(BI18="Trên 45",1,0)</formula>
    </cfRule>
    <cfRule type="expression" dxfId="42" priority="2" stopIfTrue="1">
      <formula>IF(BI18="30 - 45",1,0)</formula>
    </cfRule>
    <cfRule type="expression" dxfId="41" priority="3" stopIfTrue="1">
      <formula>IF(BI18="Dưới 30",1,0)</formula>
    </cfRule>
  </conditionalFormatting>
  <conditionalFormatting sqref="CT18">
    <cfRule type="expression" dxfId="40" priority="4" stopIfTrue="1">
      <formula>IF(CU18&gt;0,1,0)</formula>
    </cfRule>
    <cfRule type="expression" dxfId="39" priority="5" stopIfTrue="1">
      <formula>IF(CU18=0,1,0)</formula>
    </cfRule>
  </conditionalFormatting>
  <conditionalFormatting sqref="CS18">
    <cfRule type="expression" dxfId="38" priority="6" stopIfTrue="1">
      <formula>12*(#REF!-CL18)+(#REF!-CJ18)</formula>
    </cfRule>
  </conditionalFormatting>
  <conditionalFormatting sqref="CX18">
    <cfRule type="expression" dxfId="37" priority="7" stopIfTrue="1">
      <formula>12*(#REF!-CP18)+(#REF!-CN18)</formula>
    </cfRule>
  </conditionalFormatting>
  <conditionalFormatting sqref="CW18">
    <cfRule type="expression" dxfId="36" priority="13" stopIfTrue="1">
      <formula>IF(OR(CW18=0.36),1,0)</formula>
    </cfRule>
    <cfRule type="expression" dxfId="35" priority="14" stopIfTrue="1">
      <formula>IF(CW18=0.34,1,0)</formula>
    </cfRule>
    <cfRule type="expression" dxfId="34" priority="15" stopIfTrue="1">
      <formula>IF(CW18&lt;0.33,1,0)</formula>
    </cfRule>
  </conditionalFormatting>
  <conditionalFormatting sqref="CZ18">
    <cfRule type="cellIs" dxfId="33" priority="16" stopIfTrue="1" operator="between">
      <formula>"Hưu"</formula>
      <formula>"Hưu"</formula>
    </cfRule>
    <cfRule type="cellIs" dxfId="32" priority="17" stopIfTrue="1" operator="between">
      <formula>"---"</formula>
      <formula>"---"</formula>
    </cfRule>
    <cfRule type="cellIs" dxfId="31" priority="18" stopIfTrue="1" operator="between">
      <formula>"Quá"</formula>
      <formula>"Quá"</formula>
    </cfRule>
  </conditionalFormatting>
  <conditionalFormatting sqref="CV18">
    <cfRule type="expression" dxfId="30" priority="19" stopIfTrue="1">
      <formula>IF(OR(CV18=5.57,CV18=6.2),1,0)</formula>
    </cfRule>
    <cfRule type="expression" dxfId="29" priority="20" stopIfTrue="1">
      <formula>IF(OR(CV18=4,CV18=4.4),1,0)</formula>
    </cfRule>
    <cfRule type="expression" dxfId="28" priority="21" stopIfTrue="1">
      <formula>IF(AND(CV18&gt;0.9,CV18&lt;2.34),1,0)</formula>
    </cfRule>
  </conditionalFormatting>
  <conditionalFormatting sqref="CR18">
    <cfRule type="cellIs" dxfId="27" priority="22" stopIfTrue="1" operator="between">
      <formula>1</formula>
      <formula>1</formula>
    </cfRule>
    <cfRule type="cellIs" dxfId="26" priority="23" stopIfTrue="1" operator="between">
      <formula>2</formula>
      <formula>2</formula>
    </cfRule>
    <cfRule type="cellIs" dxfId="25" priority="24" stopIfTrue="1" operator="between">
      <formula>3</formula>
      <formula>3</formula>
    </cfRule>
  </conditionalFormatting>
  <conditionalFormatting sqref="CU18">
    <cfRule type="expression" dxfId="24" priority="25" stopIfTrue="1">
      <formula>IF(CU18&gt;0,1,0)</formula>
    </cfRule>
    <cfRule type="expression" dxfId="23" priority="26" stopIfTrue="1">
      <formula>IF(CU18&lt;1,1,0)</formula>
    </cfRule>
  </conditionalFormatting>
  <conditionalFormatting sqref="CQ18">
    <cfRule type="cellIs" dxfId="22" priority="27" stopIfTrue="1" operator="between">
      <formula>"Đến"</formula>
      <formula>"Đến"</formula>
    </cfRule>
    <cfRule type="cellIs" dxfId="21" priority="28" stopIfTrue="1" operator="between">
      <formula>"Quá"</formula>
      <formula>"Quá"</formula>
    </cfRule>
    <cfRule type="expression" dxfId="20" priority="29" stopIfTrue="1">
      <formula>IF(OR(CQ18="Lương Sớm Hưu",CQ18="Nâng Ngạch Hưu"),1,0)</formula>
    </cfRule>
  </conditionalFormatting>
  <conditionalFormatting sqref="DA18:DB18">
    <cfRule type="expression" dxfId="19" priority="30" stopIfTrue="1">
      <formula>IF(DA18&gt;0,1,0)</formula>
    </cfRule>
  </conditionalFormatting>
  <conditionalFormatting sqref="CP18">
    <cfRule type="cellIs" dxfId="18" priority="31" stopIfTrue="1" operator="between">
      <formula>"B"</formula>
      <formula>"B"</formula>
    </cfRule>
    <cfRule type="cellIs" dxfId="17" priority="32" stopIfTrue="1" operator="between">
      <formula>"C"</formula>
      <formula>"C"</formula>
    </cfRule>
    <cfRule type="cellIs" dxfId="16" priority="33" stopIfTrue="1" operator="between">
      <formula>"D"</formula>
      <formula>"D"</formula>
    </cfRule>
  </conditionalFormatting>
  <conditionalFormatting sqref="CO18">
    <cfRule type="cellIs" dxfId="15" priority="34" stopIfTrue="1" operator="between">
      <formula>"công chức, viên chức"</formula>
      <formula>"công chức, viên chức"</formula>
    </cfRule>
    <cfRule type="cellIs" dxfId="14" priority="35" stopIfTrue="1" operator="between">
      <formula>"lao động hợp đồng"</formula>
      <formula>"lao động hợp đồng"</formula>
    </cfRule>
  </conditionalFormatting>
  <conditionalFormatting sqref="CY18">
    <cfRule type="expression" dxfId="13" priority="36" stopIfTrue="1">
      <formula>IF(CY18="Nâg Ngạch sau TB",1,0)</formula>
    </cfRule>
    <cfRule type="expression" dxfId="12" priority="37" stopIfTrue="1">
      <formula>IF(CY18="Nâg Lươg Sớm sau TB",1,0)</formula>
    </cfRule>
    <cfRule type="expression" dxfId="11" priority="38" stopIfTrue="1">
      <formula>IF(CY18="Nâg PC TNVK cùng QĐ",1,0)</formula>
    </cfRule>
  </conditionalFormatting>
  <conditionalFormatting sqref="CN18">
    <cfRule type="expression" dxfId="10" priority="39" stopIfTrue="1">
      <formula>IF(CN18=0,1,0)</formula>
    </cfRule>
    <cfRule type="expression" dxfId="9" priority="40" stopIfTrue="1">
      <formula>IF(CN18&gt;0,1,0)</formula>
    </cfRule>
  </conditionalFormatting>
  <conditionalFormatting sqref="BI18">
    <cfRule type="expression" dxfId="8" priority="8" stopIfTrue="1">
      <formula>IF(BI18="Trên 45",1,0)</formula>
    </cfRule>
    <cfRule type="expression" dxfId="7" priority="9" stopIfTrue="1">
      <formula>IF(BI18="30 - 45",1,0)</formula>
    </cfRule>
    <cfRule type="expression" dxfId="6" priority="10" stopIfTrue="1">
      <formula>IF(BI18="Dưới 30",1,0)</formula>
    </cfRule>
  </conditionalFormatting>
  <conditionalFormatting sqref="BK18">
    <cfRule type="cellIs" dxfId="5" priority="11" stopIfTrue="1" operator="between">
      <formula>"Có hạn"</formula>
      <formula>"Có hạn"</formula>
    </cfRule>
    <cfRule type="cellIs" dxfId="4" priority="12" stopIfTrue="1" operator="between">
      <formula>"Ko hạn"</formula>
      <formula>"Ko hạn"</formula>
    </cfRule>
  </conditionalFormatting>
  <conditionalFormatting sqref="A18">
    <cfRule type="expression" dxfId="3" priority="103" stopIfTrue="1">
      <formula>IF(#REF!="Hưu",1,0)</formula>
    </cfRule>
    <cfRule type="expression" dxfId="2" priority="104" stopIfTrue="1">
      <formula>IF(#REF!="Quá",1,0)</formula>
    </cfRule>
  </conditionalFormatting>
  <pageMargins left="0.45" right="0.2" top="0.25" bottom="0.2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5"/>
  <sheetViews>
    <sheetView tabSelected="1" topLeftCell="B31" workbookViewId="0">
      <selection activeCell="BJ14" sqref="BJ14"/>
    </sheetView>
  </sheetViews>
  <sheetFormatPr defaultRowHeight="15" x14ac:dyDescent="0.25"/>
  <cols>
    <col min="1" max="1" width="9.140625" hidden="1" customWidth="1"/>
    <col min="2" max="2" width="5.5703125" customWidth="1"/>
    <col min="3" max="3" width="9.140625" hidden="1" customWidth="1"/>
    <col min="4" max="4" width="22" customWidth="1"/>
    <col min="5" max="5" width="5.140625" customWidth="1"/>
    <col min="6" max="13" width="9.140625" hidden="1" customWidth="1"/>
    <col min="14" max="14" width="9.5703125" customWidth="1"/>
    <col min="15" max="15" width="23.28515625" customWidth="1"/>
    <col min="16" max="16" width="0.140625" hidden="1" customWidth="1"/>
    <col min="17" max="18" width="9.140625" hidden="1" customWidth="1"/>
    <col min="19" max="19" width="27" customWidth="1"/>
    <col min="20" max="20" width="12.5703125" customWidth="1"/>
    <col min="21" max="45" width="9.140625" hidden="1" customWidth="1"/>
    <col min="46" max="46" width="1.85546875" hidden="1" customWidth="1"/>
    <col min="47" max="47" width="3" customWidth="1"/>
    <col min="48" max="48" width="2.42578125" customWidth="1"/>
    <col min="49" max="49" width="3.140625" customWidth="1"/>
    <col min="50" max="50" width="2.7109375" customWidth="1"/>
    <col min="51" max="51" width="3.42578125" customWidth="1"/>
    <col min="52" max="52" width="1.28515625" customWidth="1"/>
    <col min="53" max="53" width="5" customWidth="1"/>
    <col min="54" max="60" width="9.140625" hidden="1" customWidth="1"/>
    <col min="61" max="61" width="8.7109375" customWidth="1"/>
  </cols>
  <sheetData>
    <row r="1" spans="1:77" s="290" customFormat="1" ht="15.75" customHeight="1" x14ac:dyDescent="0.25">
      <c r="B1" s="759" t="s">
        <v>0</v>
      </c>
      <c r="C1" s="759"/>
      <c r="D1" s="759"/>
      <c r="E1" s="759"/>
      <c r="F1" s="759"/>
      <c r="G1" s="759"/>
      <c r="H1" s="759"/>
      <c r="I1" s="759"/>
      <c r="J1" s="759"/>
      <c r="K1" s="759"/>
      <c r="L1" s="759"/>
      <c r="M1" s="759"/>
      <c r="N1" s="759"/>
      <c r="O1" s="759" t="s">
        <v>1</v>
      </c>
      <c r="P1" s="759"/>
      <c r="Q1" s="759"/>
      <c r="R1" s="759"/>
      <c r="S1" s="759"/>
      <c r="T1" s="759"/>
      <c r="U1" s="759"/>
      <c r="V1" s="759"/>
      <c r="W1" s="759"/>
      <c r="X1" s="759"/>
      <c r="Y1" s="759"/>
      <c r="Z1" s="759"/>
      <c r="AA1" s="759"/>
      <c r="AB1" s="759"/>
      <c r="AC1" s="759"/>
      <c r="AD1" s="759"/>
      <c r="AE1" s="759"/>
      <c r="AF1" s="759"/>
      <c r="AG1" s="759"/>
      <c r="AH1" s="759"/>
      <c r="AI1" s="759"/>
      <c r="AJ1" s="759"/>
      <c r="AK1" s="759"/>
      <c r="AL1" s="759"/>
      <c r="AM1" s="759"/>
      <c r="AN1" s="759"/>
      <c r="AO1" s="759"/>
      <c r="AP1" s="759"/>
      <c r="AQ1" s="759"/>
      <c r="AR1" s="759"/>
      <c r="AS1" s="759"/>
      <c r="AT1" s="759"/>
      <c r="AU1" s="759"/>
      <c r="AV1" s="759"/>
      <c r="AW1" s="759"/>
      <c r="AX1" s="759"/>
      <c r="AY1" s="759"/>
      <c r="AZ1" s="759"/>
      <c r="BA1" s="759"/>
    </row>
    <row r="2" spans="1:77" s="290" customFormat="1" ht="17.25" customHeight="1" x14ac:dyDescent="0.25">
      <c r="B2" s="759" t="s">
        <v>2</v>
      </c>
      <c r="C2" s="759"/>
      <c r="D2" s="759"/>
      <c r="E2" s="759"/>
      <c r="F2" s="759"/>
      <c r="G2" s="759"/>
      <c r="H2" s="759"/>
      <c r="I2" s="759"/>
      <c r="J2" s="759"/>
      <c r="K2" s="759"/>
      <c r="L2" s="759"/>
      <c r="M2" s="759"/>
      <c r="N2" s="759"/>
      <c r="O2" s="757" t="s">
        <v>3</v>
      </c>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row>
    <row r="3" spans="1:77" s="297" customFormat="1" ht="28.5" customHeight="1" x14ac:dyDescent="0.25">
      <c r="A3" s="291"/>
      <c r="B3" s="292"/>
      <c r="C3" s="291"/>
      <c r="D3" s="293"/>
      <c r="E3" s="294"/>
      <c r="F3" s="294"/>
      <c r="G3" s="294"/>
      <c r="H3" s="294"/>
      <c r="I3" s="294"/>
      <c r="J3" s="294"/>
      <c r="K3" s="294"/>
      <c r="L3" s="294"/>
      <c r="M3" s="294"/>
      <c r="N3" s="295"/>
      <c r="O3" s="740" t="s">
        <v>241</v>
      </c>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296"/>
      <c r="BC3" s="296"/>
      <c r="BD3" s="296"/>
      <c r="BE3" s="296"/>
      <c r="BF3" s="296"/>
      <c r="BG3" s="296"/>
      <c r="BH3" s="296"/>
    </row>
    <row r="4" spans="1:77" s="298" customFormat="1" ht="37.5" customHeight="1" x14ac:dyDescent="0.25">
      <c r="A4" s="293" t="s">
        <v>84</v>
      </c>
      <c r="B4" s="757" t="s">
        <v>189</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757"/>
      <c r="BA4" s="757"/>
      <c r="BB4" s="757"/>
      <c r="BC4" s="757"/>
      <c r="BD4" s="757"/>
      <c r="BE4" s="757"/>
      <c r="BF4" s="757"/>
      <c r="BG4" s="757"/>
      <c r="BH4" s="757"/>
      <c r="BI4" s="757"/>
    </row>
    <row r="5" spans="1:77" s="301" customFormat="1" ht="15" hidden="1" customHeight="1" x14ac:dyDescent="0.25">
      <c r="A5" s="292"/>
      <c r="B5" s="292"/>
      <c r="C5" s="292"/>
      <c r="D5" s="299" t="s">
        <v>85</v>
      </c>
      <c r="E5" s="300" t="e">
        <f>#REF!</f>
        <v>#REF!</v>
      </c>
      <c r="G5" s="302"/>
      <c r="H5" s="303"/>
      <c r="I5" s="304"/>
      <c r="J5" s="302"/>
      <c r="K5" s="302"/>
      <c r="L5" s="302"/>
      <c r="M5" s="302"/>
      <c r="N5" s="305" t="s">
        <v>86</v>
      </c>
      <c r="O5" s="306"/>
      <c r="P5" s="306"/>
      <c r="Q5" s="306"/>
      <c r="R5" s="306"/>
      <c r="S5" s="298"/>
      <c r="T5" s="307"/>
      <c r="U5" s="308"/>
      <c r="V5" s="308"/>
      <c r="W5" s="302"/>
      <c r="X5" s="304"/>
      <c r="Y5" s="302"/>
      <c r="Z5" s="304"/>
      <c r="AA5" s="302"/>
      <c r="AB5" s="303"/>
      <c r="AC5" s="303"/>
      <c r="AD5" s="309"/>
      <c r="AE5" s="302"/>
      <c r="AF5" s="310"/>
      <c r="AG5" s="311"/>
      <c r="AH5" s="298" t="s">
        <v>87</v>
      </c>
      <c r="AI5" s="298"/>
      <c r="AU5" s="298"/>
      <c r="AV5" s="312"/>
      <c r="AX5" s="298"/>
      <c r="BA5" s="312"/>
    </row>
    <row r="6" spans="1:77" s="298" customFormat="1" ht="1.5" hidden="1" customHeight="1" x14ac:dyDescent="0.25">
      <c r="B6" s="313" t="s">
        <v>7</v>
      </c>
      <c r="D6" s="305"/>
      <c r="N6" s="305"/>
      <c r="O6" s="305"/>
      <c r="T6" s="313"/>
    </row>
    <row r="7" spans="1:77" s="298" customFormat="1" ht="16.5" x14ac:dyDescent="0.25">
      <c r="A7" s="150"/>
      <c r="B7" s="313"/>
      <c r="D7" s="298" t="s">
        <v>88</v>
      </c>
      <c r="G7" s="314"/>
      <c r="H7" s="315"/>
      <c r="I7" s="315"/>
      <c r="J7" s="315"/>
      <c r="K7" s="315"/>
      <c r="L7" s="315"/>
      <c r="M7" s="315"/>
      <c r="N7" s="305"/>
      <c r="O7" s="316"/>
      <c r="P7" s="317"/>
      <c r="Q7" s="317"/>
      <c r="R7" s="317"/>
      <c r="T7" s="318"/>
      <c r="AF7" s="319"/>
      <c r="BA7" s="320"/>
      <c r="BB7" s="321"/>
      <c r="BH7" s="322"/>
      <c r="BJ7" s="323"/>
      <c r="BK7" s="323"/>
      <c r="BR7" s="313"/>
      <c r="BS7" s="313"/>
      <c r="BT7" s="313"/>
      <c r="BU7" s="313"/>
      <c r="BW7" s="319"/>
      <c r="BX7" s="324"/>
      <c r="BY7" s="150"/>
    </row>
    <row r="8" spans="1:77" s="298" customFormat="1" ht="16.5" x14ac:dyDescent="0.25">
      <c r="A8" s="150"/>
      <c r="B8" s="313"/>
      <c r="D8" s="312" t="s">
        <v>89</v>
      </c>
      <c r="E8" s="312"/>
      <c r="F8" s="312"/>
      <c r="G8" s="312"/>
      <c r="H8" s="312"/>
      <c r="I8" s="312"/>
      <c r="J8" s="312"/>
      <c r="K8" s="312"/>
      <c r="L8" s="312"/>
      <c r="M8" s="312"/>
      <c r="N8" s="305"/>
      <c r="O8" s="306"/>
      <c r="P8" s="312"/>
      <c r="Q8" s="312"/>
      <c r="R8" s="312"/>
      <c r="T8" s="325"/>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V8" s="312"/>
      <c r="BA8" s="320"/>
      <c r="BB8" s="321"/>
      <c r="BH8" s="322"/>
      <c r="BJ8" s="323"/>
      <c r="BK8" s="323" t="s">
        <v>84</v>
      </c>
      <c r="BR8" s="313"/>
      <c r="BS8" s="313"/>
      <c r="BT8" s="313"/>
      <c r="BU8" s="313"/>
      <c r="BW8" s="319"/>
      <c r="BX8" s="324"/>
      <c r="BY8" s="150"/>
    </row>
    <row r="9" spans="1:77" s="298" customFormat="1" ht="15" customHeight="1" x14ac:dyDescent="0.25">
      <c r="A9" s="150"/>
      <c r="B9" s="313" t="s">
        <v>7</v>
      </c>
      <c r="D9" s="312" t="s">
        <v>244</v>
      </c>
      <c r="E9" s="312"/>
      <c r="F9" s="312"/>
      <c r="G9" s="312"/>
      <c r="H9" s="312"/>
      <c r="I9" s="312"/>
      <c r="J9" s="312"/>
      <c r="K9" s="312"/>
      <c r="L9" s="312"/>
      <c r="M9" s="312"/>
      <c r="N9" s="305"/>
      <c r="O9" s="306"/>
      <c r="P9" s="312"/>
      <c r="Q9" s="312"/>
      <c r="R9" s="312"/>
      <c r="T9" s="325"/>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V9" s="312"/>
      <c r="BA9" s="320"/>
      <c r="BB9" s="321"/>
      <c r="BH9" s="322"/>
      <c r="BJ9" s="323"/>
      <c r="BK9" s="323"/>
      <c r="BR9" s="313"/>
      <c r="BS9" s="313"/>
      <c r="BT9" s="313"/>
      <c r="BU9" s="313"/>
      <c r="BW9" s="319"/>
      <c r="BX9" s="324"/>
      <c r="BY9" s="150"/>
    </row>
    <row r="10" spans="1:77" s="301" customFormat="1" ht="16.5" x14ac:dyDescent="0.25">
      <c r="A10" s="291"/>
      <c r="B10" s="292"/>
      <c r="C10" s="291"/>
      <c r="D10" s="312" t="s">
        <v>90</v>
      </c>
      <c r="E10" s="312"/>
      <c r="F10" s="312"/>
      <c r="G10" s="312"/>
      <c r="H10" s="312"/>
      <c r="I10" s="312"/>
      <c r="J10" s="312"/>
      <c r="K10" s="312"/>
      <c r="L10" s="312"/>
      <c r="M10" s="312"/>
      <c r="N10" s="305"/>
      <c r="O10" s="306"/>
      <c r="P10" s="312"/>
      <c r="Q10" s="312"/>
      <c r="R10" s="312"/>
      <c r="S10" s="298"/>
      <c r="T10" s="325"/>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298"/>
      <c r="AV10" s="312"/>
      <c r="AW10" s="298"/>
      <c r="AX10" s="298"/>
      <c r="BA10" s="312"/>
    </row>
    <row r="11" spans="1:77" s="304" customFormat="1" ht="12.75" customHeight="1" x14ac:dyDescent="0.25">
      <c r="A11" s="291"/>
      <c r="B11" s="292"/>
      <c r="C11" s="291"/>
      <c r="D11" s="326" t="s">
        <v>91</v>
      </c>
      <c r="E11" s="327">
        <v>20</v>
      </c>
      <c r="I11" s="328"/>
      <c r="J11" s="329"/>
      <c r="K11" s="329"/>
      <c r="L11" s="329"/>
      <c r="M11" s="329"/>
      <c r="N11" s="305"/>
      <c r="O11" s="330"/>
      <c r="P11" s="303"/>
      <c r="Q11" s="303"/>
      <c r="R11" s="303"/>
      <c r="S11" s="298"/>
      <c r="T11" s="302"/>
      <c r="W11" s="303"/>
      <c r="Y11" s="303"/>
      <c r="AA11" s="303"/>
      <c r="AB11" s="303"/>
      <c r="AC11" s="303"/>
      <c r="AD11" s="331"/>
      <c r="AE11" s="302"/>
      <c r="AF11" s="290"/>
      <c r="AH11" s="290"/>
      <c r="AI11" s="290"/>
      <c r="AJ11" s="329"/>
      <c r="AK11" s="329"/>
      <c r="AU11" s="298"/>
      <c r="AV11" s="303"/>
      <c r="AX11" s="294"/>
      <c r="BA11" s="303"/>
    </row>
    <row r="12" spans="1:77" s="301" customFormat="1" ht="6.75" customHeight="1" x14ac:dyDescent="0.25">
      <c r="A12" s="291"/>
      <c r="B12" s="292"/>
      <c r="C12" s="291"/>
      <c r="D12" s="305"/>
      <c r="E12" s="302"/>
      <c r="F12" s="304"/>
      <c r="G12" s="304"/>
      <c r="H12" s="304"/>
      <c r="I12" s="328"/>
      <c r="J12" s="329"/>
      <c r="K12" s="329"/>
      <c r="L12" s="329"/>
      <c r="M12" s="329"/>
      <c r="N12" s="305"/>
      <c r="O12" s="330"/>
      <c r="P12" s="303"/>
      <c r="Q12" s="303"/>
      <c r="R12" s="303"/>
      <c r="S12" s="298"/>
      <c r="T12" s="302"/>
      <c r="U12" s="304"/>
      <c r="V12" s="304"/>
      <c r="W12" s="303"/>
      <c r="X12" s="304"/>
      <c r="Y12" s="303"/>
      <c r="Z12" s="304"/>
      <c r="AA12" s="303"/>
      <c r="AB12" s="303"/>
      <c r="AC12" s="303"/>
      <c r="AD12" s="331"/>
      <c r="AE12" s="302"/>
      <c r="AF12" s="298"/>
      <c r="AH12" s="298"/>
      <c r="AI12" s="298"/>
      <c r="AJ12" s="329"/>
      <c r="AK12" s="329"/>
      <c r="AU12" s="298"/>
      <c r="AV12" s="312"/>
      <c r="AX12" s="298"/>
      <c r="BA12" s="312"/>
    </row>
    <row r="13" spans="1:77" s="333" customFormat="1" ht="32.25" customHeight="1" x14ac:dyDescent="0.25">
      <c r="A13" s="298" t="s">
        <v>14</v>
      </c>
      <c r="B13" s="758" t="s">
        <v>14</v>
      </c>
      <c r="C13" s="734"/>
      <c r="D13" s="758" t="s">
        <v>92</v>
      </c>
      <c r="E13" s="758" t="s">
        <v>16</v>
      </c>
      <c r="F13" s="734" t="s">
        <v>93</v>
      </c>
      <c r="G13" s="734"/>
      <c r="H13" s="734"/>
      <c r="I13" s="734"/>
      <c r="J13" s="734"/>
      <c r="K13" s="734"/>
      <c r="L13" s="734"/>
      <c r="M13" s="734"/>
      <c r="N13" s="758" t="s">
        <v>94</v>
      </c>
      <c r="O13" s="758"/>
      <c r="P13" s="734"/>
      <c r="Q13" s="734"/>
      <c r="R13" s="758" t="s">
        <v>95</v>
      </c>
      <c r="S13" s="758"/>
      <c r="T13" s="758"/>
      <c r="U13" s="758" t="s">
        <v>20</v>
      </c>
      <c r="V13" s="332"/>
      <c r="W13" s="332"/>
      <c r="X13" s="734" t="s">
        <v>96</v>
      </c>
      <c r="Y13" s="734"/>
      <c r="Z13" s="734"/>
      <c r="AA13" s="734"/>
      <c r="AB13" s="734"/>
      <c r="AC13" s="734"/>
      <c r="AD13" s="734"/>
      <c r="AE13" s="734" t="s">
        <v>22</v>
      </c>
      <c r="AF13" s="734"/>
      <c r="AG13" s="734"/>
      <c r="AH13" s="734"/>
      <c r="AI13" s="734"/>
      <c r="AJ13" s="734"/>
      <c r="AK13" s="734"/>
      <c r="AL13" s="734"/>
      <c r="AM13" s="734"/>
      <c r="AN13" s="734"/>
      <c r="AO13" s="734"/>
      <c r="AP13" s="734"/>
      <c r="AQ13" s="734"/>
      <c r="AR13" s="734"/>
      <c r="AS13" s="734"/>
      <c r="AT13" s="734"/>
      <c r="AU13" s="758" t="s">
        <v>97</v>
      </c>
      <c r="AV13" s="758"/>
      <c r="AW13" s="758"/>
      <c r="AX13" s="758"/>
      <c r="AY13" s="758"/>
      <c r="AZ13" s="758"/>
      <c r="BA13" s="758"/>
      <c r="BB13" s="734"/>
      <c r="BC13" s="758" t="s">
        <v>98</v>
      </c>
      <c r="BD13" s="758" t="s">
        <v>22</v>
      </c>
      <c r="BE13" s="734"/>
      <c r="BF13" s="734"/>
      <c r="BG13" s="734"/>
      <c r="BH13" s="758" t="s">
        <v>98</v>
      </c>
      <c r="BI13" s="758" t="s">
        <v>98</v>
      </c>
    </row>
    <row r="14" spans="1:77" s="298" customFormat="1" ht="33" customHeight="1" x14ac:dyDescent="0.25">
      <c r="B14" s="758"/>
      <c r="C14" s="734"/>
      <c r="D14" s="758"/>
      <c r="E14" s="758"/>
      <c r="F14" s="734"/>
      <c r="G14" s="734"/>
      <c r="H14" s="734"/>
      <c r="I14" s="734"/>
      <c r="J14" s="734"/>
      <c r="K14" s="734"/>
      <c r="L14" s="734"/>
      <c r="M14" s="734"/>
      <c r="N14" s="758"/>
      <c r="O14" s="758"/>
      <c r="P14" s="734"/>
      <c r="Q14" s="734"/>
      <c r="R14" s="758"/>
      <c r="S14" s="758"/>
      <c r="T14" s="758"/>
      <c r="U14" s="758"/>
      <c r="V14" s="734"/>
      <c r="W14" s="734"/>
      <c r="X14" s="734" t="s">
        <v>99</v>
      </c>
      <c r="Y14" s="734"/>
      <c r="Z14" s="734" t="s">
        <v>100</v>
      </c>
      <c r="AA14" s="734"/>
      <c r="AB14" s="734" t="s">
        <v>101</v>
      </c>
      <c r="AC14" s="734"/>
      <c r="AD14" s="734"/>
      <c r="AE14" s="734"/>
      <c r="AF14" s="734" t="s">
        <v>102</v>
      </c>
      <c r="AG14" s="734" t="s">
        <v>103</v>
      </c>
      <c r="AH14" s="334" t="s">
        <v>104</v>
      </c>
      <c r="AI14" s="734"/>
      <c r="AJ14" s="734"/>
      <c r="AK14" s="332"/>
      <c r="AL14" s="332"/>
      <c r="AM14" s="332"/>
      <c r="AN14" s="332"/>
      <c r="AO14" s="332"/>
      <c r="AP14" s="332"/>
      <c r="AQ14" s="734"/>
      <c r="AR14" s="734"/>
      <c r="AS14" s="734"/>
      <c r="AT14" s="734"/>
      <c r="AU14" s="758" t="s">
        <v>99</v>
      </c>
      <c r="AV14" s="758"/>
      <c r="AW14" s="758" t="s">
        <v>100</v>
      </c>
      <c r="AX14" s="758"/>
      <c r="AY14" s="758" t="s">
        <v>105</v>
      </c>
      <c r="AZ14" s="758"/>
      <c r="BA14" s="758"/>
      <c r="BB14" s="734"/>
      <c r="BC14" s="758"/>
      <c r="BD14" s="758"/>
      <c r="BE14" s="734"/>
      <c r="BF14" s="734"/>
      <c r="BG14" s="734"/>
      <c r="BH14" s="758"/>
      <c r="BI14" s="758"/>
    </row>
    <row r="15" spans="1:77" s="298" customFormat="1" ht="30.75" hidden="1" customHeight="1" x14ac:dyDescent="0.25">
      <c r="A15" s="298" t="s">
        <v>106</v>
      </c>
      <c r="B15" s="335"/>
      <c r="C15" s="336"/>
      <c r="D15" s="337" t="s">
        <v>107</v>
      </c>
      <c r="E15" s="336" t="s">
        <v>108</v>
      </c>
      <c r="F15" s="336"/>
      <c r="G15" s="336"/>
      <c r="H15" s="336"/>
      <c r="I15" s="336"/>
      <c r="J15" s="336"/>
      <c r="K15" s="336"/>
      <c r="L15" s="336"/>
      <c r="M15" s="336"/>
      <c r="N15" s="337" t="s">
        <v>109</v>
      </c>
      <c r="O15" s="337" t="s">
        <v>110</v>
      </c>
      <c r="P15" s="336"/>
      <c r="Q15" s="336"/>
      <c r="R15" s="336"/>
      <c r="S15" s="336"/>
      <c r="T15" s="335"/>
      <c r="U15" s="336" t="s">
        <v>111</v>
      </c>
      <c r="V15" s="336" t="s">
        <v>112</v>
      </c>
      <c r="W15" s="336"/>
      <c r="X15" s="336" t="s">
        <v>113</v>
      </c>
      <c r="Y15" s="336"/>
      <c r="Z15" s="336" t="s">
        <v>114</v>
      </c>
      <c r="AA15" s="336"/>
      <c r="AB15" s="336" t="s">
        <v>115</v>
      </c>
      <c r="AC15" s="336"/>
      <c r="AD15" s="336"/>
      <c r="AE15" s="336"/>
      <c r="AF15" s="336"/>
      <c r="AG15" s="336"/>
      <c r="AH15" s="336"/>
      <c r="AI15" s="336"/>
      <c r="AJ15" s="336"/>
      <c r="AK15" s="336"/>
      <c r="AL15" s="336"/>
      <c r="AM15" s="336"/>
      <c r="AN15" s="336"/>
      <c r="AO15" s="336"/>
      <c r="AP15" s="336"/>
      <c r="AQ15" s="336"/>
      <c r="AR15" s="336"/>
      <c r="AS15" s="336"/>
      <c r="AT15" s="336"/>
      <c r="AU15" s="336" t="s">
        <v>112</v>
      </c>
      <c r="AV15" s="336"/>
      <c r="AW15" s="336" t="s">
        <v>113</v>
      </c>
      <c r="AX15" s="336"/>
      <c r="AY15" s="336" t="s">
        <v>114</v>
      </c>
      <c r="AZ15" s="162"/>
      <c r="BA15" s="336" t="s">
        <v>115</v>
      </c>
      <c r="BB15" s="336"/>
      <c r="BC15" s="336"/>
      <c r="BD15" s="336"/>
      <c r="BE15" s="336"/>
      <c r="BF15" s="336"/>
      <c r="BG15" s="336"/>
      <c r="BH15" s="336"/>
      <c r="BI15" s="336"/>
    </row>
    <row r="16" spans="1:77" x14ac:dyDescent="0.25">
      <c r="A16" t="s">
        <v>116</v>
      </c>
      <c r="B16" s="732">
        <v>1</v>
      </c>
      <c r="C16" s="732"/>
      <c r="D16" s="732">
        <v>2</v>
      </c>
      <c r="E16" s="732">
        <v>3</v>
      </c>
      <c r="F16" s="732"/>
      <c r="G16" s="732"/>
      <c r="H16" s="732"/>
      <c r="I16" s="732"/>
      <c r="J16" s="732"/>
      <c r="K16" s="732"/>
      <c r="L16" s="732"/>
      <c r="M16" s="732"/>
      <c r="N16" s="756">
        <v>4</v>
      </c>
      <c r="O16" s="756"/>
      <c r="P16" s="732"/>
      <c r="Q16" s="732"/>
      <c r="R16" s="756">
        <v>5</v>
      </c>
      <c r="S16" s="756"/>
      <c r="T16" s="756"/>
      <c r="U16" s="732">
        <v>6</v>
      </c>
      <c r="V16" s="732">
        <v>7</v>
      </c>
      <c r="W16" s="732"/>
      <c r="X16" s="732">
        <v>8</v>
      </c>
      <c r="Y16" s="732"/>
      <c r="Z16" s="732"/>
      <c r="AA16" s="732"/>
      <c r="AB16" s="732">
        <v>9</v>
      </c>
      <c r="AC16" s="732">
        <v>10</v>
      </c>
      <c r="AD16" s="732"/>
      <c r="AE16" s="732"/>
      <c r="AF16" s="732"/>
      <c r="AG16" s="732"/>
      <c r="AH16" s="732"/>
      <c r="AI16" s="732"/>
      <c r="AJ16" s="732"/>
      <c r="AK16" s="732"/>
      <c r="AL16" s="732"/>
      <c r="AM16" s="732"/>
      <c r="AN16" s="732"/>
      <c r="AO16" s="732"/>
      <c r="AP16" s="732"/>
      <c r="AQ16" s="732"/>
      <c r="AR16" s="732"/>
      <c r="AS16" s="732"/>
      <c r="AT16" s="732"/>
      <c r="AU16" s="756">
        <v>6</v>
      </c>
      <c r="AV16" s="756"/>
      <c r="AW16" s="756">
        <v>7</v>
      </c>
      <c r="AX16" s="756"/>
      <c r="AY16" s="756">
        <v>8</v>
      </c>
      <c r="AZ16" s="756"/>
      <c r="BA16" s="756"/>
      <c r="BB16" s="732"/>
      <c r="BC16" s="732">
        <v>10</v>
      </c>
      <c r="BD16" s="732"/>
      <c r="BE16" s="732"/>
      <c r="BF16" s="732"/>
      <c r="BG16" s="732"/>
      <c r="BH16" s="732">
        <v>10</v>
      </c>
      <c r="BI16" s="732">
        <v>9</v>
      </c>
    </row>
    <row r="17" spans="1:126" s="359" customFormat="1" ht="23.25" customHeight="1" x14ac:dyDescent="0.25">
      <c r="A17" s="358">
        <v>71</v>
      </c>
      <c r="B17" s="359">
        <v>1</v>
      </c>
      <c r="C17" s="358" t="str">
        <f t="shared" ref="C17:C33" si="0">IF(E17="Nam","Ông","Bà")</f>
        <v>Bà</v>
      </c>
      <c r="D17" s="360" t="s">
        <v>82</v>
      </c>
      <c r="E17" s="358" t="s">
        <v>35</v>
      </c>
      <c r="F17" s="361" t="s">
        <v>117</v>
      </c>
      <c r="G17" s="361" t="s">
        <v>12</v>
      </c>
      <c r="H17" s="361" t="s">
        <v>133</v>
      </c>
      <c r="I17" s="361" t="s">
        <v>12</v>
      </c>
      <c r="J17" s="358" t="s">
        <v>119</v>
      </c>
      <c r="K17" s="358" t="str">
        <f>IF(AND((M17+0)&gt;0.3,(M17+0)&lt;1.5),"CVụ","- -")</f>
        <v>CVụ</v>
      </c>
      <c r="L17" s="358" t="s">
        <v>140</v>
      </c>
      <c r="M17" s="362" t="str">
        <f>VLOOKUP(L17,'[1]- DLiêu Gốc -'!$B$2:$G$121,2,0)</f>
        <v>0,8</v>
      </c>
      <c r="N17" s="363"/>
      <c r="O17" s="364" t="s">
        <v>141</v>
      </c>
      <c r="P17" s="365" t="str">
        <f>VLOOKUP(U17,'[1]- DLiêu Gốc -'!$B$2:$G$56,5,0)</f>
        <v>A2</v>
      </c>
      <c r="Q17" s="365" t="str">
        <f>VLOOKUP(U17,'[1]- DLiêu Gốc -'!$B$2:$G$56,6,0)</f>
        <v>A2.1</v>
      </c>
      <c r="R17" s="358" t="s">
        <v>37</v>
      </c>
      <c r="S17" s="366" t="str">
        <f t="shared" ref="S17:S33" si="1">IF(OR(U17="Kỹ thuật viên đánh máy",U17="Nhân viên đánh máy",U17="Nhân viên kỹ thuật",U17="Nhân viên văn thư",U17="Nhân viên phục vụ",U17="Lái xe cơ quan",U17="Nhân viên bảo vệ"),"Nhân viên",U17)</f>
        <v>Giảng viên chính (hạng II)</v>
      </c>
      <c r="T17" s="367" t="str">
        <f t="shared" ref="T17:T33" si="2">IF(S17="Nhân viên","01.005",V17)</f>
        <v>V.07.01.02</v>
      </c>
      <c r="U17" s="368" t="s">
        <v>59</v>
      </c>
      <c r="V17" s="369" t="str">
        <f>VLOOKUP(U17,'[1]- DLiêu Gốc -'!$B$1:$G$121,2,0)</f>
        <v>V.07.01.02</v>
      </c>
      <c r="W17" s="370" t="str">
        <f t="shared" ref="W17:W33" si="3">IF(OR(AND(AN17=36,AM17=3),AND(AN17=24,AM17=2),AND(AN17=12,AM17=1)),"Đến $",IF(AND(AN17&lt;12*10,OR(AND(AN17&gt;36,AM17=3),AND(AN17&gt;24,AN17&lt;120,AM17=2),AND(AN17&gt;12,AM17=1))),"Dừng $","Lương"))</f>
        <v>Lương</v>
      </c>
      <c r="X17" s="370">
        <v>2</v>
      </c>
      <c r="Y17" s="370" t="str">
        <f t="shared" ref="Y17:Y33" si="4">IF(Z17&gt;0,"/")</f>
        <v>/</v>
      </c>
      <c r="Z17" s="370">
        <f t="shared" ref="Z17:Z33" si="5">IF(OR(AR17=0.18,AR17=0.2),12,IF(AR17=0.31,10,IF(AR17=0.33,9,IF(AR17=0.34,8,IF(AR17=0.36,6)))))</f>
        <v>8</v>
      </c>
      <c r="AA17" s="370">
        <f t="shared" ref="AA17:AA33" si="6">AQ17+(X17-1)*AR17</f>
        <v>4.74</v>
      </c>
      <c r="AB17" s="370">
        <f t="shared" ref="AB17:AB33" si="7">X17+1</f>
        <v>3</v>
      </c>
      <c r="AC17" s="370" t="str">
        <f t="shared" ref="AC17:AC33" si="8">IF(Z17=X17,"%",IF(Z17&gt;X17,"/"))</f>
        <v>/</v>
      </c>
      <c r="AD17" s="370">
        <f t="shared" ref="AD17:AD33" si="9">IF(AND(Z17=X17,AB17=4),5,IF(AND(Z17=X17,AB17&gt;4),AB17+1,IF(Z17&gt;X17,Z17)))</f>
        <v>8</v>
      </c>
      <c r="AE17" s="370">
        <f t="shared" ref="AE17:AE33" si="10">IF(Z17=X17,"%",IF(Z17&gt;X17,AA17+AR17))</f>
        <v>5.08</v>
      </c>
      <c r="AF17" s="370" t="s">
        <v>11</v>
      </c>
      <c r="AG17" s="370" t="s">
        <v>12</v>
      </c>
      <c r="AH17" s="370" t="s">
        <v>11</v>
      </c>
      <c r="AI17" s="370" t="s">
        <v>12</v>
      </c>
      <c r="AJ17" s="370">
        <v>2012</v>
      </c>
      <c r="AK17" s="371" t="s">
        <v>142</v>
      </c>
      <c r="AL17" s="369"/>
      <c r="AM17" s="370">
        <f t="shared" ref="AM17:AM33" si="11">IF(AND(Z17&gt;X17,OR(AR17=0.18,AR17=0.2)),2,IF(AND(Z17&gt;X17,OR(AR17=0.31,AR17=0.33,AR17=0.34,AR17=0.36)),3,IF(Z17=X17,1)))</f>
        <v>3</v>
      </c>
      <c r="AN17" s="370">
        <f t="shared" ref="AN17:AN33" si="12">12*($W$2-AJ17)+($W$4-AH17)-AO17</f>
        <v>-24145</v>
      </c>
      <c r="AO17" s="368"/>
      <c r="AP17" s="368"/>
      <c r="AQ17" s="370">
        <f>VLOOKUP(U17,'[1]- DLiêu Gốc -'!$B$1:$E$56,3,0)</f>
        <v>4.4000000000000004</v>
      </c>
      <c r="AR17" s="370">
        <f>VLOOKUP(U17,'[1]- DLiêu Gốc -'!$B$1:$E$56,4,0)</f>
        <v>0.34</v>
      </c>
      <c r="AT17" s="370" t="str">
        <f t="shared" ref="AT17:AT33" si="13">IF(AND(AU17&gt;3,BF17=12),"Đến %",IF(AND(AU17&gt;3,BF17&gt;12,BF17&lt;120),"Dừng %",IF(AND(AU17&gt;3,BF17&lt;12),"PCTN","o-o-o")))</f>
        <v>PCTN</v>
      </c>
      <c r="AU17" s="372">
        <v>13</v>
      </c>
      <c r="AV17" s="373" t="s">
        <v>41</v>
      </c>
      <c r="AW17" s="372">
        <f t="shared" ref="AW17:AW33" si="14">IF(AU17&gt;3,AU17+1,0)</f>
        <v>14</v>
      </c>
      <c r="AX17" s="374" t="s">
        <v>41</v>
      </c>
      <c r="AY17" s="375" t="s">
        <v>133</v>
      </c>
      <c r="AZ17" s="376" t="s">
        <v>12</v>
      </c>
      <c r="BA17" s="377">
        <v>2015</v>
      </c>
      <c r="BB17" s="769"/>
      <c r="BC17" s="769"/>
      <c r="BD17" s="368"/>
      <c r="BE17" s="769">
        <v>3</v>
      </c>
      <c r="BF17" s="368">
        <f t="shared" ref="BF17:BF33" si="15">IF(AU17&gt;3,(($AT$2-BA17)*12+($AT$4-AY17)-BC17),"- - -")</f>
        <v>-24183</v>
      </c>
      <c r="BG17" s="379" t="str">
        <f t="shared" ref="BG17:BG33" si="16">IF(AND(CF17="Hưu",AU17&gt;3),12-(12*(CL17-BA17)+(CK17-AY17))-BC17,"- - -")</f>
        <v>- - -</v>
      </c>
      <c r="BH17" s="769" t="str">
        <f t="shared" ref="BH17:BH33" si="17">IF(BK17="công chức, viên chức","CC,VC",IF(BK17="người lao động","NLĐ","- - -"))</f>
        <v>CC,VC</v>
      </c>
      <c r="BI17" s="358"/>
      <c r="BJ17" s="270"/>
      <c r="BK17" s="270" t="s">
        <v>10</v>
      </c>
      <c r="BL17" s="276" t="str">
        <f t="shared" ref="BL17:BL33" si="18">IF(O17="Cơ sở Học viện Hành chính khu vực miền Trung","B",IF(O17="Phân viện Khu vực Tây Nguyên","C",IF(O17="Cơ sở Học viện Hành chính tại thành phố Hồ Chí Minh","D","A")))</f>
        <v>A</v>
      </c>
      <c r="BM17" s="274" t="str">
        <f t="shared" ref="BM17:BM33" si="19">IF(AND(AB17&gt;0,X17&lt;(Z17-1),BN17&gt;0,BN17&lt;13,OR(AND(BT17="Cùg Ng",($BM$2-BP17)&gt;AM17),BT17="- - -")),"Sớm TT","=&gt; s")</f>
        <v>=&gt; s</v>
      </c>
      <c r="BN17" s="276">
        <f t="shared" ref="BN17:BN33" si="20">IF(AM17=3,36-(12*($BM$2-AJ17)+(12-AH17)-AO17),IF(AM17=2,24-(12*($BM$2-AJ17)+(12-AH17)-AO17),"---"))</f>
        <v>24169</v>
      </c>
      <c r="BO17" s="270" t="str">
        <f t="shared" ref="BO17:BO33" si="21">IF(BP17&gt;1,"S","---")</f>
        <v>---</v>
      </c>
      <c r="BP17" s="276"/>
      <c r="BQ17" s="280"/>
      <c r="BR17" s="280"/>
      <c r="BS17" s="770"/>
      <c r="BT17" s="269" t="str">
        <f t="shared" ref="BT17:BT33" si="22">IF(T17=BQ17,"Cùg Ng","- - -")</f>
        <v>- - -</v>
      </c>
      <c r="BU17" s="269" t="str">
        <f t="shared" ref="BU17:BU33" si="23">IF(BW17&gt;2000,"NN","- - -")</f>
        <v>NN</v>
      </c>
      <c r="BV17" s="269">
        <v>1</v>
      </c>
      <c r="BW17" s="269">
        <v>2009</v>
      </c>
      <c r="BX17" s="269"/>
      <c r="BY17" s="269"/>
      <c r="BZ17" s="280" t="str">
        <f t="shared" ref="BZ17:BZ33" si="24">IF(CB17&gt;2000,"CN","- - -")</f>
        <v>- - -</v>
      </c>
      <c r="CA17" s="276"/>
      <c r="CB17" s="276"/>
      <c r="CC17" s="282"/>
      <c r="CD17" s="282"/>
      <c r="CE17" s="766" t="str">
        <f t="shared" ref="CE17:CE33" si="25">IF(AND(CF17="Hưu",X17&lt;(Z17-1),CM17&gt;0,CM17&lt;18,OR(AU17&lt;4,AND(AU17&gt;3,OR(BG17&lt;3,BG17&gt;5)))),"Lg Sớm",IF(AND(CF17="Hưu",X17&gt;(Z17-2),OR(AR17=0.33,AR17=0.34),OR(AU17&lt;4,AND(AU17&gt;3,OR(BG17&lt;3,BG17&gt;5)))),"Nâng Ngạch",IF(AND(CF17="Hưu",AM17=1,CM17&gt;2,CM17&lt;6,OR(AU17&lt;4,AND(AU17&gt;3,OR(BG17&lt;3,BG17&gt;5)))),"Nâng PcVK cùng QĐ",IF(AND(CF17="Hưu",AU17&gt;3,BG17&gt;2,BG17&lt;6,X17&lt;(Z17-1),CM17&gt;17,OR(AM17&gt;1,AND(AM17=1,OR(CM17&lt;3,CM17&gt;5)))),"Nâng PcNG cùng QĐ",IF(AND(CF17="Hưu",X17&lt;(Z17-1),CM17&gt;0,CM17&lt;18,AU17&gt;3,BG17&gt;2,BG17&lt;6),"Nâng Lg Sớm +(PcNG cùng QĐ)",IF(AND(CF17="Hưu",X17&gt;(Z17-2),OR(AR17=0.33,AR17=0.34),AU17&gt;3,BG17&gt;2,BG17&lt;6),"Nâng Ngạch +(PcNG cùng QĐ)",IF(AND(CF17="Hưu",AM17=1,CM17&gt;2,CM17&lt;6,AU17&gt;3,BG17&gt;2,BG17&lt;6),"Nâng (PcVK +PcNG) cùng QĐ",("---"))))))))</f>
        <v>---</v>
      </c>
      <c r="CF17" s="378" t="str">
        <f t="shared" ref="CF17:CF33" si="26">IF(AND(CQ17&gt;CP17,CQ17&lt;(CP17+13)),"Hưu",IF(AND(CQ17&gt;(CP17+12),CQ17&lt;1000),"Quá","/-/ /-/"))</f>
        <v>/-/ /-/</v>
      </c>
      <c r="CG17" s="378">
        <f t="shared" ref="CG17:CG33" si="27">IF((H17+0)&lt;12,(H17+0)+1,IF((H17+0)=12,1,IF((H17+0)&gt;12,(H17+0)-12)))</f>
        <v>4</v>
      </c>
      <c r="CH17" s="378">
        <f t="shared" ref="CH17:CH33" si="28">IF(OR((H17+0)=12,(H17+0)&gt;12),J17+CP17/12+1,IF(AND((H17+0)&gt;0,(H17+0)&lt;12),J17+CP17/12,"---"))</f>
        <v>2026</v>
      </c>
      <c r="CI17" s="359">
        <f t="shared" ref="CI17:CI33" si="29">IF(AND(CG17&gt;3,CG17&lt;13),CG17-3,IF(CG17&lt;4,CG17-3+12))</f>
        <v>1</v>
      </c>
      <c r="CJ17" s="359">
        <f t="shared" ref="CJ17:CJ33" si="30">IF(CI17&lt;CG17,CH17,IF(CI17&gt;CG17,CH17-1))</f>
        <v>2026</v>
      </c>
      <c r="CK17" s="358">
        <f t="shared" ref="CK17:CK33" si="31">IF(CG17&gt;6,CG17-6,IF(CG17=6,12,IF(CG17&lt;6,CG17+6)))</f>
        <v>10</v>
      </c>
      <c r="CL17" s="378">
        <f t="shared" ref="CL17:CL33" si="32">IF(CG17&gt;6,CH17,IF(CG17&lt;7,CH17-1))</f>
        <v>2025</v>
      </c>
      <c r="CM17" s="378" t="str">
        <f t="shared" ref="CM17:CM33" si="33">IF(AND(CF17="Hưu",AM17=3),36+AO17-(12*(CL17-AJ17)+(CK17-AH17)),IF(AND(CF17="Hưu",AM17=2),24+AO17-(12*(CL17-AJ17)+(CK17-AH17)),IF(AND(CF17="Hưu",AM17=1),12+AO17-(12*(CL17-AJ17)+(CK17-AH17)),"- - -")))</f>
        <v>- - -</v>
      </c>
      <c r="CN17" s="378" t="str">
        <f t="shared" ref="CN17:CN33" si="34">IF(CO17&gt;0,"K.Dài",". .")</f>
        <v>. .</v>
      </c>
      <c r="CO17" s="378"/>
      <c r="CP17" s="362">
        <f t="shared" ref="CP17:CP33" si="35">IF(E17="Nam",(60+CO17)*12,IF(E17="Nữ",(55+CO17)*12,))</f>
        <v>660</v>
      </c>
      <c r="CQ17" s="362">
        <f t="shared" ref="CQ17:CQ33" si="36">12*($CF$4-J17)+(12-H17)</f>
        <v>-23643</v>
      </c>
      <c r="CR17" s="378">
        <f t="shared" ref="CR17:CR33" si="37">$CV$4-J17</f>
        <v>-1971</v>
      </c>
      <c r="CS17" s="362" t="str">
        <f t="shared" ref="CS17:CS33" si="38">IF(AND(CR17&lt;35,E17="Nam"),"Nam dưới 35",IF(AND(CR17&lt;30,E17="Nữ"),"Nữ dưới 30",IF(AND(CR17&gt;34,CR17&lt;46,E17="Nam"),"Nam từ 35 - 45",IF(AND(CR17&gt;29,CR17&lt;41,E17="Nữ"),"Nữ từ 30 - 40",IF(AND(CR17&gt;45,CR17&lt;56,E17="Nam"),"Nam trên 45 - 55",IF(AND(CR17&gt;40,CR17&lt;51,E17="Nữ"),"Nữ trên 40 - 50",IF(AND(CR17&gt;55,E17="Nam"),"Nam trên 55","Nữ trên 50")))))))</f>
        <v>Nữ dưới 30</v>
      </c>
      <c r="CV17" s="359" t="str">
        <f t="shared" ref="CV17:CV33" si="39">IF(CR17&lt;31,"Đến 30",IF(AND(CR17&gt;30,CR17&lt;46),"31 - 45",IF(AND(CR17&gt;45,CR17&lt;70),"Trên 45")))</f>
        <v>Đến 30</v>
      </c>
      <c r="CW17" s="359" t="str">
        <f t="shared" ref="CW17:CW33" si="40">IF(CX17&gt;0,"TD","--")</f>
        <v>--</v>
      </c>
      <c r="DH17" s="359" t="s">
        <v>11</v>
      </c>
      <c r="DI17" s="359" t="s">
        <v>12</v>
      </c>
      <c r="DJ17" s="359" t="s">
        <v>11</v>
      </c>
      <c r="DK17" s="359" t="s">
        <v>12</v>
      </c>
      <c r="DL17" s="359" t="s">
        <v>49</v>
      </c>
      <c r="DM17" s="359">
        <f t="shared" ref="DM17:DM33" si="41">(DH17+0)-(DO17+0)</f>
        <v>0</v>
      </c>
      <c r="DN17" s="359" t="str">
        <f t="shared" ref="DN17:DN33" si="42">IF(DM17&gt;0,"Sửa","- - -")</f>
        <v>- - -</v>
      </c>
      <c r="DO17" s="359" t="s">
        <v>11</v>
      </c>
      <c r="DP17" s="359" t="s">
        <v>12</v>
      </c>
      <c r="DQ17" s="359" t="s">
        <v>11</v>
      </c>
      <c r="DR17" s="359" t="s">
        <v>12</v>
      </c>
      <c r="DS17" s="359" t="s">
        <v>49</v>
      </c>
      <c r="DT17" s="359">
        <v>3.66</v>
      </c>
      <c r="DU17" s="359" t="str">
        <f t="shared" ref="DU17:DU33" si="43">IF(AND(AR17&gt;0.34,AB17=1,OR(AQ17=6.2,AQ17=5.75)),((AQ17-DT17)-2*0.34),IF(AND(AR17&gt;0.33,AB17=1,OR(AQ17=4.4,AQ17=4)),((AQ17-DT17)-2*0.33),"- - -"))</f>
        <v>- - -</v>
      </c>
      <c r="DV17" s="359" t="str">
        <f t="shared" ref="DV17:DV33" si="44">IF(CF17="Hưu",12*(CL17-AJ17)+(CK17-AH17),"---")</f>
        <v>---</v>
      </c>
    </row>
    <row r="18" spans="1:126" s="157" customFormat="1" ht="25.5" customHeight="1" x14ac:dyDescent="0.25">
      <c r="A18" s="154">
        <v>89</v>
      </c>
      <c r="B18" s="335">
        <v>2</v>
      </c>
      <c r="C18" s="154" t="str">
        <f t="shared" si="0"/>
        <v>Bà</v>
      </c>
      <c r="D18" s="338" t="s">
        <v>143</v>
      </c>
      <c r="E18" s="154" t="s">
        <v>35</v>
      </c>
      <c r="F18" s="339" t="s">
        <v>50</v>
      </c>
      <c r="G18" s="339" t="s">
        <v>12</v>
      </c>
      <c r="H18" s="339" t="s">
        <v>44</v>
      </c>
      <c r="I18" s="339" t="s">
        <v>12</v>
      </c>
      <c r="J18" s="154">
        <v>1969</v>
      </c>
      <c r="K18" s="154"/>
      <c r="L18" s="154"/>
      <c r="M18" s="158" t="e">
        <f>VLOOKUP(L18,'[1]- DLiêu Gốc -'!$B$2:$G$121,2,0)</f>
        <v>#N/A</v>
      </c>
      <c r="N18" s="382"/>
      <c r="O18" s="383" t="s">
        <v>48</v>
      </c>
      <c r="P18" s="186" t="str">
        <f>VLOOKUP(U18,'[1]- DLiêu Gốc -'!$B$2:$G$56,5,0)</f>
        <v>A1</v>
      </c>
      <c r="Q18" s="186" t="str">
        <f>VLOOKUP(U18,'[1]- DLiêu Gốc -'!$B$2:$G$56,6,0)</f>
        <v>- - -</v>
      </c>
      <c r="R18" s="154" t="s">
        <v>37</v>
      </c>
      <c r="S18" s="340" t="str">
        <f t="shared" si="1"/>
        <v>Giảng viên (hạng III)</v>
      </c>
      <c r="T18" s="341" t="str">
        <f t="shared" si="2"/>
        <v>V.07.01.03</v>
      </c>
      <c r="U18" s="203" t="s">
        <v>38</v>
      </c>
      <c r="V18" s="156" t="str">
        <f>VLOOKUP(U18,'[1]- DLiêu Gốc -'!$B$1:$G$121,2,0)</f>
        <v>V.07.01.03</v>
      </c>
      <c r="W18" s="336" t="str">
        <f t="shared" si="3"/>
        <v>Lương</v>
      </c>
      <c r="X18" s="336">
        <v>6</v>
      </c>
      <c r="Y18" s="336" t="str">
        <f t="shared" si="4"/>
        <v>/</v>
      </c>
      <c r="Z18" s="336">
        <f t="shared" si="5"/>
        <v>9</v>
      </c>
      <c r="AA18" s="336">
        <f t="shared" si="6"/>
        <v>3.99</v>
      </c>
      <c r="AB18" s="336">
        <f t="shared" si="7"/>
        <v>7</v>
      </c>
      <c r="AC18" s="336" t="str">
        <f t="shared" si="8"/>
        <v>/</v>
      </c>
      <c r="AD18" s="336">
        <f t="shared" si="9"/>
        <v>9</v>
      </c>
      <c r="AE18" s="336">
        <f t="shared" si="10"/>
        <v>4.32</v>
      </c>
      <c r="AF18" s="336" t="s">
        <v>11</v>
      </c>
      <c r="AG18" s="336" t="s">
        <v>12</v>
      </c>
      <c r="AH18" s="336" t="s">
        <v>51</v>
      </c>
      <c r="AI18" s="336" t="s">
        <v>12</v>
      </c>
      <c r="AJ18" s="336">
        <v>2012</v>
      </c>
      <c r="AK18" s="162"/>
      <c r="AL18" s="156"/>
      <c r="AM18" s="336">
        <f t="shared" si="11"/>
        <v>3</v>
      </c>
      <c r="AN18" s="336">
        <f t="shared" si="12"/>
        <v>-24156</v>
      </c>
      <c r="AO18" s="203"/>
      <c r="AP18" s="203"/>
      <c r="AQ18" s="336">
        <f>VLOOKUP(U18,'[1]- DLiêu Gốc -'!$B$1:$E$56,3,0)</f>
        <v>2.34</v>
      </c>
      <c r="AR18" s="336">
        <f>VLOOKUP(U18,'[1]- DLiêu Gốc -'!$B$1:$E$56,4,0)</f>
        <v>0.33</v>
      </c>
      <c r="AT18" s="336" t="str">
        <f t="shared" si="13"/>
        <v>PCTN</v>
      </c>
      <c r="AU18" s="342">
        <v>19</v>
      </c>
      <c r="AV18" s="343" t="s">
        <v>41</v>
      </c>
      <c r="AW18" s="342">
        <f t="shared" si="14"/>
        <v>20</v>
      </c>
      <c r="AX18" s="344" t="s">
        <v>41</v>
      </c>
      <c r="AY18" s="345">
        <v>3</v>
      </c>
      <c r="AZ18" s="191" t="s">
        <v>12</v>
      </c>
      <c r="BA18" s="346">
        <v>2015</v>
      </c>
      <c r="BB18" s="315"/>
      <c r="BC18" s="315"/>
      <c r="BD18" s="203"/>
      <c r="BE18" s="315">
        <v>3</v>
      </c>
      <c r="BF18" s="203">
        <f t="shared" si="15"/>
        <v>-24183</v>
      </c>
      <c r="BG18" s="155" t="str">
        <f t="shared" si="16"/>
        <v>- - -</v>
      </c>
      <c r="BH18" s="315" t="str">
        <f t="shared" si="17"/>
        <v>CC,VC</v>
      </c>
      <c r="BI18" s="154"/>
      <c r="BJ18" s="270"/>
      <c r="BK18" s="270" t="s">
        <v>10</v>
      </c>
      <c r="BL18" s="276" t="str">
        <f t="shared" si="18"/>
        <v>A</v>
      </c>
      <c r="BM18" s="274" t="str">
        <f t="shared" si="19"/>
        <v>=&gt; s</v>
      </c>
      <c r="BN18" s="276">
        <f t="shared" si="20"/>
        <v>24180</v>
      </c>
      <c r="BO18" s="270" t="str">
        <f t="shared" si="21"/>
        <v>---</v>
      </c>
      <c r="BP18" s="276"/>
      <c r="BQ18" s="280"/>
      <c r="BR18" s="280"/>
      <c r="BS18" s="770"/>
      <c r="BT18" s="269" t="str">
        <f t="shared" si="22"/>
        <v>- - -</v>
      </c>
      <c r="BU18" s="269" t="str">
        <f t="shared" si="23"/>
        <v>- - -</v>
      </c>
      <c r="BV18" s="269"/>
      <c r="BW18" s="269"/>
      <c r="BX18" s="269"/>
      <c r="BY18" s="269"/>
      <c r="BZ18" s="280" t="str">
        <f t="shared" si="24"/>
        <v>- - -</v>
      </c>
      <c r="CA18" s="276"/>
      <c r="CB18" s="276"/>
      <c r="CC18" s="282"/>
      <c r="CD18" s="282"/>
      <c r="CE18" s="767" t="str">
        <f t="shared" si="25"/>
        <v>---</v>
      </c>
      <c r="CF18" s="298" t="str">
        <f t="shared" si="26"/>
        <v>/-/ /-/</v>
      </c>
      <c r="CG18" s="298">
        <f t="shared" si="27"/>
        <v>12</v>
      </c>
      <c r="CH18" s="298">
        <f t="shared" si="28"/>
        <v>2024</v>
      </c>
      <c r="CI18" s="157">
        <f t="shared" si="29"/>
        <v>9</v>
      </c>
      <c r="CJ18" s="157">
        <f t="shared" si="30"/>
        <v>2024</v>
      </c>
      <c r="CK18" s="154">
        <f t="shared" si="31"/>
        <v>6</v>
      </c>
      <c r="CL18" s="298">
        <f t="shared" si="32"/>
        <v>2024</v>
      </c>
      <c r="CM18" s="298" t="str">
        <f t="shared" si="33"/>
        <v>- - -</v>
      </c>
      <c r="CN18" s="298" t="str">
        <f t="shared" si="34"/>
        <v>. .</v>
      </c>
      <c r="CO18" s="298"/>
      <c r="CP18" s="158">
        <f t="shared" si="35"/>
        <v>660</v>
      </c>
      <c r="CQ18" s="158">
        <f t="shared" si="36"/>
        <v>-23627</v>
      </c>
      <c r="CR18" s="298">
        <f t="shared" si="37"/>
        <v>-1969</v>
      </c>
      <c r="CS18" s="158" t="str">
        <f t="shared" si="38"/>
        <v>Nữ dưới 30</v>
      </c>
      <c r="CV18" s="157" t="str">
        <f t="shared" si="39"/>
        <v>Đến 30</v>
      </c>
      <c r="CW18" s="157" t="str">
        <f t="shared" si="40"/>
        <v>--</v>
      </c>
      <c r="DH18" s="157" t="s">
        <v>11</v>
      </c>
      <c r="DI18" s="157" t="s">
        <v>12</v>
      </c>
      <c r="DJ18" s="157" t="s">
        <v>51</v>
      </c>
      <c r="DK18" s="157" t="s">
        <v>12</v>
      </c>
      <c r="DL18" s="157">
        <v>2012</v>
      </c>
      <c r="DM18" s="157">
        <f t="shared" si="41"/>
        <v>0</v>
      </c>
      <c r="DN18" s="157" t="str">
        <f t="shared" si="42"/>
        <v>- - -</v>
      </c>
      <c r="DO18" s="157" t="s">
        <v>11</v>
      </c>
      <c r="DP18" s="157" t="s">
        <v>12</v>
      </c>
      <c r="DQ18" s="157" t="s">
        <v>51</v>
      </c>
      <c r="DR18" s="157" t="s">
        <v>12</v>
      </c>
      <c r="DS18" s="157">
        <v>2012</v>
      </c>
      <c r="DU18" s="157" t="str">
        <f t="shared" si="43"/>
        <v>- - -</v>
      </c>
      <c r="DV18" s="157" t="str">
        <f t="shared" si="44"/>
        <v>---</v>
      </c>
    </row>
    <row r="19" spans="1:126" s="359" customFormat="1" ht="24" customHeight="1" x14ac:dyDescent="0.25">
      <c r="A19" s="358">
        <v>142</v>
      </c>
      <c r="B19" s="359">
        <v>3</v>
      </c>
      <c r="C19" s="358" t="str">
        <f t="shared" si="0"/>
        <v>Ông</v>
      </c>
      <c r="D19" s="360" t="s">
        <v>144</v>
      </c>
      <c r="E19" s="358" t="s">
        <v>43</v>
      </c>
      <c r="F19" s="361" t="s">
        <v>127</v>
      </c>
      <c r="G19" s="361" t="s">
        <v>12</v>
      </c>
      <c r="H19" s="361" t="s">
        <v>133</v>
      </c>
      <c r="I19" s="361" t="s">
        <v>12</v>
      </c>
      <c r="J19" s="358" t="s">
        <v>123</v>
      </c>
      <c r="K19" s="358" t="str">
        <f>IF(AND((M19+0)&gt;0.3,(M19+0)&lt;1.5),"CVụ","- -")</f>
        <v>CVụ</v>
      </c>
      <c r="L19" s="358" t="s">
        <v>145</v>
      </c>
      <c r="M19" s="362" t="str">
        <f>VLOOKUP(L19,'[1]- DLiêu Gốc -'!$B$2:$G$121,2,0)</f>
        <v>0,8</v>
      </c>
      <c r="N19" s="363"/>
      <c r="O19" s="364" t="s">
        <v>55</v>
      </c>
      <c r="P19" s="365" t="str">
        <f>VLOOKUP(U19,'[1]- DLiêu Gốc -'!$B$2:$G$56,5,0)</f>
        <v>A2</v>
      </c>
      <c r="Q19" s="365" t="str">
        <f>VLOOKUP(U19,'[1]- DLiêu Gốc -'!$B$2:$G$56,6,0)</f>
        <v>A2.1</v>
      </c>
      <c r="R19" s="358" t="s">
        <v>37</v>
      </c>
      <c r="S19" s="366" t="str">
        <f t="shared" si="1"/>
        <v>Giảng viên chính (hạng II)</v>
      </c>
      <c r="T19" s="367" t="str">
        <f t="shared" si="2"/>
        <v>V.07.01.02</v>
      </c>
      <c r="U19" s="368" t="s">
        <v>59</v>
      </c>
      <c r="V19" s="369" t="str">
        <f>VLOOKUP(U19,'[1]- DLiêu Gốc -'!$B$1:$G$121,2,0)</f>
        <v>V.07.01.02</v>
      </c>
      <c r="W19" s="370" t="str">
        <f t="shared" si="3"/>
        <v>Lương</v>
      </c>
      <c r="X19" s="370">
        <v>2</v>
      </c>
      <c r="Y19" s="370" t="str">
        <f t="shared" si="4"/>
        <v>/</v>
      </c>
      <c r="Z19" s="370">
        <f t="shared" si="5"/>
        <v>8</v>
      </c>
      <c r="AA19" s="370">
        <f t="shared" si="6"/>
        <v>4.74</v>
      </c>
      <c r="AB19" s="370">
        <f t="shared" si="7"/>
        <v>3</v>
      </c>
      <c r="AC19" s="370" t="str">
        <f t="shared" si="8"/>
        <v>/</v>
      </c>
      <c r="AD19" s="370">
        <f t="shared" si="9"/>
        <v>8</v>
      </c>
      <c r="AE19" s="370">
        <f t="shared" si="10"/>
        <v>5.08</v>
      </c>
      <c r="AF19" s="370" t="s">
        <v>11</v>
      </c>
      <c r="AG19" s="370" t="s">
        <v>12</v>
      </c>
      <c r="AH19" s="370">
        <v>3</v>
      </c>
      <c r="AI19" s="370" t="s">
        <v>12</v>
      </c>
      <c r="AJ19" s="370">
        <v>2013</v>
      </c>
      <c r="AK19" s="371" t="s">
        <v>146</v>
      </c>
      <c r="AL19" s="369"/>
      <c r="AM19" s="370">
        <f t="shared" si="11"/>
        <v>3</v>
      </c>
      <c r="AN19" s="370">
        <f t="shared" si="12"/>
        <v>-24159</v>
      </c>
      <c r="AO19" s="368"/>
      <c r="AP19" s="368"/>
      <c r="AQ19" s="370">
        <f>VLOOKUP(U19,'[1]- DLiêu Gốc -'!$B$1:$E$56,3,0)</f>
        <v>4.4000000000000004</v>
      </c>
      <c r="AR19" s="370">
        <f>VLOOKUP(U19,'[1]- DLiêu Gốc -'!$B$1:$E$56,4,0)</f>
        <v>0.34</v>
      </c>
      <c r="AT19" s="370" t="str">
        <f t="shared" si="13"/>
        <v>PCTN</v>
      </c>
      <c r="AU19" s="372">
        <v>13</v>
      </c>
      <c r="AV19" s="373" t="s">
        <v>41</v>
      </c>
      <c r="AW19" s="372">
        <f t="shared" si="14"/>
        <v>14</v>
      </c>
      <c r="AX19" s="374" t="s">
        <v>41</v>
      </c>
      <c r="AY19" s="375" t="s">
        <v>133</v>
      </c>
      <c r="AZ19" s="376" t="s">
        <v>12</v>
      </c>
      <c r="BA19" s="377">
        <v>2015</v>
      </c>
      <c r="BB19" s="769"/>
      <c r="BC19" s="769"/>
      <c r="BD19" s="368"/>
      <c r="BE19" s="769">
        <v>3</v>
      </c>
      <c r="BF19" s="368">
        <f t="shared" si="15"/>
        <v>-24183</v>
      </c>
      <c r="BG19" s="379" t="str">
        <f t="shared" si="16"/>
        <v>- - -</v>
      </c>
      <c r="BH19" s="769" t="str">
        <f t="shared" si="17"/>
        <v>CC,VC</v>
      </c>
      <c r="BI19" s="358"/>
      <c r="BJ19" s="270"/>
      <c r="BK19" s="270" t="s">
        <v>10</v>
      </c>
      <c r="BL19" s="276" t="str">
        <f t="shared" si="18"/>
        <v>A</v>
      </c>
      <c r="BM19" s="274" t="str">
        <f t="shared" si="19"/>
        <v>=&gt; s</v>
      </c>
      <c r="BN19" s="276">
        <f t="shared" si="20"/>
        <v>24183</v>
      </c>
      <c r="BO19" s="270" t="str">
        <f t="shared" si="21"/>
        <v>S</v>
      </c>
      <c r="BP19" s="276">
        <v>2013</v>
      </c>
      <c r="BQ19" s="280" t="s">
        <v>60</v>
      </c>
      <c r="BR19" s="280"/>
      <c r="BS19" s="770"/>
      <c r="BT19" s="269" t="str">
        <f t="shared" si="22"/>
        <v>Cùg Ng</v>
      </c>
      <c r="BU19" s="269" t="str">
        <f t="shared" si="23"/>
        <v>NN</v>
      </c>
      <c r="BV19" s="269">
        <v>1</v>
      </c>
      <c r="BW19" s="269" t="s">
        <v>33</v>
      </c>
      <c r="BX19" s="269"/>
      <c r="BY19" s="269"/>
      <c r="BZ19" s="280" t="str">
        <f t="shared" si="24"/>
        <v>- - -</v>
      </c>
      <c r="CA19" s="276"/>
      <c r="CB19" s="276"/>
      <c r="CC19" s="282"/>
      <c r="CD19" s="282"/>
      <c r="CE19" s="766" t="str">
        <f t="shared" si="25"/>
        <v>---</v>
      </c>
      <c r="CF19" s="378" t="str">
        <f t="shared" si="26"/>
        <v>/-/ /-/</v>
      </c>
      <c r="CG19" s="378">
        <f t="shared" si="27"/>
        <v>4</v>
      </c>
      <c r="CH19" s="378">
        <f t="shared" si="28"/>
        <v>2029</v>
      </c>
      <c r="CI19" s="359">
        <f t="shared" si="29"/>
        <v>1</v>
      </c>
      <c r="CJ19" s="359">
        <f t="shared" si="30"/>
        <v>2029</v>
      </c>
      <c r="CK19" s="358">
        <f t="shared" si="31"/>
        <v>10</v>
      </c>
      <c r="CL19" s="378">
        <f t="shared" si="32"/>
        <v>2028</v>
      </c>
      <c r="CM19" s="378" t="str">
        <f t="shared" si="33"/>
        <v>- - -</v>
      </c>
      <c r="CN19" s="378" t="str">
        <f t="shared" si="34"/>
        <v>. .</v>
      </c>
      <c r="CO19" s="378"/>
      <c r="CP19" s="362">
        <f t="shared" si="35"/>
        <v>720</v>
      </c>
      <c r="CQ19" s="362">
        <f t="shared" si="36"/>
        <v>-23619</v>
      </c>
      <c r="CR19" s="378">
        <f t="shared" si="37"/>
        <v>-1969</v>
      </c>
      <c r="CS19" s="362" t="str">
        <f t="shared" si="38"/>
        <v>Nam dưới 35</v>
      </c>
      <c r="CV19" s="359" t="str">
        <f t="shared" si="39"/>
        <v>Đến 30</v>
      </c>
      <c r="CW19" s="359" t="str">
        <f t="shared" si="40"/>
        <v>--</v>
      </c>
      <c r="DH19" s="359" t="s">
        <v>11</v>
      </c>
      <c r="DI19" s="359" t="s">
        <v>12</v>
      </c>
      <c r="DJ19" s="359">
        <v>3</v>
      </c>
      <c r="DK19" s="359" t="s">
        <v>12</v>
      </c>
      <c r="DL19" s="359">
        <v>2013</v>
      </c>
      <c r="DM19" s="359">
        <f t="shared" si="41"/>
        <v>0</v>
      </c>
      <c r="DN19" s="359" t="str">
        <f t="shared" si="42"/>
        <v>- - -</v>
      </c>
      <c r="DO19" s="359" t="s">
        <v>11</v>
      </c>
      <c r="DP19" s="359" t="s">
        <v>12</v>
      </c>
      <c r="DQ19" s="359">
        <v>3</v>
      </c>
      <c r="DR19" s="359" t="s">
        <v>12</v>
      </c>
      <c r="DS19" s="359">
        <v>2013</v>
      </c>
      <c r="DT19" s="359">
        <v>3.66</v>
      </c>
      <c r="DU19" s="359" t="str">
        <f t="shared" si="43"/>
        <v>- - -</v>
      </c>
      <c r="DV19" s="359" t="str">
        <f t="shared" si="44"/>
        <v>---</v>
      </c>
    </row>
    <row r="20" spans="1:126" s="157" customFormat="1" ht="23.25" customHeight="1" x14ac:dyDescent="0.25">
      <c r="A20" s="154">
        <v>155</v>
      </c>
      <c r="B20" s="335">
        <v>4</v>
      </c>
      <c r="C20" s="154" t="str">
        <f t="shared" si="0"/>
        <v>Bà</v>
      </c>
      <c r="D20" s="338" t="s">
        <v>147</v>
      </c>
      <c r="E20" s="154" t="s">
        <v>35</v>
      </c>
      <c r="F20" s="339" t="s">
        <v>54</v>
      </c>
      <c r="G20" s="339" t="s">
        <v>12</v>
      </c>
      <c r="H20" s="339" t="s">
        <v>138</v>
      </c>
      <c r="I20" s="339" t="s">
        <v>12</v>
      </c>
      <c r="J20" s="154" t="s">
        <v>148</v>
      </c>
      <c r="K20" s="154" t="str">
        <f>IF(AND((M20+0)&gt;0.3,(M20+0)&lt;1.5),"CVụ","- -")</f>
        <v>CVụ</v>
      </c>
      <c r="L20" s="154" t="s">
        <v>70</v>
      </c>
      <c r="M20" s="158" t="str">
        <f>VLOOKUP(L20,'[1]- DLiêu Gốc -'!$B$2:$G$121,2,0)</f>
        <v>0,4</v>
      </c>
      <c r="N20" s="384" t="s">
        <v>31</v>
      </c>
      <c r="O20" s="383" t="s">
        <v>55</v>
      </c>
      <c r="P20" s="186" t="str">
        <f>VLOOKUP(U20,'[1]- DLiêu Gốc -'!$B$2:$G$56,5,0)</f>
        <v>A2</v>
      </c>
      <c r="Q20" s="186" t="str">
        <f>VLOOKUP(U20,'[1]- DLiêu Gốc -'!$B$2:$G$56,6,0)</f>
        <v>A2.1</v>
      </c>
      <c r="R20" s="154" t="s">
        <v>37</v>
      </c>
      <c r="S20" s="340" t="str">
        <f t="shared" si="1"/>
        <v>Giảng viên chính (hạng II)</v>
      </c>
      <c r="T20" s="341" t="str">
        <f t="shared" si="2"/>
        <v>V.07.01.02</v>
      </c>
      <c r="U20" s="203" t="s">
        <v>59</v>
      </c>
      <c r="V20" s="156" t="str">
        <f>VLOOKUP(U20,'[1]- DLiêu Gốc -'!$B$1:$G$121,2,0)</f>
        <v>V.07.01.02</v>
      </c>
      <c r="W20" s="336" t="str">
        <f t="shared" si="3"/>
        <v>Lương</v>
      </c>
      <c r="X20" s="336">
        <v>1</v>
      </c>
      <c r="Y20" s="336" t="str">
        <f t="shared" si="4"/>
        <v>/</v>
      </c>
      <c r="Z20" s="336">
        <f t="shared" si="5"/>
        <v>8</v>
      </c>
      <c r="AA20" s="336">
        <f t="shared" si="6"/>
        <v>4.4000000000000004</v>
      </c>
      <c r="AB20" s="336">
        <f t="shared" si="7"/>
        <v>2</v>
      </c>
      <c r="AC20" s="336" t="str">
        <f t="shared" si="8"/>
        <v>/</v>
      </c>
      <c r="AD20" s="336">
        <f t="shared" si="9"/>
        <v>8</v>
      </c>
      <c r="AE20" s="336">
        <f t="shared" si="10"/>
        <v>4.74</v>
      </c>
      <c r="AF20" s="336" t="s">
        <v>11</v>
      </c>
      <c r="AG20" s="336" t="s">
        <v>12</v>
      </c>
      <c r="AH20" s="336" t="s">
        <v>11</v>
      </c>
      <c r="AI20" s="336" t="s">
        <v>12</v>
      </c>
      <c r="AJ20" s="336" t="s">
        <v>49</v>
      </c>
      <c r="AK20" s="162"/>
      <c r="AL20" s="156"/>
      <c r="AM20" s="336">
        <f t="shared" si="11"/>
        <v>3</v>
      </c>
      <c r="AN20" s="336">
        <f t="shared" si="12"/>
        <v>-24145</v>
      </c>
      <c r="AO20" s="203"/>
      <c r="AP20" s="203"/>
      <c r="AQ20" s="336">
        <f>VLOOKUP(U20,'[1]- DLiêu Gốc -'!$B$1:$E$56,3,0)</f>
        <v>4.4000000000000004</v>
      </c>
      <c r="AR20" s="336">
        <f>VLOOKUP(U20,'[1]- DLiêu Gốc -'!$B$1:$E$56,4,0)</f>
        <v>0.34</v>
      </c>
      <c r="AT20" s="336" t="str">
        <f t="shared" si="13"/>
        <v>PCTN</v>
      </c>
      <c r="AU20" s="342">
        <v>9</v>
      </c>
      <c r="AV20" s="343" t="s">
        <v>41</v>
      </c>
      <c r="AW20" s="342">
        <f t="shared" si="14"/>
        <v>10</v>
      </c>
      <c r="AX20" s="344" t="s">
        <v>41</v>
      </c>
      <c r="AY20" s="345">
        <v>3</v>
      </c>
      <c r="AZ20" s="191" t="s">
        <v>12</v>
      </c>
      <c r="BA20" s="346">
        <v>2015</v>
      </c>
      <c r="BB20" s="315"/>
      <c r="BC20" s="315"/>
      <c r="BD20" s="203"/>
      <c r="BE20" s="315">
        <v>3</v>
      </c>
      <c r="BF20" s="203">
        <f t="shared" si="15"/>
        <v>-24183</v>
      </c>
      <c r="BG20" s="155" t="str">
        <f t="shared" si="16"/>
        <v>- - -</v>
      </c>
      <c r="BH20" s="315" t="str">
        <f t="shared" si="17"/>
        <v>CC,VC</v>
      </c>
      <c r="BI20" s="154"/>
      <c r="BJ20" s="270"/>
      <c r="BK20" s="270" t="s">
        <v>10</v>
      </c>
      <c r="BL20" s="276" t="str">
        <f t="shared" si="18"/>
        <v>A</v>
      </c>
      <c r="BM20" s="274" t="str">
        <f t="shared" si="19"/>
        <v>=&gt; s</v>
      </c>
      <c r="BN20" s="276">
        <f t="shared" si="20"/>
        <v>24169</v>
      </c>
      <c r="BO20" s="270" t="str">
        <f t="shared" si="21"/>
        <v>---</v>
      </c>
      <c r="BP20" s="276"/>
      <c r="BQ20" s="280"/>
      <c r="BR20" s="280"/>
      <c r="BS20" s="770"/>
      <c r="BT20" s="269" t="str">
        <f t="shared" si="22"/>
        <v>- - -</v>
      </c>
      <c r="BU20" s="269" t="str">
        <f t="shared" si="23"/>
        <v>NN</v>
      </c>
      <c r="BV20" s="269">
        <v>1</v>
      </c>
      <c r="BW20" s="269">
        <v>2009</v>
      </c>
      <c r="BX20" s="269"/>
      <c r="BY20" s="269"/>
      <c r="BZ20" s="280" t="str">
        <f t="shared" si="24"/>
        <v>- - -</v>
      </c>
      <c r="CA20" s="276"/>
      <c r="CB20" s="276"/>
      <c r="CC20" s="282"/>
      <c r="CD20" s="282"/>
      <c r="CE20" s="767" t="str">
        <f t="shared" si="25"/>
        <v>---</v>
      </c>
      <c r="CF20" s="298" t="str">
        <f t="shared" si="26"/>
        <v>/-/ /-/</v>
      </c>
      <c r="CG20" s="298">
        <f t="shared" si="27"/>
        <v>6</v>
      </c>
      <c r="CH20" s="298">
        <f t="shared" si="28"/>
        <v>2025</v>
      </c>
      <c r="CI20" s="157">
        <f t="shared" si="29"/>
        <v>3</v>
      </c>
      <c r="CJ20" s="157">
        <f t="shared" si="30"/>
        <v>2025</v>
      </c>
      <c r="CK20" s="154">
        <f t="shared" si="31"/>
        <v>12</v>
      </c>
      <c r="CL20" s="298">
        <f t="shared" si="32"/>
        <v>2024</v>
      </c>
      <c r="CM20" s="298" t="str">
        <f t="shared" si="33"/>
        <v>- - -</v>
      </c>
      <c r="CN20" s="298" t="str">
        <f t="shared" si="34"/>
        <v>. .</v>
      </c>
      <c r="CO20" s="298"/>
      <c r="CP20" s="158">
        <f t="shared" si="35"/>
        <v>660</v>
      </c>
      <c r="CQ20" s="158">
        <f t="shared" si="36"/>
        <v>-23633</v>
      </c>
      <c r="CR20" s="298">
        <f t="shared" si="37"/>
        <v>-1970</v>
      </c>
      <c r="CS20" s="158" t="str">
        <f t="shared" si="38"/>
        <v>Nữ dưới 30</v>
      </c>
      <c r="CV20" s="157" t="str">
        <f t="shared" si="39"/>
        <v>Đến 30</v>
      </c>
      <c r="CW20" s="157" t="str">
        <f t="shared" si="40"/>
        <v>--</v>
      </c>
      <c r="DG20" s="157" t="s">
        <v>31</v>
      </c>
      <c r="DH20" s="157" t="s">
        <v>11</v>
      </c>
      <c r="DI20" s="157" t="s">
        <v>12</v>
      </c>
      <c r="DJ20" s="157" t="s">
        <v>11</v>
      </c>
      <c r="DK20" s="157" t="s">
        <v>12</v>
      </c>
      <c r="DL20" s="157" t="s">
        <v>49</v>
      </c>
      <c r="DM20" s="157">
        <f t="shared" si="41"/>
        <v>0</v>
      </c>
      <c r="DN20" s="157" t="str">
        <f t="shared" si="42"/>
        <v>- - -</v>
      </c>
      <c r="DO20" s="157" t="s">
        <v>11</v>
      </c>
      <c r="DP20" s="157" t="s">
        <v>12</v>
      </c>
      <c r="DQ20" s="157" t="s">
        <v>11</v>
      </c>
      <c r="DR20" s="157" t="s">
        <v>12</v>
      </c>
      <c r="DS20" s="157" t="s">
        <v>49</v>
      </c>
      <c r="DT20" s="157">
        <v>3.99</v>
      </c>
      <c r="DU20" s="157" t="str">
        <f t="shared" si="43"/>
        <v>- - -</v>
      </c>
      <c r="DV20" s="157" t="str">
        <f t="shared" si="44"/>
        <v>---</v>
      </c>
    </row>
    <row r="21" spans="1:126" s="359" customFormat="1" ht="24.75" customHeight="1" x14ac:dyDescent="0.25">
      <c r="A21" s="358">
        <v>163</v>
      </c>
      <c r="B21" s="359">
        <v>5</v>
      </c>
      <c r="C21" s="358" t="str">
        <f t="shared" si="0"/>
        <v>Bà</v>
      </c>
      <c r="D21" s="360" t="s">
        <v>149</v>
      </c>
      <c r="E21" s="358" t="s">
        <v>35</v>
      </c>
      <c r="F21" s="361" t="s">
        <v>150</v>
      </c>
      <c r="G21" s="361" t="s">
        <v>12</v>
      </c>
      <c r="H21" s="361">
        <v>8</v>
      </c>
      <c r="I21" s="361" t="s">
        <v>12</v>
      </c>
      <c r="J21" s="358">
        <v>1967</v>
      </c>
      <c r="K21" s="358"/>
      <c r="L21" s="358"/>
      <c r="M21" s="362" t="e">
        <f>VLOOKUP(L21,'[1]- DLiêu Gốc -'!$B$2:$G$121,2,0)</f>
        <v>#N/A</v>
      </c>
      <c r="N21" s="385" t="s">
        <v>151</v>
      </c>
      <c r="O21" s="364" t="s">
        <v>55</v>
      </c>
      <c r="P21" s="365" t="str">
        <f>VLOOKUP(U21,'[1]- DLiêu Gốc -'!$B$2:$G$56,5,0)</f>
        <v>A1</v>
      </c>
      <c r="Q21" s="365" t="str">
        <f>VLOOKUP(U21,'[1]- DLiêu Gốc -'!$B$2:$G$56,6,0)</f>
        <v>- - -</v>
      </c>
      <c r="R21" s="358" t="s">
        <v>37</v>
      </c>
      <c r="S21" s="366" t="str">
        <f t="shared" si="1"/>
        <v>Giảng viên (hạng III)</v>
      </c>
      <c r="T21" s="367" t="str">
        <f t="shared" si="2"/>
        <v>V.07.01.03</v>
      </c>
      <c r="U21" s="368" t="s">
        <v>38</v>
      </c>
      <c r="V21" s="369" t="str">
        <f>VLOOKUP(U21,'[1]- DLiêu Gốc -'!$B$1:$G$121,2,0)</f>
        <v>V.07.01.03</v>
      </c>
      <c r="W21" s="370" t="str">
        <f t="shared" si="3"/>
        <v>Lương</v>
      </c>
      <c r="X21" s="370">
        <v>5</v>
      </c>
      <c r="Y21" s="370" t="str">
        <f t="shared" si="4"/>
        <v>/</v>
      </c>
      <c r="Z21" s="370">
        <f t="shared" si="5"/>
        <v>9</v>
      </c>
      <c r="AA21" s="370">
        <f t="shared" si="6"/>
        <v>3.66</v>
      </c>
      <c r="AB21" s="370">
        <f t="shared" si="7"/>
        <v>6</v>
      </c>
      <c r="AC21" s="370" t="str">
        <f t="shared" si="8"/>
        <v>/</v>
      </c>
      <c r="AD21" s="370">
        <f t="shared" si="9"/>
        <v>9</v>
      </c>
      <c r="AE21" s="370">
        <f t="shared" si="10"/>
        <v>3.99</v>
      </c>
      <c r="AF21" s="370" t="s">
        <v>11</v>
      </c>
      <c r="AG21" s="370" t="s">
        <v>12</v>
      </c>
      <c r="AH21" s="370">
        <v>3</v>
      </c>
      <c r="AI21" s="370" t="s">
        <v>12</v>
      </c>
      <c r="AJ21" s="370">
        <v>2014</v>
      </c>
      <c r="AK21" s="371"/>
      <c r="AL21" s="369"/>
      <c r="AM21" s="370">
        <f t="shared" si="11"/>
        <v>3</v>
      </c>
      <c r="AN21" s="370">
        <f t="shared" si="12"/>
        <v>-24171</v>
      </c>
      <c r="AO21" s="368"/>
      <c r="AP21" s="368"/>
      <c r="AQ21" s="370">
        <f>VLOOKUP(U21,'[1]- DLiêu Gốc -'!$B$1:$E$56,3,0)</f>
        <v>2.34</v>
      </c>
      <c r="AR21" s="370">
        <f>VLOOKUP(U21,'[1]- DLiêu Gốc -'!$B$1:$E$56,4,0)</f>
        <v>0.33</v>
      </c>
      <c r="AT21" s="370" t="str">
        <f t="shared" si="13"/>
        <v>PCTN</v>
      </c>
      <c r="AU21" s="372">
        <v>5</v>
      </c>
      <c r="AV21" s="373" t="s">
        <v>41</v>
      </c>
      <c r="AW21" s="372">
        <f t="shared" si="14"/>
        <v>6</v>
      </c>
      <c r="AX21" s="374" t="s">
        <v>41</v>
      </c>
      <c r="AY21" s="375" t="s">
        <v>133</v>
      </c>
      <c r="AZ21" s="376" t="s">
        <v>12</v>
      </c>
      <c r="BA21" s="377">
        <v>2015</v>
      </c>
      <c r="BB21" s="769"/>
      <c r="BC21" s="769"/>
      <c r="BD21" s="368"/>
      <c r="BE21" s="769">
        <v>3</v>
      </c>
      <c r="BF21" s="368">
        <f t="shared" si="15"/>
        <v>-24183</v>
      </c>
      <c r="BG21" s="379" t="str">
        <f t="shared" si="16"/>
        <v>- - -</v>
      </c>
      <c r="BH21" s="769" t="str">
        <f t="shared" si="17"/>
        <v>CC,VC</v>
      </c>
      <c r="BI21" s="358"/>
      <c r="BJ21" s="270"/>
      <c r="BK21" s="270" t="s">
        <v>10</v>
      </c>
      <c r="BL21" s="276" t="str">
        <f t="shared" si="18"/>
        <v>A</v>
      </c>
      <c r="BM21" s="274" t="str">
        <f t="shared" si="19"/>
        <v>=&gt; s</v>
      </c>
      <c r="BN21" s="276">
        <f t="shared" si="20"/>
        <v>24195</v>
      </c>
      <c r="BO21" s="270" t="str">
        <f t="shared" si="21"/>
        <v>S</v>
      </c>
      <c r="BP21" s="276">
        <v>2013</v>
      </c>
      <c r="BQ21" s="280" t="s">
        <v>39</v>
      </c>
      <c r="BR21" s="280"/>
      <c r="BS21" s="770"/>
      <c r="BT21" s="269" t="str">
        <f t="shared" si="22"/>
        <v>Cùg Ng</v>
      </c>
      <c r="BU21" s="269" t="str">
        <f t="shared" si="23"/>
        <v>- - -</v>
      </c>
      <c r="BV21" s="269"/>
      <c r="BW21" s="269"/>
      <c r="BX21" s="269"/>
      <c r="BY21" s="269"/>
      <c r="BZ21" s="280" t="str">
        <f t="shared" si="24"/>
        <v>- - -</v>
      </c>
      <c r="CA21" s="276"/>
      <c r="CB21" s="276"/>
      <c r="CC21" s="282"/>
      <c r="CD21" s="282"/>
      <c r="CE21" s="766" t="str">
        <f t="shared" si="25"/>
        <v>---</v>
      </c>
      <c r="CF21" s="378" t="str">
        <f t="shared" si="26"/>
        <v>/-/ /-/</v>
      </c>
      <c r="CG21" s="378">
        <f t="shared" si="27"/>
        <v>9</v>
      </c>
      <c r="CH21" s="378">
        <f t="shared" si="28"/>
        <v>2022</v>
      </c>
      <c r="CI21" s="359">
        <f t="shared" si="29"/>
        <v>6</v>
      </c>
      <c r="CJ21" s="359">
        <f t="shared" si="30"/>
        <v>2022</v>
      </c>
      <c r="CK21" s="358">
        <f t="shared" si="31"/>
        <v>3</v>
      </c>
      <c r="CL21" s="378">
        <f t="shared" si="32"/>
        <v>2022</v>
      </c>
      <c r="CM21" s="378" t="str">
        <f t="shared" si="33"/>
        <v>- - -</v>
      </c>
      <c r="CN21" s="378" t="str">
        <f t="shared" si="34"/>
        <v>. .</v>
      </c>
      <c r="CO21" s="378"/>
      <c r="CP21" s="362">
        <f t="shared" si="35"/>
        <v>660</v>
      </c>
      <c r="CQ21" s="362">
        <f t="shared" si="36"/>
        <v>-23600</v>
      </c>
      <c r="CR21" s="378">
        <f t="shared" si="37"/>
        <v>-1967</v>
      </c>
      <c r="CS21" s="362" t="str">
        <f t="shared" si="38"/>
        <v>Nữ dưới 30</v>
      </c>
      <c r="CV21" s="359" t="str">
        <f t="shared" si="39"/>
        <v>Đến 30</v>
      </c>
      <c r="CW21" s="359" t="str">
        <f t="shared" si="40"/>
        <v>TD</v>
      </c>
      <c r="CX21" s="359">
        <v>2009</v>
      </c>
      <c r="DG21" s="359" t="s">
        <v>151</v>
      </c>
      <c r="DH21" s="359" t="s">
        <v>11</v>
      </c>
      <c r="DI21" s="359" t="s">
        <v>12</v>
      </c>
      <c r="DJ21" s="359">
        <v>3</v>
      </c>
      <c r="DK21" s="359" t="s">
        <v>12</v>
      </c>
      <c r="DL21" s="359">
        <v>2014</v>
      </c>
      <c r="DM21" s="359">
        <f t="shared" si="41"/>
        <v>0</v>
      </c>
      <c r="DN21" s="359" t="str">
        <f t="shared" si="42"/>
        <v>- - -</v>
      </c>
      <c r="DO21" s="359" t="s">
        <v>11</v>
      </c>
      <c r="DP21" s="359" t="s">
        <v>12</v>
      </c>
      <c r="DQ21" s="359">
        <v>3</v>
      </c>
      <c r="DR21" s="359" t="s">
        <v>12</v>
      </c>
      <c r="DS21" s="359">
        <v>2014</v>
      </c>
      <c r="DU21" s="359" t="str">
        <f t="shared" si="43"/>
        <v>- - -</v>
      </c>
      <c r="DV21" s="359" t="str">
        <f t="shared" si="44"/>
        <v>---</v>
      </c>
    </row>
    <row r="22" spans="1:126" s="157" customFormat="1" ht="27" customHeight="1" x14ac:dyDescent="0.25">
      <c r="A22" s="154">
        <v>175</v>
      </c>
      <c r="B22" s="335">
        <v>6</v>
      </c>
      <c r="C22" s="154" t="str">
        <f t="shared" si="0"/>
        <v>Ông</v>
      </c>
      <c r="D22" s="661" t="s">
        <v>152</v>
      </c>
      <c r="E22" s="733" t="s">
        <v>43</v>
      </c>
      <c r="F22" s="662" t="s">
        <v>126</v>
      </c>
      <c r="G22" s="662" t="s">
        <v>12</v>
      </c>
      <c r="H22" s="662" t="s">
        <v>62</v>
      </c>
      <c r="I22" s="662" t="s">
        <v>12</v>
      </c>
      <c r="J22" s="733">
        <v>1963</v>
      </c>
      <c r="K22" s="733" t="str">
        <f>IF(AND((M22+0)&gt;0.3,(M22+0)&lt;1.5),"CVụ","- -")</f>
        <v>CVụ</v>
      </c>
      <c r="L22" s="733" t="s">
        <v>145</v>
      </c>
      <c r="M22" s="663" t="str">
        <f>VLOOKUP(L22,'[1]- DLiêu Gốc -'!$B$2:$G$121,2,0)</f>
        <v>0,8</v>
      </c>
      <c r="N22" s="664"/>
      <c r="O22" s="665" t="s">
        <v>125</v>
      </c>
      <c r="P22" s="666" t="str">
        <f>VLOOKUP(U22,'[1]- DLiêu Gốc -'!$B$2:$G$56,5,0)</f>
        <v>A2</v>
      </c>
      <c r="Q22" s="666" t="str">
        <f>VLOOKUP(U22,'[1]- DLiêu Gốc -'!$B$2:$G$56,6,0)</f>
        <v>A2.1</v>
      </c>
      <c r="R22" s="733" t="s">
        <v>37</v>
      </c>
      <c r="S22" s="667" t="str">
        <f t="shared" si="1"/>
        <v>Giảng viên chính (hạng II)</v>
      </c>
      <c r="T22" s="668" t="str">
        <f t="shared" si="2"/>
        <v>V.07.01.02</v>
      </c>
      <c r="U22" s="669" t="s">
        <v>59</v>
      </c>
      <c r="V22" s="670" t="str">
        <f>VLOOKUP(U22,'[1]- DLiêu Gốc -'!$B$1:$G$121,2,0)</f>
        <v>V.07.01.02</v>
      </c>
      <c r="W22" s="671" t="str">
        <f t="shared" si="3"/>
        <v>Lương</v>
      </c>
      <c r="X22" s="671">
        <v>3</v>
      </c>
      <c r="Y22" s="671" t="str">
        <f t="shared" si="4"/>
        <v>/</v>
      </c>
      <c r="Z22" s="671">
        <f t="shared" si="5"/>
        <v>8</v>
      </c>
      <c r="AA22" s="671">
        <f t="shared" si="6"/>
        <v>5.08</v>
      </c>
      <c r="AB22" s="671">
        <f t="shared" si="7"/>
        <v>4</v>
      </c>
      <c r="AC22" s="671" t="str">
        <f t="shared" si="8"/>
        <v>/</v>
      </c>
      <c r="AD22" s="671">
        <f t="shared" si="9"/>
        <v>8</v>
      </c>
      <c r="AE22" s="671">
        <f t="shared" si="10"/>
        <v>5.42</v>
      </c>
      <c r="AF22" s="671" t="s">
        <v>11</v>
      </c>
      <c r="AG22" s="671" t="s">
        <v>12</v>
      </c>
      <c r="AH22" s="671" t="s">
        <v>40</v>
      </c>
      <c r="AI22" s="671" t="s">
        <v>12</v>
      </c>
      <c r="AJ22" s="671">
        <v>2013</v>
      </c>
      <c r="AK22" s="672" t="s">
        <v>146</v>
      </c>
      <c r="AL22" s="670"/>
      <c r="AM22" s="671">
        <f t="shared" si="11"/>
        <v>3</v>
      </c>
      <c r="AN22" s="671">
        <f t="shared" si="12"/>
        <v>-24158</v>
      </c>
      <c r="AO22" s="669"/>
      <c r="AP22" s="669"/>
      <c r="AQ22" s="671">
        <f>VLOOKUP(U22,'[1]- DLiêu Gốc -'!$B$1:$E$56,3,0)</f>
        <v>4.4000000000000004</v>
      </c>
      <c r="AR22" s="671">
        <f>VLOOKUP(U22,'[1]- DLiêu Gốc -'!$B$1:$E$56,4,0)</f>
        <v>0.34</v>
      </c>
      <c r="AS22" s="673"/>
      <c r="AT22" s="671" t="str">
        <f t="shared" si="13"/>
        <v>PCTN</v>
      </c>
      <c r="AU22" s="674">
        <v>13</v>
      </c>
      <c r="AV22" s="675" t="s">
        <v>41</v>
      </c>
      <c r="AW22" s="674">
        <f t="shared" si="14"/>
        <v>14</v>
      </c>
      <c r="AX22" s="676" t="s">
        <v>41</v>
      </c>
      <c r="AY22" s="677">
        <v>3</v>
      </c>
      <c r="AZ22" s="678" t="s">
        <v>12</v>
      </c>
      <c r="BA22" s="679">
        <v>2015</v>
      </c>
      <c r="BB22" s="315"/>
      <c r="BC22" s="315"/>
      <c r="BD22" s="669"/>
      <c r="BE22" s="315">
        <v>3</v>
      </c>
      <c r="BF22" s="669">
        <f t="shared" si="15"/>
        <v>-24183</v>
      </c>
      <c r="BG22" s="167" t="str">
        <f t="shared" si="16"/>
        <v>- - -</v>
      </c>
      <c r="BH22" s="315" t="str">
        <f t="shared" si="17"/>
        <v>CC,VC</v>
      </c>
      <c r="BI22" s="733"/>
      <c r="BJ22" s="270"/>
      <c r="BK22" s="270" t="s">
        <v>10</v>
      </c>
      <c r="BL22" s="276" t="str">
        <f t="shared" si="18"/>
        <v>A</v>
      </c>
      <c r="BM22" s="274" t="str">
        <f t="shared" si="19"/>
        <v>=&gt; s</v>
      </c>
      <c r="BN22" s="276">
        <f t="shared" si="20"/>
        <v>24182</v>
      </c>
      <c r="BO22" s="270" t="str">
        <f t="shared" si="21"/>
        <v>S</v>
      </c>
      <c r="BP22" s="276">
        <v>2013</v>
      </c>
      <c r="BQ22" s="280" t="s">
        <v>60</v>
      </c>
      <c r="BR22" s="280"/>
      <c r="BS22" s="770"/>
      <c r="BT22" s="269" t="str">
        <f t="shared" si="22"/>
        <v>Cùg Ng</v>
      </c>
      <c r="BU22" s="269" t="str">
        <f t="shared" si="23"/>
        <v>NN</v>
      </c>
      <c r="BV22" s="269">
        <v>1</v>
      </c>
      <c r="BW22" s="269">
        <v>2009</v>
      </c>
      <c r="BX22" s="269"/>
      <c r="BY22" s="269"/>
      <c r="BZ22" s="280" t="str">
        <f t="shared" si="24"/>
        <v>- - -</v>
      </c>
      <c r="CA22" s="276"/>
      <c r="CB22" s="276"/>
      <c r="CC22" s="282"/>
      <c r="CD22" s="282"/>
      <c r="CE22" s="767" t="str">
        <f t="shared" si="25"/>
        <v>---</v>
      </c>
      <c r="CF22" s="298" t="str">
        <f t="shared" si="26"/>
        <v>/-/ /-/</v>
      </c>
      <c r="CG22" s="298">
        <f t="shared" si="27"/>
        <v>11</v>
      </c>
      <c r="CH22" s="298">
        <f t="shared" si="28"/>
        <v>2023</v>
      </c>
      <c r="CI22" s="157">
        <f t="shared" si="29"/>
        <v>8</v>
      </c>
      <c r="CJ22" s="157">
        <f t="shared" si="30"/>
        <v>2023</v>
      </c>
      <c r="CK22" s="154">
        <f t="shared" si="31"/>
        <v>5</v>
      </c>
      <c r="CL22" s="298">
        <f t="shared" si="32"/>
        <v>2023</v>
      </c>
      <c r="CM22" s="298" t="str">
        <f t="shared" si="33"/>
        <v>- - -</v>
      </c>
      <c r="CN22" s="298" t="str">
        <f t="shared" si="34"/>
        <v>. .</v>
      </c>
      <c r="CO22" s="298"/>
      <c r="CP22" s="158">
        <f t="shared" si="35"/>
        <v>720</v>
      </c>
      <c r="CQ22" s="158">
        <f t="shared" si="36"/>
        <v>-23554</v>
      </c>
      <c r="CR22" s="298">
        <f t="shared" si="37"/>
        <v>-1963</v>
      </c>
      <c r="CS22" s="158" t="str">
        <f t="shared" si="38"/>
        <v>Nam dưới 35</v>
      </c>
      <c r="CV22" s="157" t="str">
        <f t="shared" si="39"/>
        <v>Đến 30</v>
      </c>
      <c r="CW22" s="157" t="str">
        <f t="shared" si="40"/>
        <v>--</v>
      </c>
      <c r="DH22" s="157" t="s">
        <v>11</v>
      </c>
      <c r="DI22" s="157" t="s">
        <v>12</v>
      </c>
      <c r="DJ22" s="157" t="s">
        <v>40</v>
      </c>
      <c r="DK22" s="157" t="s">
        <v>12</v>
      </c>
      <c r="DL22" s="157">
        <v>2013</v>
      </c>
      <c r="DM22" s="157">
        <f t="shared" si="41"/>
        <v>0</v>
      </c>
      <c r="DN22" s="157" t="str">
        <f t="shared" si="42"/>
        <v>- - -</v>
      </c>
      <c r="DO22" s="157" t="s">
        <v>11</v>
      </c>
      <c r="DP22" s="157" t="s">
        <v>12</v>
      </c>
      <c r="DQ22" s="157" t="s">
        <v>40</v>
      </c>
      <c r="DR22" s="157" t="s">
        <v>12</v>
      </c>
      <c r="DS22" s="157">
        <v>2013</v>
      </c>
      <c r="DT22" s="157">
        <v>4.32</v>
      </c>
      <c r="DU22" s="157" t="str">
        <f t="shared" si="43"/>
        <v>- - -</v>
      </c>
      <c r="DV22" s="157" t="str">
        <f t="shared" si="44"/>
        <v>---</v>
      </c>
    </row>
    <row r="23" spans="1:126" s="571" customFormat="1" ht="27" customHeight="1" x14ac:dyDescent="0.25">
      <c r="A23" s="567">
        <v>224</v>
      </c>
      <c r="B23" s="568">
        <v>7</v>
      </c>
      <c r="C23" s="735" t="str">
        <f t="shared" si="0"/>
        <v>Bà</v>
      </c>
      <c r="D23" s="680" t="s">
        <v>233</v>
      </c>
      <c r="E23" s="681" t="s">
        <v>35</v>
      </c>
      <c r="F23" s="682" t="s">
        <v>178</v>
      </c>
      <c r="G23" s="682" t="s">
        <v>12</v>
      </c>
      <c r="H23" s="682" t="s">
        <v>138</v>
      </c>
      <c r="I23" s="682" t="s">
        <v>12</v>
      </c>
      <c r="J23" s="681">
        <v>1968</v>
      </c>
      <c r="K23" s="681" t="str">
        <f>IF(AND((M23+0)&gt;0.3,(M23+0)&lt;1.5),"CVụ","- -")</f>
        <v>CVụ</v>
      </c>
      <c r="L23" s="681" t="s">
        <v>58</v>
      </c>
      <c r="M23" s="683" t="str">
        <f>VLOOKUP(L23,'[1]- DLiêu Gốc -'!$B$2:$G$121,2,0)</f>
        <v>0,6</v>
      </c>
      <c r="N23" s="684" t="s">
        <v>234</v>
      </c>
      <c r="O23" s="685" t="s">
        <v>235</v>
      </c>
      <c r="P23" s="686" t="str">
        <f>VLOOKUP(U23,'[1]- DLiêu Gốc -'!$B$2:$G$56,5,0)</f>
        <v>A1</v>
      </c>
      <c r="Q23" s="686" t="str">
        <f>VLOOKUP(U23,'[1]- DLiêu Gốc -'!$B$2:$G$56,6,0)</f>
        <v>- - -</v>
      </c>
      <c r="R23" s="681" t="s">
        <v>37</v>
      </c>
      <c r="S23" s="687" t="str">
        <f t="shared" si="1"/>
        <v>Giảng viên (hạng III)</v>
      </c>
      <c r="T23" s="688" t="str">
        <f t="shared" si="2"/>
        <v>V.07.01.03</v>
      </c>
      <c r="U23" s="689" t="s">
        <v>38</v>
      </c>
      <c r="V23" s="690" t="str">
        <f>VLOOKUP(U23,'[1]- DLiêu Gốc -'!$B$1:$G$121,2,0)</f>
        <v>V.07.01.03</v>
      </c>
      <c r="W23" s="691" t="str">
        <f t="shared" si="3"/>
        <v>Lương</v>
      </c>
      <c r="X23" s="691">
        <v>3</v>
      </c>
      <c r="Y23" s="691" t="str">
        <f t="shared" si="4"/>
        <v>/</v>
      </c>
      <c r="Z23" s="691">
        <f t="shared" si="5"/>
        <v>9</v>
      </c>
      <c r="AA23" s="691">
        <f t="shared" si="6"/>
        <v>3</v>
      </c>
      <c r="AB23" s="691">
        <f t="shared" si="7"/>
        <v>4</v>
      </c>
      <c r="AC23" s="691" t="str">
        <f t="shared" si="8"/>
        <v>/</v>
      </c>
      <c r="AD23" s="691">
        <f t="shared" si="9"/>
        <v>9</v>
      </c>
      <c r="AE23" s="691">
        <f t="shared" si="10"/>
        <v>3.33</v>
      </c>
      <c r="AF23" s="691" t="s">
        <v>11</v>
      </c>
      <c r="AG23" s="691" t="s">
        <v>12</v>
      </c>
      <c r="AH23" s="691" t="s">
        <v>118</v>
      </c>
      <c r="AI23" s="691" t="s">
        <v>12</v>
      </c>
      <c r="AJ23" s="691">
        <v>2013</v>
      </c>
      <c r="AK23" s="692"/>
      <c r="AL23" s="690"/>
      <c r="AM23" s="691">
        <f t="shared" si="11"/>
        <v>3</v>
      </c>
      <c r="AN23" s="691">
        <f t="shared" si="12"/>
        <v>-24165</v>
      </c>
      <c r="AO23" s="689"/>
      <c r="AP23" s="689"/>
      <c r="AQ23" s="691">
        <f>VLOOKUP(U23,'[1]- DLiêu Gốc -'!$B$1:$E$56,3,0)</f>
        <v>2.34</v>
      </c>
      <c r="AR23" s="691">
        <f>VLOOKUP(U23,'[1]- DLiêu Gốc -'!$B$1:$E$56,4,0)</f>
        <v>0.33</v>
      </c>
      <c r="AS23" s="568"/>
      <c r="AT23" s="691" t="str">
        <f t="shared" si="13"/>
        <v>PCTN</v>
      </c>
      <c r="AU23" s="693">
        <v>8</v>
      </c>
      <c r="AV23" s="694" t="s">
        <v>41</v>
      </c>
      <c r="AW23" s="693">
        <f t="shared" si="14"/>
        <v>9</v>
      </c>
      <c r="AX23" s="695" t="s">
        <v>41</v>
      </c>
      <c r="AY23" s="696" t="s">
        <v>118</v>
      </c>
      <c r="AZ23" s="697" t="s">
        <v>12</v>
      </c>
      <c r="BA23" s="695">
        <v>2014</v>
      </c>
      <c r="BB23" s="698" t="s">
        <v>236</v>
      </c>
      <c r="BC23" s="698">
        <v>1</v>
      </c>
      <c r="BD23" s="570" t="s">
        <v>237</v>
      </c>
      <c r="BE23" s="698">
        <v>7</v>
      </c>
      <c r="BF23" s="570">
        <f t="shared" si="15"/>
        <v>-24178</v>
      </c>
      <c r="BG23" s="572" t="str">
        <f t="shared" si="16"/>
        <v>- - -</v>
      </c>
      <c r="BH23" s="698" t="str">
        <f t="shared" si="17"/>
        <v>CC,VC</v>
      </c>
      <c r="BI23" s="765"/>
      <c r="BJ23" s="270"/>
      <c r="BK23" s="270" t="s">
        <v>10</v>
      </c>
      <c r="BL23" s="276" t="str">
        <f t="shared" si="18"/>
        <v>A</v>
      </c>
      <c r="BM23" s="274" t="str">
        <f t="shared" si="19"/>
        <v>=&gt; s</v>
      </c>
      <c r="BN23" s="276">
        <f t="shared" si="20"/>
        <v>24189</v>
      </c>
      <c r="BO23" s="270" t="str">
        <f t="shared" si="21"/>
        <v>---</v>
      </c>
      <c r="BP23" s="276"/>
      <c r="BQ23" s="280"/>
      <c r="BR23" s="280"/>
      <c r="BS23" s="770"/>
      <c r="BT23" s="269" t="str">
        <f t="shared" si="22"/>
        <v>- - -</v>
      </c>
      <c r="BU23" s="269" t="str">
        <f t="shared" si="23"/>
        <v>- - -</v>
      </c>
      <c r="BV23" s="269"/>
      <c r="BW23" s="269"/>
      <c r="BX23" s="269"/>
      <c r="BY23" s="269"/>
      <c r="BZ23" s="280" t="str">
        <f t="shared" si="24"/>
        <v>- - -</v>
      </c>
      <c r="CA23" s="276"/>
      <c r="CB23" s="276"/>
      <c r="CC23" s="282"/>
      <c r="CD23" s="282"/>
      <c r="CE23" s="768" t="str">
        <f t="shared" si="25"/>
        <v>---</v>
      </c>
      <c r="CF23" s="699" t="str">
        <f t="shared" si="26"/>
        <v>/-/ /-/</v>
      </c>
      <c r="CG23" s="699">
        <f t="shared" si="27"/>
        <v>6</v>
      </c>
      <c r="CH23" s="699">
        <f t="shared" si="28"/>
        <v>2023</v>
      </c>
      <c r="CI23" s="571">
        <f t="shared" si="29"/>
        <v>3</v>
      </c>
      <c r="CJ23" s="571">
        <f t="shared" si="30"/>
        <v>2023</v>
      </c>
      <c r="CK23" s="567">
        <f t="shared" si="31"/>
        <v>12</v>
      </c>
      <c r="CL23" s="699">
        <f t="shared" si="32"/>
        <v>2022</v>
      </c>
      <c r="CM23" s="699" t="str">
        <f t="shared" si="33"/>
        <v>- - -</v>
      </c>
      <c r="CN23" s="699" t="str">
        <f t="shared" si="34"/>
        <v>. .</v>
      </c>
      <c r="CO23" s="699"/>
      <c r="CP23" s="569">
        <f t="shared" si="35"/>
        <v>660</v>
      </c>
      <c r="CQ23" s="569">
        <f t="shared" si="36"/>
        <v>-23609</v>
      </c>
      <c r="CR23" s="699">
        <f t="shared" si="37"/>
        <v>-1968</v>
      </c>
      <c r="CS23" s="569" t="str">
        <f t="shared" si="38"/>
        <v>Nữ dưới 30</v>
      </c>
      <c r="CV23" s="571" t="str">
        <f t="shared" si="39"/>
        <v>Đến 30</v>
      </c>
      <c r="CW23" s="571" t="str">
        <f t="shared" si="40"/>
        <v>--</v>
      </c>
      <c r="DG23" s="571" t="s">
        <v>234</v>
      </c>
      <c r="DH23" s="571" t="s">
        <v>11</v>
      </c>
      <c r="DI23" s="571" t="s">
        <v>12</v>
      </c>
      <c r="DJ23" s="571" t="s">
        <v>118</v>
      </c>
      <c r="DK23" s="571" t="s">
        <v>12</v>
      </c>
      <c r="DL23" s="571">
        <v>2013</v>
      </c>
      <c r="DM23" s="571">
        <f t="shared" si="41"/>
        <v>0</v>
      </c>
      <c r="DN23" s="571" t="str">
        <f t="shared" si="42"/>
        <v>- - -</v>
      </c>
      <c r="DO23" s="571" t="s">
        <v>11</v>
      </c>
      <c r="DP23" s="571" t="s">
        <v>12</v>
      </c>
      <c r="DQ23" s="571" t="s">
        <v>118</v>
      </c>
      <c r="DR23" s="571" t="s">
        <v>12</v>
      </c>
      <c r="DS23" s="571">
        <v>2013</v>
      </c>
      <c r="DU23" s="571" t="str">
        <f t="shared" si="43"/>
        <v>- - -</v>
      </c>
      <c r="DV23" s="571" t="str">
        <f t="shared" si="44"/>
        <v>---</v>
      </c>
    </row>
    <row r="24" spans="1:126" s="157" customFormat="1" ht="36.75" customHeight="1" x14ac:dyDescent="0.25">
      <c r="A24" s="154"/>
      <c r="B24" s="700"/>
      <c r="C24" s="154"/>
      <c r="D24" s="762" t="s">
        <v>243</v>
      </c>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763"/>
      <c r="BA24" s="763"/>
      <c r="BB24" s="355"/>
      <c r="BC24" s="355"/>
      <c r="BD24" s="355"/>
      <c r="BE24" s="355"/>
      <c r="BF24" s="355"/>
      <c r="BG24" s="355"/>
      <c r="BH24" s="355"/>
      <c r="BI24" s="765"/>
      <c r="BJ24" s="270"/>
      <c r="BK24" s="270"/>
      <c r="BL24" s="276"/>
      <c r="BM24" s="274"/>
      <c r="BN24" s="276"/>
      <c r="BO24" s="270"/>
      <c r="BP24" s="276"/>
      <c r="BQ24" s="280"/>
      <c r="BR24" s="280"/>
      <c r="BS24" s="770"/>
      <c r="BT24" s="269"/>
      <c r="BU24" s="269"/>
      <c r="BV24" s="269"/>
      <c r="BW24" s="269"/>
      <c r="BX24" s="269"/>
      <c r="BY24" s="269"/>
      <c r="BZ24" s="280"/>
      <c r="CA24" s="276"/>
      <c r="CB24" s="276"/>
      <c r="CC24" s="282"/>
      <c r="CD24" s="282"/>
      <c r="CE24" s="767"/>
      <c r="CF24" s="298"/>
      <c r="CG24" s="298"/>
      <c r="CH24" s="298"/>
      <c r="CK24" s="154"/>
      <c r="CL24" s="298"/>
      <c r="CM24" s="298"/>
      <c r="CN24" s="298"/>
      <c r="CO24" s="298"/>
      <c r="CP24" s="158"/>
      <c r="CQ24" s="158"/>
      <c r="CR24" s="298"/>
      <c r="CS24" s="158"/>
    </row>
    <row r="25" spans="1:126" s="157" customFormat="1" ht="31.5" customHeight="1" x14ac:dyDescent="0.25">
      <c r="A25" s="154">
        <v>233</v>
      </c>
      <c r="B25" s="335">
        <v>8</v>
      </c>
      <c r="C25" s="154" t="str">
        <f t="shared" si="0"/>
        <v>Ông</v>
      </c>
      <c r="D25" s="338" t="s">
        <v>153</v>
      </c>
      <c r="E25" s="154" t="s">
        <v>43</v>
      </c>
      <c r="F25" s="339" t="s">
        <v>154</v>
      </c>
      <c r="G25" s="339" t="s">
        <v>12</v>
      </c>
      <c r="H25" s="339">
        <v>6</v>
      </c>
      <c r="I25" s="339" t="s">
        <v>12</v>
      </c>
      <c r="J25" s="154">
        <v>1965</v>
      </c>
      <c r="K25" s="154" t="str">
        <f>IF(AND((M25+0)&gt;0.3,(M25+0)&lt;1.5),"CVụ","- -")</f>
        <v>CVụ</v>
      </c>
      <c r="L25" s="154" t="s">
        <v>70</v>
      </c>
      <c r="M25" s="158" t="str">
        <f>VLOOKUP(L25,'[1]- DLiêu Gốc -'!$B$2:$G$121,2,0)</f>
        <v>0,4</v>
      </c>
      <c r="N25" s="384"/>
      <c r="O25" s="383" t="s">
        <v>128</v>
      </c>
      <c r="P25" s="186" t="str">
        <f>VLOOKUP(U25,'[1]- DLiêu Gốc -'!$B$2:$G$56,5,0)</f>
        <v>A1</v>
      </c>
      <c r="Q25" s="186" t="str">
        <f>VLOOKUP(U25,'[1]- DLiêu Gốc -'!$B$2:$G$56,6,0)</f>
        <v>- - -</v>
      </c>
      <c r="R25" s="154" t="s">
        <v>37</v>
      </c>
      <c r="S25" s="340" t="str">
        <f t="shared" si="1"/>
        <v>Giảng viên (hạng III)</v>
      </c>
      <c r="T25" s="341" t="str">
        <f t="shared" si="2"/>
        <v>V.07.01.03</v>
      </c>
      <c r="U25" s="203" t="s">
        <v>38</v>
      </c>
      <c r="V25" s="156" t="str">
        <f>VLOOKUP(U25,'[1]- DLiêu Gốc -'!$B$1:$G$121,2,0)</f>
        <v>V.07.01.03</v>
      </c>
      <c r="W25" s="336" t="str">
        <f t="shared" si="3"/>
        <v>Lương</v>
      </c>
      <c r="X25" s="336">
        <v>6</v>
      </c>
      <c r="Y25" s="336" t="str">
        <f t="shared" si="4"/>
        <v>/</v>
      </c>
      <c r="Z25" s="336">
        <f t="shared" si="5"/>
        <v>9</v>
      </c>
      <c r="AA25" s="336">
        <f t="shared" si="6"/>
        <v>3.99</v>
      </c>
      <c r="AB25" s="336">
        <f t="shared" si="7"/>
        <v>7</v>
      </c>
      <c r="AC25" s="336" t="str">
        <f t="shared" si="8"/>
        <v>/</v>
      </c>
      <c r="AD25" s="336">
        <f t="shared" si="9"/>
        <v>9</v>
      </c>
      <c r="AE25" s="336">
        <f t="shared" si="10"/>
        <v>4.32</v>
      </c>
      <c r="AF25" s="336" t="s">
        <v>11</v>
      </c>
      <c r="AG25" s="336" t="s">
        <v>12</v>
      </c>
      <c r="AH25" s="336" t="s">
        <v>133</v>
      </c>
      <c r="AI25" s="336" t="s">
        <v>12</v>
      </c>
      <c r="AJ25" s="336">
        <v>2013</v>
      </c>
      <c r="AK25" s="162"/>
      <c r="AL25" s="156"/>
      <c r="AM25" s="336">
        <f t="shared" si="11"/>
        <v>3</v>
      </c>
      <c r="AN25" s="336">
        <f t="shared" si="12"/>
        <v>-24159</v>
      </c>
      <c r="AO25" s="203"/>
      <c r="AP25" s="203"/>
      <c r="AQ25" s="336">
        <f>VLOOKUP(U25,'[1]- DLiêu Gốc -'!$B$1:$E$56,3,0)</f>
        <v>2.34</v>
      </c>
      <c r="AR25" s="336">
        <f>VLOOKUP(U25,'[1]- DLiêu Gốc -'!$B$1:$E$56,4,0)</f>
        <v>0.33</v>
      </c>
      <c r="AT25" s="336" t="str">
        <f t="shared" si="13"/>
        <v>PCTN</v>
      </c>
      <c r="AU25" s="342">
        <v>10</v>
      </c>
      <c r="AV25" s="343" t="s">
        <v>41</v>
      </c>
      <c r="AW25" s="342">
        <f t="shared" si="14"/>
        <v>11</v>
      </c>
      <c r="AX25" s="344" t="s">
        <v>41</v>
      </c>
      <c r="AY25" s="345">
        <v>3</v>
      </c>
      <c r="AZ25" s="191" t="s">
        <v>12</v>
      </c>
      <c r="BA25" s="346">
        <v>2015</v>
      </c>
      <c r="BB25" s="315"/>
      <c r="BC25" s="315"/>
      <c r="BD25" s="203"/>
      <c r="BE25" s="315">
        <v>3</v>
      </c>
      <c r="BF25" s="203">
        <f t="shared" si="15"/>
        <v>-24183</v>
      </c>
      <c r="BG25" s="155" t="str">
        <f t="shared" si="16"/>
        <v>- - -</v>
      </c>
      <c r="BH25" s="315" t="str">
        <f t="shared" si="17"/>
        <v>CC,VC</v>
      </c>
      <c r="BI25" s="154"/>
      <c r="BJ25" s="270"/>
      <c r="BK25" s="270" t="s">
        <v>10</v>
      </c>
      <c r="BL25" s="276" t="str">
        <f t="shared" si="18"/>
        <v>A</v>
      </c>
      <c r="BM25" s="274" t="str">
        <f t="shared" si="19"/>
        <v>=&gt; s</v>
      </c>
      <c r="BN25" s="276">
        <f t="shared" si="20"/>
        <v>24183</v>
      </c>
      <c r="BO25" s="270" t="str">
        <f t="shared" si="21"/>
        <v>---</v>
      </c>
      <c r="BP25" s="276"/>
      <c r="BQ25" s="280"/>
      <c r="BR25" s="280"/>
      <c r="BS25" s="770"/>
      <c r="BT25" s="269" t="str">
        <f t="shared" si="22"/>
        <v>- - -</v>
      </c>
      <c r="BU25" s="269" t="str">
        <f t="shared" si="23"/>
        <v>- - -</v>
      </c>
      <c r="BV25" s="269"/>
      <c r="BW25" s="269"/>
      <c r="BX25" s="269"/>
      <c r="BY25" s="269"/>
      <c r="BZ25" s="280" t="str">
        <f t="shared" si="24"/>
        <v>- - -</v>
      </c>
      <c r="CA25" s="276"/>
      <c r="CB25" s="276"/>
      <c r="CC25" s="282"/>
      <c r="CD25" s="282"/>
      <c r="CE25" s="767" t="str">
        <f t="shared" si="25"/>
        <v>---</v>
      </c>
      <c r="CF25" s="298" t="str">
        <f t="shared" si="26"/>
        <v>/-/ /-/</v>
      </c>
      <c r="CG25" s="298">
        <f t="shared" si="27"/>
        <v>7</v>
      </c>
      <c r="CH25" s="298">
        <f t="shared" si="28"/>
        <v>2025</v>
      </c>
      <c r="CI25" s="157">
        <f t="shared" si="29"/>
        <v>4</v>
      </c>
      <c r="CJ25" s="157">
        <f t="shared" si="30"/>
        <v>2025</v>
      </c>
      <c r="CK25" s="154">
        <f t="shared" si="31"/>
        <v>1</v>
      </c>
      <c r="CL25" s="298">
        <f t="shared" si="32"/>
        <v>2025</v>
      </c>
      <c r="CM25" s="298" t="str">
        <f t="shared" si="33"/>
        <v>- - -</v>
      </c>
      <c r="CN25" s="298" t="str">
        <f t="shared" si="34"/>
        <v>. .</v>
      </c>
      <c r="CO25" s="298"/>
      <c r="CP25" s="158">
        <f t="shared" si="35"/>
        <v>720</v>
      </c>
      <c r="CQ25" s="158">
        <f t="shared" si="36"/>
        <v>-23574</v>
      </c>
      <c r="CR25" s="298">
        <f t="shared" si="37"/>
        <v>-1965</v>
      </c>
      <c r="CS25" s="158" t="str">
        <f t="shared" si="38"/>
        <v>Nam dưới 35</v>
      </c>
      <c r="CV25" s="157" t="str">
        <f t="shared" si="39"/>
        <v>Đến 30</v>
      </c>
      <c r="CW25" s="157" t="str">
        <f t="shared" si="40"/>
        <v>TD</v>
      </c>
      <c r="CX25" s="157">
        <v>2008</v>
      </c>
      <c r="DH25" s="157" t="s">
        <v>11</v>
      </c>
      <c r="DI25" s="157" t="s">
        <v>12</v>
      </c>
      <c r="DJ25" s="157" t="s">
        <v>133</v>
      </c>
      <c r="DK25" s="157" t="s">
        <v>12</v>
      </c>
      <c r="DL25" s="157">
        <v>2013</v>
      </c>
      <c r="DM25" s="157">
        <f t="shared" si="41"/>
        <v>0</v>
      </c>
      <c r="DN25" s="157" t="str">
        <f t="shared" si="42"/>
        <v>- - -</v>
      </c>
      <c r="DO25" s="157" t="s">
        <v>11</v>
      </c>
      <c r="DP25" s="157" t="s">
        <v>12</v>
      </c>
      <c r="DQ25" s="157" t="s">
        <v>133</v>
      </c>
      <c r="DR25" s="157" t="s">
        <v>12</v>
      </c>
      <c r="DS25" s="157">
        <v>2013</v>
      </c>
      <c r="DU25" s="157" t="str">
        <f t="shared" si="43"/>
        <v>- - -</v>
      </c>
      <c r="DV25" s="157" t="str">
        <f t="shared" si="44"/>
        <v>---</v>
      </c>
    </row>
    <row r="26" spans="1:126" s="157" customFormat="1" ht="30" customHeight="1" x14ac:dyDescent="0.25">
      <c r="A26" s="154">
        <v>242</v>
      </c>
      <c r="B26" s="335">
        <v>9</v>
      </c>
      <c r="C26" s="154" t="str">
        <f t="shared" si="0"/>
        <v>Bà</v>
      </c>
      <c r="D26" s="338" t="s">
        <v>155</v>
      </c>
      <c r="E26" s="154" t="s">
        <v>35</v>
      </c>
      <c r="F26" s="339" t="s">
        <v>50</v>
      </c>
      <c r="G26" s="339" t="s">
        <v>12</v>
      </c>
      <c r="H26" s="339" t="s">
        <v>118</v>
      </c>
      <c r="I26" s="339" t="s">
        <v>12</v>
      </c>
      <c r="J26" s="154" t="s">
        <v>156</v>
      </c>
      <c r="K26" s="154" t="str">
        <f>IF(AND((M26+0)&gt;0.3,(M26+0)&lt;1.5),"CVụ","- -")</f>
        <v>CVụ</v>
      </c>
      <c r="L26" s="154" t="s">
        <v>70</v>
      </c>
      <c r="M26" s="158" t="str">
        <f>VLOOKUP(L26,'[1]- DLiêu Gốc -'!$B$2:$G$121,2,0)</f>
        <v>0,4</v>
      </c>
      <c r="N26" s="384"/>
      <c r="O26" s="383" t="s">
        <v>128</v>
      </c>
      <c r="P26" s="186" t="str">
        <f>VLOOKUP(U26,'[1]- DLiêu Gốc -'!$B$2:$G$56,5,0)</f>
        <v>A2</v>
      </c>
      <c r="Q26" s="186" t="str">
        <f>VLOOKUP(U26,'[1]- DLiêu Gốc -'!$B$2:$G$56,6,0)</f>
        <v>A2.1</v>
      </c>
      <c r="R26" s="154" t="s">
        <v>37</v>
      </c>
      <c r="S26" s="340" t="str">
        <f t="shared" si="1"/>
        <v>Giảng viên chính (hạng II)</v>
      </c>
      <c r="T26" s="341" t="str">
        <f t="shared" si="2"/>
        <v>V.07.01.02</v>
      </c>
      <c r="U26" s="203" t="s">
        <v>59</v>
      </c>
      <c r="V26" s="156" t="str">
        <f>VLOOKUP(U26,'[1]- DLiêu Gốc -'!$B$1:$G$121,2,0)</f>
        <v>V.07.01.02</v>
      </c>
      <c r="W26" s="336" t="str">
        <f t="shared" si="3"/>
        <v>Lương</v>
      </c>
      <c r="X26" s="336">
        <v>1</v>
      </c>
      <c r="Y26" s="336" t="str">
        <f t="shared" si="4"/>
        <v>/</v>
      </c>
      <c r="Z26" s="336">
        <f t="shared" si="5"/>
        <v>8</v>
      </c>
      <c r="AA26" s="336">
        <f t="shared" si="6"/>
        <v>4.4000000000000004</v>
      </c>
      <c r="AB26" s="336">
        <f t="shared" si="7"/>
        <v>2</v>
      </c>
      <c r="AC26" s="336" t="str">
        <f t="shared" si="8"/>
        <v>/</v>
      </c>
      <c r="AD26" s="336">
        <f t="shared" si="9"/>
        <v>8</v>
      </c>
      <c r="AE26" s="336">
        <f t="shared" si="10"/>
        <v>4.74</v>
      </c>
      <c r="AF26" s="336" t="s">
        <v>11</v>
      </c>
      <c r="AG26" s="336" t="s">
        <v>12</v>
      </c>
      <c r="AH26" s="336" t="s">
        <v>11</v>
      </c>
      <c r="AI26" s="336" t="s">
        <v>12</v>
      </c>
      <c r="AJ26" s="336">
        <v>2014</v>
      </c>
      <c r="AK26" s="162"/>
      <c r="AL26" s="156"/>
      <c r="AM26" s="336">
        <f t="shared" si="11"/>
        <v>3</v>
      </c>
      <c r="AN26" s="336">
        <f t="shared" si="12"/>
        <v>-24169</v>
      </c>
      <c r="AO26" s="203"/>
      <c r="AP26" s="203"/>
      <c r="AQ26" s="336">
        <f>VLOOKUP(U26,'[1]- DLiêu Gốc -'!$B$1:$E$56,3,0)</f>
        <v>4.4000000000000004</v>
      </c>
      <c r="AR26" s="336">
        <f>VLOOKUP(U26,'[1]- DLiêu Gốc -'!$B$1:$E$56,4,0)</f>
        <v>0.34</v>
      </c>
      <c r="AT26" s="336" t="str">
        <f t="shared" si="13"/>
        <v>PCTN</v>
      </c>
      <c r="AU26" s="342">
        <v>15</v>
      </c>
      <c r="AV26" s="343" t="s">
        <v>41</v>
      </c>
      <c r="AW26" s="342">
        <f t="shared" si="14"/>
        <v>16</v>
      </c>
      <c r="AX26" s="344" t="s">
        <v>41</v>
      </c>
      <c r="AY26" s="345">
        <v>3</v>
      </c>
      <c r="AZ26" s="191" t="s">
        <v>12</v>
      </c>
      <c r="BA26" s="346">
        <v>2015</v>
      </c>
      <c r="BB26" s="315"/>
      <c r="BC26" s="315"/>
      <c r="BD26" s="203"/>
      <c r="BE26" s="315">
        <v>3</v>
      </c>
      <c r="BF26" s="203">
        <f t="shared" si="15"/>
        <v>-24183</v>
      </c>
      <c r="BG26" s="155" t="str">
        <f t="shared" si="16"/>
        <v>- - -</v>
      </c>
      <c r="BH26" s="315" t="str">
        <f t="shared" si="17"/>
        <v>CC,VC</v>
      </c>
      <c r="BI26" s="154"/>
      <c r="BJ26" s="270"/>
      <c r="BK26" s="270" t="s">
        <v>10</v>
      </c>
      <c r="BL26" s="276" t="str">
        <f t="shared" si="18"/>
        <v>A</v>
      </c>
      <c r="BM26" s="274" t="str">
        <f t="shared" si="19"/>
        <v>=&gt; s</v>
      </c>
      <c r="BN26" s="276">
        <f t="shared" si="20"/>
        <v>24193</v>
      </c>
      <c r="BO26" s="270" t="str">
        <f t="shared" si="21"/>
        <v>---</v>
      </c>
      <c r="BP26" s="276"/>
      <c r="BQ26" s="280"/>
      <c r="BR26" s="280"/>
      <c r="BS26" s="770"/>
      <c r="BT26" s="269" t="str">
        <f t="shared" si="22"/>
        <v>- - -</v>
      </c>
      <c r="BU26" s="269" t="str">
        <f t="shared" si="23"/>
        <v>NN</v>
      </c>
      <c r="BV26" s="269">
        <v>1</v>
      </c>
      <c r="BW26" s="269" t="s">
        <v>33</v>
      </c>
      <c r="BX26" s="269"/>
      <c r="BY26" s="269"/>
      <c r="BZ26" s="280" t="str">
        <f t="shared" si="24"/>
        <v>- - -</v>
      </c>
      <c r="CA26" s="276"/>
      <c r="CB26" s="276"/>
      <c r="CC26" s="282"/>
      <c r="CD26" s="282"/>
      <c r="CE26" s="767" t="str">
        <f t="shared" si="25"/>
        <v>---</v>
      </c>
      <c r="CF26" s="298" t="str">
        <f t="shared" si="26"/>
        <v>/-/ /-/</v>
      </c>
      <c r="CG26" s="298">
        <f t="shared" si="27"/>
        <v>10</v>
      </c>
      <c r="CH26" s="298">
        <f t="shared" si="28"/>
        <v>2029</v>
      </c>
      <c r="CI26" s="157">
        <f t="shared" si="29"/>
        <v>7</v>
      </c>
      <c r="CJ26" s="157">
        <f t="shared" si="30"/>
        <v>2029</v>
      </c>
      <c r="CK26" s="154">
        <f t="shared" si="31"/>
        <v>4</v>
      </c>
      <c r="CL26" s="298">
        <f t="shared" si="32"/>
        <v>2029</v>
      </c>
      <c r="CM26" s="298" t="str">
        <f t="shared" si="33"/>
        <v>- - -</v>
      </c>
      <c r="CN26" s="298" t="str">
        <f t="shared" si="34"/>
        <v>. .</v>
      </c>
      <c r="CO26" s="298"/>
      <c r="CP26" s="158">
        <f t="shared" si="35"/>
        <v>660</v>
      </c>
      <c r="CQ26" s="158">
        <f t="shared" si="36"/>
        <v>-23685</v>
      </c>
      <c r="CR26" s="298">
        <f t="shared" si="37"/>
        <v>-1974</v>
      </c>
      <c r="CS26" s="158" t="str">
        <f t="shared" si="38"/>
        <v>Nữ dưới 30</v>
      </c>
      <c r="CV26" s="157" t="str">
        <f t="shared" si="39"/>
        <v>Đến 30</v>
      </c>
      <c r="CW26" s="157" t="str">
        <f t="shared" si="40"/>
        <v>--</v>
      </c>
      <c r="DH26" s="157" t="s">
        <v>11</v>
      </c>
      <c r="DI26" s="157" t="s">
        <v>12</v>
      </c>
      <c r="DJ26" s="157" t="s">
        <v>11</v>
      </c>
      <c r="DK26" s="157" t="s">
        <v>12</v>
      </c>
      <c r="DL26" s="157">
        <v>2014</v>
      </c>
      <c r="DM26" s="157">
        <f t="shared" si="41"/>
        <v>0</v>
      </c>
      <c r="DN26" s="157" t="str">
        <f t="shared" si="42"/>
        <v>- - -</v>
      </c>
      <c r="DO26" s="157" t="s">
        <v>11</v>
      </c>
      <c r="DP26" s="157" t="s">
        <v>12</v>
      </c>
      <c r="DQ26" s="157" t="s">
        <v>11</v>
      </c>
      <c r="DR26" s="157" t="s">
        <v>12</v>
      </c>
      <c r="DS26" s="157">
        <v>2014</v>
      </c>
      <c r="DT26" s="157">
        <v>3.66</v>
      </c>
      <c r="DU26" s="157" t="str">
        <f t="shared" si="43"/>
        <v>- - -</v>
      </c>
      <c r="DV26" s="157" t="str">
        <f t="shared" si="44"/>
        <v>---</v>
      </c>
    </row>
    <row r="27" spans="1:126" s="157" customFormat="1" ht="29.25" customHeight="1" x14ac:dyDescent="0.25">
      <c r="A27" s="154">
        <v>251</v>
      </c>
      <c r="B27" s="335">
        <v>10</v>
      </c>
      <c r="C27" s="154" t="str">
        <f t="shared" si="0"/>
        <v>Ông</v>
      </c>
      <c r="D27" s="338" t="s">
        <v>157</v>
      </c>
      <c r="E27" s="154" t="s">
        <v>43</v>
      </c>
      <c r="F27" s="339" t="s">
        <v>127</v>
      </c>
      <c r="G27" s="339" t="s">
        <v>12</v>
      </c>
      <c r="H27" s="339" t="s">
        <v>69</v>
      </c>
      <c r="I27" s="339" t="s">
        <v>12</v>
      </c>
      <c r="J27" s="154" t="s">
        <v>123</v>
      </c>
      <c r="K27" s="154" t="str">
        <f>IF(AND((M27+0)&gt;0.3,(M27+0)&lt;1.5),"CVụ","- -")</f>
        <v>CVụ</v>
      </c>
      <c r="L27" s="154" t="s">
        <v>145</v>
      </c>
      <c r="M27" s="158" t="str">
        <f>VLOOKUP(L27,'[1]- DLiêu Gốc -'!$B$2:$G$121,2,0)</f>
        <v>0,8</v>
      </c>
      <c r="N27" s="384"/>
      <c r="O27" s="383" t="s">
        <v>132</v>
      </c>
      <c r="P27" s="186" t="str">
        <f>VLOOKUP(U27,'[1]- DLiêu Gốc -'!$B$2:$G$56,5,0)</f>
        <v>A2</v>
      </c>
      <c r="Q27" s="186" t="str">
        <f>VLOOKUP(U27,'[1]- DLiêu Gốc -'!$B$2:$G$56,6,0)</f>
        <v>A2.1</v>
      </c>
      <c r="R27" s="154" t="s">
        <v>37</v>
      </c>
      <c r="S27" s="340" t="str">
        <f t="shared" si="1"/>
        <v>Giảng viên chính (hạng II)</v>
      </c>
      <c r="T27" s="341" t="str">
        <f t="shared" si="2"/>
        <v>V.07.01.02</v>
      </c>
      <c r="U27" s="203" t="s">
        <v>59</v>
      </c>
      <c r="V27" s="156" t="str">
        <f>VLOOKUP(U27,'[1]- DLiêu Gốc -'!$B$1:$G$121,2,0)</f>
        <v>V.07.01.02</v>
      </c>
      <c r="W27" s="336" t="str">
        <f t="shared" si="3"/>
        <v>Lương</v>
      </c>
      <c r="X27" s="336">
        <v>0</v>
      </c>
      <c r="Y27" s="336" t="str">
        <f t="shared" si="4"/>
        <v>/</v>
      </c>
      <c r="Z27" s="336">
        <f t="shared" si="5"/>
        <v>8</v>
      </c>
      <c r="AA27" s="336">
        <f t="shared" si="6"/>
        <v>4.0600000000000005</v>
      </c>
      <c r="AB27" s="336">
        <f t="shared" si="7"/>
        <v>1</v>
      </c>
      <c r="AC27" s="336" t="str">
        <f t="shared" si="8"/>
        <v>/</v>
      </c>
      <c r="AD27" s="336">
        <f t="shared" si="9"/>
        <v>8</v>
      </c>
      <c r="AE27" s="336">
        <f t="shared" si="10"/>
        <v>4.4000000000000004</v>
      </c>
      <c r="AF27" s="336" t="s">
        <v>11</v>
      </c>
      <c r="AG27" s="336" t="s">
        <v>12</v>
      </c>
      <c r="AH27" s="336" t="s">
        <v>13</v>
      </c>
      <c r="AI27" s="336" t="s">
        <v>12</v>
      </c>
      <c r="AJ27" s="336">
        <v>2012</v>
      </c>
      <c r="AK27" s="162"/>
      <c r="AL27" s="156"/>
      <c r="AM27" s="336">
        <f t="shared" si="11"/>
        <v>3</v>
      </c>
      <c r="AN27" s="336">
        <f t="shared" si="12"/>
        <v>-24151</v>
      </c>
      <c r="AO27" s="203"/>
      <c r="AP27" s="203"/>
      <c r="AQ27" s="336">
        <f>VLOOKUP(U27,'[1]- DLiêu Gốc -'!$B$1:$E$56,3,0)</f>
        <v>4.4000000000000004</v>
      </c>
      <c r="AR27" s="336">
        <f>VLOOKUP(U27,'[1]- DLiêu Gốc -'!$B$1:$E$56,4,0)</f>
        <v>0.34</v>
      </c>
      <c r="AT27" s="336" t="str">
        <f t="shared" si="13"/>
        <v>PCTN</v>
      </c>
      <c r="AU27" s="342">
        <v>12</v>
      </c>
      <c r="AV27" s="343" t="s">
        <v>41</v>
      </c>
      <c r="AW27" s="342">
        <f t="shared" si="14"/>
        <v>13</v>
      </c>
      <c r="AX27" s="344" t="s">
        <v>41</v>
      </c>
      <c r="AY27" s="345">
        <v>3</v>
      </c>
      <c r="AZ27" s="191" t="s">
        <v>12</v>
      </c>
      <c r="BA27" s="346">
        <v>2015</v>
      </c>
      <c r="BB27" s="315"/>
      <c r="BC27" s="315"/>
      <c r="BD27" s="203"/>
      <c r="BE27" s="315">
        <v>3</v>
      </c>
      <c r="BF27" s="203">
        <f t="shared" si="15"/>
        <v>-24183</v>
      </c>
      <c r="BG27" s="155" t="str">
        <f t="shared" si="16"/>
        <v>- - -</v>
      </c>
      <c r="BH27" s="315" t="str">
        <f t="shared" si="17"/>
        <v>CC,VC</v>
      </c>
      <c r="BI27" s="154"/>
      <c r="BJ27" s="270"/>
      <c r="BK27" s="270" t="s">
        <v>10</v>
      </c>
      <c r="BL27" s="276" t="str">
        <f t="shared" si="18"/>
        <v>A</v>
      </c>
      <c r="BM27" s="274" t="str">
        <f t="shared" si="19"/>
        <v>=&gt; s</v>
      </c>
      <c r="BN27" s="276">
        <f t="shared" si="20"/>
        <v>24175</v>
      </c>
      <c r="BO27" s="270" t="str">
        <f t="shared" si="21"/>
        <v>---</v>
      </c>
      <c r="BP27" s="276"/>
      <c r="BQ27" s="280"/>
      <c r="BR27" s="280"/>
      <c r="BS27" s="770"/>
      <c r="BT27" s="269" t="str">
        <f t="shared" si="22"/>
        <v>- - -</v>
      </c>
      <c r="BU27" s="269" t="str">
        <f t="shared" si="23"/>
        <v>NN</v>
      </c>
      <c r="BV27" s="269">
        <v>7</v>
      </c>
      <c r="BW27" s="269">
        <v>2012</v>
      </c>
      <c r="BX27" s="269"/>
      <c r="BY27" s="269"/>
      <c r="BZ27" s="280" t="str">
        <f t="shared" si="24"/>
        <v>- - -</v>
      </c>
      <c r="CA27" s="276"/>
      <c r="CB27" s="276"/>
      <c r="CC27" s="282"/>
      <c r="CD27" s="282"/>
      <c r="CE27" s="767" t="str">
        <f t="shared" si="25"/>
        <v>---</v>
      </c>
      <c r="CF27" s="298" t="str">
        <f t="shared" si="26"/>
        <v>/-/ /-/</v>
      </c>
      <c r="CG27" s="298">
        <f t="shared" si="27"/>
        <v>5</v>
      </c>
      <c r="CH27" s="298">
        <f t="shared" si="28"/>
        <v>2029</v>
      </c>
      <c r="CI27" s="157">
        <f t="shared" si="29"/>
        <v>2</v>
      </c>
      <c r="CJ27" s="157">
        <f t="shared" si="30"/>
        <v>2029</v>
      </c>
      <c r="CK27" s="154">
        <f t="shared" si="31"/>
        <v>11</v>
      </c>
      <c r="CL27" s="298">
        <f t="shared" si="32"/>
        <v>2028</v>
      </c>
      <c r="CM27" s="298" t="str">
        <f t="shared" si="33"/>
        <v>- - -</v>
      </c>
      <c r="CN27" s="298" t="str">
        <f t="shared" si="34"/>
        <v>. .</v>
      </c>
      <c r="CO27" s="298"/>
      <c r="CP27" s="158">
        <f t="shared" si="35"/>
        <v>720</v>
      </c>
      <c r="CQ27" s="158">
        <f t="shared" si="36"/>
        <v>-23620</v>
      </c>
      <c r="CR27" s="298">
        <f t="shared" si="37"/>
        <v>-1969</v>
      </c>
      <c r="CS27" s="158" t="str">
        <f t="shared" si="38"/>
        <v>Nam dưới 35</v>
      </c>
      <c r="CV27" s="157" t="str">
        <f t="shared" si="39"/>
        <v>Đến 30</v>
      </c>
      <c r="CW27" s="157" t="str">
        <f t="shared" si="40"/>
        <v>--</v>
      </c>
      <c r="DH27" s="157" t="s">
        <v>11</v>
      </c>
      <c r="DI27" s="157" t="s">
        <v>12</v>
      </c>
      <c r="DJ27" s="157" t="s">
        <v>13</v>
      </c>
      <c r="DK27" s="157" t="s">
        <v>12</v>
      </c>
      <c r="DL27" s="157">
        <v>2012</v>
      </c>
      <c r="DM27" s="157">
        <f t="shared" si="41"/>
        <v>0</v>
      </c>
      <c r="DN27" s="157" t="str">
        <f t="shared" si="42"/>
        <v>- - -</v>
      </c>
      <c r="DO27" s="157" t="s">
        <v>11</v>
      </c>
      <c r="DP27" s="157" t="s">
        <v>12</v>
      </c>
      <c r="DQ27" s="157" t="s">
        <v>13</v>
      </c>
      <c r="DR27" s="157" t="s">
        <v>12</v>
      </c>
      <c r="DS27" s="157">
        <v>2012</v>
      </c>
      <c r="DT27" s="157">
        <v>3.66</v>
      </c>
      <c r="DU27" s="157">
        <f t="shared" si="43"/>
        <v>8.0000000000000182E-2</v>
      </c>
      <c r="DV27" s="157" t="str">
        <f t="shared" si="44"/>
        <v>---</v>
      </c>
    </row>
    <row r="28" spans="1:126" s="157" customFormat="1" ht="30" customHeight="1" x14ac:dyDescent="0.25">
      <c r="A28" s="154">
        <v>253</v>
      </c>
      <c r="B28" s="335">
        <v>11</v>
      </c>
      <c r="C28" s="154" t="str">
        <f t="shared" si="0"/>
        <v>Bà</v>
      </c>
      <c r="D28" s="338" t="s">
        <v>158</v>
      </c>
      <c r="E28" s="154" t="s">
        <v>35</v>
      </c>
      <c r="F28" s="339">
        <v>11</v>
      </c>
      <c r="G28" s="339" t="s">
        <v>12</v>
      </c>
      <c r="H28" s="339" t="s">
        <v>11</v>
      </c>
      <c r="I28" s="339" t="s">
        <v>12</v>
      </c>
      <c r="J28" s="154">
        <v>1958</v>
      </c>
      <c r="K28" s="154"/>
      <c r="L28" s="154"/>
      <c r="M28" s="158" t="e">
        <f>VLOOKUP(L28,'[1]- DLiêu Gốc -'!$B$2:$G$121,2,0)</f>
        <v>#N/A</v>
      </c>
      <c r="N28" s="384"/>
      <c r="O28" s="383" t="s">
        <v>132</v>
      </c>
      <c r="P28" s="186" t="str">
        <f>VLOOKUP(U28,'[1]- DLiêu Gốc -'!$B$2:$G$56,5,0)</f>
        <v>A3</v>
      </c>
      <c r="Q28" s="186" t="str">
        <f>VLOOKUP(U28,'[1]- DLiêu Gốc -'!$B$2:$G$56,6,0)</f>
        <v>A3.1</v>
      </c>
      <c r="R28" s="154" t="s">
        <v>37</v>
      </c>
      <c r="S28" s="340" t="str">
        <f t="shared" si="1"/>
        <v>Giảng viên cao cấp (hạng I)</v>
      </c>
      <c r="T28" s="341" t="str">
        <f t="shared" si="2"/>
        <v>V.07.01.01</v>
      </c>
      <c r="U28" s="203" t="s">
        <v>122</v>
      </c>
      <c r="V28" s="156" t="str">
        <f>VLOOKUP(U28,'[1]- DLiêu Gốc -'!$B$1:$G$121,2,0)</f>
        <v>V.07.01.01</v>
      </c>
      <c r="W28" s="336" t="str">
        <f t="shared" si="3"/>
        <v>Lương</v>
      </c>
      <c r="X28" s="336">
        <v>1</v>
      </c>
      <c r="Y28" s="336" t="str">
        <f t="shared" si="4"/>
        <v>/</v>
      </c>
      <c r="Z28" s="336">
        <f t="shared" si="5"/>
        <v>6</v>
      </c>
      <c r="AA28" s="336">
        <f t="shared" si="6"/>
        <v>6.2</v>
      </c>
      <c r="AB28" s="336">
        <f t="shared" si="7"/>
        <v>2</v>
      </c>
      <c r="AC28" s="336" t="str">
        <f t="shared" si="8"/>
        <v>/</v>
      </c>
      <c r="AD28" s="336">
        <f t="shared" si="9"/>
        <v>6</v>
      </c>
      <c r="AE28" s="336">
        <f t="shared" si="10"/>
        <v>6.5600000000000005</v>
      </c>
      <c r="AF28" s="336" t="s">
        <v>11</v>
      </c>
      <c r="AG28" s="336" t="s">
        <v>12</v>
      </c>
      <c r="AH28" s="336" t="s">
        <v>40</v>
      </c>
      <c r="AI28" s="336" t="s">
        <v>12</v>
      </c>
      <c r="AJ28" s="336">
        <v>2013</v>
      </c>
      <c r="AK28" s="162"/>
      <c r="AL28" s="156"/>
      <c r="AM28" s="336">
        <f t="shared" si="11"/>
        <v>3</v>
      </c>
      <c r="AN28" s="336">
        <f t="shared" si="12"/>
        <v>-24158</v>
      </c>
      <c r="AO28" s="203"/>
      <c r="AP28" s="203"/>
      <c r="AQ28" s="336">
        <f>VLOOKUP(U28,'[1]- DLiêu Gốc -'!$B$1:$E$56,3,0)</f>
        <v>6.2</v>
      </c>
      <c r="AR28" s="336">
        <f>VLOOKUP(U28,'[1]- DLiêu Gốc -'!$B$1:$E$56,4,0)</f>
        <v>0.36</v>
      </c>
      <c r="AT28" s="336" t="str">
        <f t="shared" si="13"/>
        <v>PCTN</v>
      </c>
      <c r="AU28" s="342">
        <v>32</v>
      </c>
      <c r="AV28" s="343" t="s">
        <v>41</v>
      </c>
      <c r="AW28" s="342">
        <f t="shared" si="14"/>
        <v>33</v>
      </c>
      <c r="AX28" s="344" t="s">
        <v>41</v>
      </c>
      <c r="AY28" s="345">
        <v>3</v>
      </c>
      <c r="AZ28" s="191" t="s">
        <v>12</v>
      </c>
      <c r="BA28" s="346">
        <v>2015</v>
      </c>
      <c r="BB28" s="315"/>
      <c r="BC28" s="315"/>
      <c r="BD28" s="203"/>
      <c r="BE28" s="315">
        <v>3</v>
      </c>
      <c r="BF28" s="203">
        <f t="shared" si="15"/>
        <v>-24183</v>
      </c>
      <c r="BG28" s="155" t="str">
        <f t="shared" si="16"/>
        <v>- - -</v>
      </c>
      <c r="BH28" s="315" t="str">
        <f t="shared" si="17"/>
        <v>CC,VC</v>
      </c>
      <c r="BI28" s="154"/>
      <c r="BJ28" s="270"/>
      <c r="BK28" s="270" t="s">
        <v>10</v>
      </c>
      <c r="BL28" s="276" t="str">
        <f t="shared" si="18"/>
        <v>A</v>
      </c>
      <c r="BM28" s="274" t="str">
        <f t="shared" si="19"/>
        <v>=&gt; s</v>
      </c>
      <c r="BN28" s="276">
        <f t="shared" si="20"/>
        <v>24182</v>
      </c>
      <c r="BO28" s="270" t="str">
        <f t="shared" si="21"/>
        <v>---</v>
      </c>
      <c r="BP28" s="276"/>
      <c r="BQ28" s="280"/>
      <c r="BR28" s="280"/>
      <c r="BS28" s="770"/>
      <c r="BT28" s="269" t="str">
        <f t="shared" si="22"/>
        <v>- - -</v>
      </c>
      <c r="BU28" s="269" t="str">
        <f t="shared" si="23"/>
        <v>NN</v>
      </c>
      <c r="BV28" s="269">
        <v>5</v>
      </c>
      <c r="BW28" s="269">
        <v>2012</v>
      </c>
      <c r="BX28" s="269"/>
      <c r="BY28" s="269"/>
      <c r="BZ28" s="280" t="str">
        <f t="shared" si="24"/>
        <v>- - -</v>
      </c>
      <c r="CA28" s="276"/>
      <c r="CB28" s="276"/>
      <c r="CC28" s="282"/>
      <c r="CD28" s="282"/>
      <c r="CE28" s="767" t="str">
        <f t="shared" si="25"/>
        <v>---</v>
      </c>
      <c r="CF28" s="298" t="str">
        <f t="shared" si="26"/>
        <v>/-/ /-/</v>
      </c>
      <c r="CG28" s="298">
        <f t="shared" si="27"/>
        <v>2</v>
      </c>
      <c r="CH28" s="298">
        <f t="shared" si="28"/>
        <v>2020</v>
      </c>
      <c r="CI28" s="157">
        <f t="shared" si="29"/>
        <v>11</v>
      </c>
      <c r="CJ28" s="157">
        <f t="shared" si="30"/>
        <v>2019</v>
      </c>
      <c r="CK28" s="154">
        <f t="shared" si="31"/>
        <v>8</v>
      </c>
      <c r="CL28" s="298">
        <f t="shared" si="32"/>
        <v>2019</v>
      </c>
      <c r="CM28" s="298" t="str">
        <f t="shared" si="33"/>
        <v>- - -</v>
      </c>
      <c r="CN28" s="298" t="str">
        <f t="shared" si="34"/>
        <v>K.Dài</v>
      </c>
      <c r="CO28" s="298">
        <v>7</v>
      </c>
      <c r="CP28" s="158">
        <f t="shared" si="35"/>
        <v>744</v>
      </c>
      <c r="CQ28" s="158">
        <f t="shared" si="36"/>
        <v>-23485</v>
      </c>
      <c r="CR28" s="298">
        <f t="shared" si="37"/>
        <v>-1958</v>
      </c>
      <c r="CS28" s="158" t="str">
        <f t="shared" si="38"/>
        <v>Nữ dưới 30</v>
      </c>
      <c r="CV28" s="157" t="str">
        <f t="shared" si="39"/>
        <v>Đến 30</v>
      </c>
      <c r="CW28" s="157" t="str">
        <f t="shared" si="40"/>
        <v>--</v>
      </c>
      <c r="DB28" s="157" t="s">
        <v>129</v>
      </c>
      <c r="DH28" s="157" t="s">
        <v>11</v>
      </c>
      <c r="DI28" s="157" t="s">
        <v>12</v>
      </c>
      <c r="DJ28" s="157" t="s">
        <v>40</v>
      </c>
      <c r="DK28" s="157" t="s">
        <v>12</v>
      </c>
      <c r="DL28" s="157">
        <v>2013</v>
      </c>
      <c r="DM28" s="157">
        <f t="shared" si="41"/>
        <v>0</v>
      </c>
      <c r="DN28" s="157" t="str">
        <f t="shared" si="42"/>
        <v>- - -</v>
      </c>
      <c r="DO28" s="157" t="s">
        <v>11</v>
      </c>
      <c r="DP28" s="157" t="s">
        <v>12</v>
      </c>
      <c r="DQ28" s="157" t="s">
        <v>40</v>
      </c>
      <c r="DR28" s="157" t="s">
        <v>12</v>
      </c>
      <c r="DS28" s="157">
        <v>2013</v>
      </c>
      <c r="DT28" s="157">
        <v>6.1</v>
      </c>
      <c r="DU28" s="157" t="str">
        <f t="shared" si="43"/>
        <v>- - -</v>
      </c>
      <c r="DV28" s="157" t="str">
        <f t="shared" si="44"/>
        <v>---</v>
      </c>
    </row>
    <row r="29" spans="1:126" s="157" customFormat="1" ht="31.5" customHeight="1" x14ac:dyDescent="0.25">
      <c r="A29" s="154">
        <v>263</v>
      </c>
      <c r="B29" s="335">
        <v>12</v>
      </c>
      <c r="C29" s="154" t="str">
        <f t="shared" si="0"/>
        <v>Bà</v>
      </c>
      <c r="D29" s="338" t="s">
        <v>159</v>
      </c>
      <c r="E29" s="154" t="s">
        <v>35</v>
      </c>
      <c r="F29" s="339" t="s">
        <v>160</v>
      </c>
      <c r="G29" s="339" t="s">
        <v>12</v>
      </c>
      <c r="H29" s="339" t="s">
        <v>118</v>
      </c>
      <c r="I29" s="339" t="s">
        <v>12</v>
      </c>
      <c r="J29" s="154">
        <v>1981</v>
      </c>
      <c r="K29" s="154"/>
      <c r="L29" s="154"/>
      <c r="M29" s="158" t="e">
        <f>VLOOKUP(L29,'[1]- DLiêu Gốc -'!$B$2:$G$121,2,0)</f>
        <v>#N/A</v>
      </c>
      <c r="N29" s="384" t="s">
        <v>161</v>
      </c>
      <c r="O29" s="383" t="s">
        <v>132</v>
      </c>
      <c r="P29" s="186" t="str">
        <f>VLOOKUP(U29,'[1]- DLiêu Gốc -'!$B$2:$G$56,5,0)</f>
        <v>A1</v>
      </c>
      <c r="Q29" s="186" t="str">
        <f>VLOOKUP(U29,'[1]- DLiêu Gốc -'!$B$2:$G$56,6,0)</f>
        <v>- - -</v>
      </c>
      <c r="R29" s="154" t="s">
        <v>37</v>
      </c>
      <c r="S29" s="340" t="str">
        <f t="shared" si="1"/>
        <v>Giảng viên (hạng III)</v>
      </c>
      <c r="T29" s="341" t="str">
        <f t="shared" si="2"/>
        <v>V.07.01.03</v>
      </c>
      <c r="U29" s="203" t="s">
        <v>38</v>
      </c>
      <c r="V29" s="156" t="str">
        <f>VLOOKUP(U29,'[1]- DLiêu Gốc -'!$B$1:$G$121,2,0)</f>
        <v>V.07.01.03</v>
      </c>
      <c r="W29" s="336" t="str">
        <f t="shared" si="3"/>
        <v>Lương</v>
      </c>
      <c r="X29" s="336">
        <v>3</v>
      </c>
      <c r="Y29" s="336" t="str">
        <f t="shared" si="4"/>
        <v>/</v>
      </c>
      <c r="Z29" s="336">
        <f t="shared" si="5"/>
        <v>9</v>
      </c>
      <c r="AA29" s="336">
        <f t="shared" si="6"/>
        <v>3</v>
      </c>
      <c r="AB29" s="336">
        <f t="shared" si="7"/>
        <v>4</v>
      </c>
      <c r="AC29" s="336" t="str">
        <f t="shared" si="8"/>
        <v>/</v>
      </c>
      <c r="AD29" s="336">
        <f t="shared" si="9"/>
        <v>9</v>
      </c>
      <c r="AE29" s="336">
        <f t="shared" si="10"/>
        <v>3.33</v>
      </c>
      <c r="AF29" s="336" t="s">
        <v>11</v>
      </c>
      <c r="AG29" s="336" t="s">
        <v>12</v>
      </c>
      <c r="AH29" s="336" t="s">
        <v>133</v>
      </c>
      <c r="AI29" s="336" t="s">
        <v>12</v>
      </c>
      <c r="AJ29" s="336">
        <v>2015</v>
      </c>
      <c r="AK29" s="162" t="s">
        <v>162</v>
      </c>
      <c r="AL29" s="156"/>
      <c r="AM29" s="336">
        <f t="shared" si="11"/>
        <v>3</v>
      </c>
      <c r="AN29" s="336">
        <f t="shared" si="12"/>
        <v>-24183</v>
      </c>
      <c r="AO29" s="203"/>
      <c r="AP29" s="203"/>
      <c r="AQ29" s="336">
        <f>VLOOKUP(U29,'[1]- DLiêu Gốc -'!$B$1:$E$56,3,0)</f>
        <v>2.34</v>
      </c>
      <c r="AR29" s="336">
        <f>VLOOKUP(U29,'[1]- DLiêu Gốc -'!$B$1:$E$56,4,0)</f>
        <v>0.33</v>
      </c>
      <c r="AT29" s="336" t="str">
        <f t="shared" si="13"/>
        <v>PCTN</v>
      </c>
      <c r="AU29" s="342">
        <v>7</v>
      </c>
      <c r="AV29" s="343" t="s">
        <v>41</v>
      </c>
      <c r="AW29" s="342">
        <f t="shared" si="14"/>
        <v>8</v>
      </c>
      <c r="AX29" s="344" t="s">
        <v>41</v>
      </c>
      <c r="AY29" s="345">
        <v>3</v>
      </c>
      <c r="AZ29" s="191" t="s">
        <v>12</v>
      </c>
      <c r="BA29" s="346">
        <v>2015</v>
      </c>
      <c r="BB29" s="315"/>
      <c r="BC29" s="315"/>
      <c r="BD29" s="203"/>
      <c r="BE29" s="315">
        <v>3</v>
      </c>
      <c r="BF29" s="203">
        <f t="shared" si="15"/>
        <v>-24183</v>
      </c>
      <c r="BG29" s="155" t="str">
        <f t="shared" si="16"/>
        <v>- - -</v>
      </c>
      <c r="BH29" s="315" t="str">
        <f t="shared" si="17"/>
        <v>CC,VC</v>
      </c>
      <c r="BI29" s="154"/>
      <c r="BJ29" s="270"/>
      <c r="BK29" s="270" t="s">
        <v>10</v>
      </c>
      <c r="BL29" s="276" t="str">
        <f t="shared" si="18"/>
        <v>A</v>
      </c>
      <c r="BM29" s="274" t="str">
        <f t="shared" si="19"/>
        <v>=&gt; s</v>
      </c>
      <c r="BN29" s="276">
        <f t="shared" si="20"/>
        <v>24207</v>
      </c>
      <c r="BO29" s="270" t="str">
        <f t="shared" si="21"/>
        <v>S</v>
      </c>
      <c r="BP29" s="276">
        <v>2012</v>
      </c>
      <c r="BQ29" s="280" t="s">
        <v>39</v>
      </c>
      <c r="BR29" s="280"/>
      <c r="BS29" s="770"/>
      <c r="BT29" s="269" t="str">
        <f t="shared" si="22"/>
        <v>Cùg Ng</v>
      </c>
      <c r="BU29" s="269" t="str">
        <f t="shared" si="23"/>
        <v>- - -</v>
      </c>
      <c r="BV29" s="269"/>
      <c r="BW29" s="269"/>
      <c r="BX29" s="269"/>
      <c r="BY29" s="269"/>
      <c r="BZ29" s="280" t="str">
        <f t="shared" si="24"/>
        <v>- - -</v>
      </c>
      <c r="CA29" s="276"/>
      <c r="CB29" s="276"/>
      <c r="CC29" s="282"/>
      <c r="CD29" s="282"/>
      <c r="CE29" s="767" t="str">
        <f t="shared" si="25"/>
        <v>---</v>
      </c>
      <c r="CF29" s="298" t="str">
        <f t="shared" si="26"/>
        <v>/-/ /-/</v>
      </c>
      <c r="CG29" s="298">
        <f t="shared" si="27"/>
        <v>10</v>
      </c>
      <c r="CH29" s="298">
        <f t="shared" si="28"/>
        <v>2036</v>
      </c>
      <c r="CI29" s="157">
        <f t="shared" si="29"/>
        <v>7</v>
      </c>
      <c r="CJ29" s="157">
        <f t="shared" si="30"/>
        <v>2036</v>
      </c>
      <c r="CK29" s="154">
        <f t="shared" si="31"/>
        <v>4</v>
      </c>
      <c r="CL29" s="298">
        <f t="shared" si="32"/>
        <v>2036</v>
      </c>
      <c r="CM29" s="298" t="str">
        <f t="shared" si="33"/>
        <v>- - -</v>
      </c>
      <c r="CN29" s="298" t="str">
        <f t="shared" si="34"/>
        <v>. .</v>
      </c>
      <c r="CO29" s="298"/>
      <c r="CP29" s="158">
        <f t="shared" si="35"/>
        <v>660</v>
      </c>
      <c r="CQ29" s="158">
        <f t="shared" si="36"/>
        <v>-23769</v>
      </c>
      <c r="CR29" s="298">
        <f t="shared" si="37"/>
        <v>-1981</v>
      </c>
      <c r="CS29" s="158" t="str">
        <f t="shared" si="38"/>
        <v>Nữ dưới 30</v>
      </c>
      <c r="CV29" s="157" t="str">
        <f t="shared" si="39"/>
        <v>Đến 30</v>
      </c>
      <c r="CW29" s="157" t="str">
        <f t="shared" si="40"/>
        <v>TD</v>
      </c>
      <c r="CX29" s="157">
        <v>2012</v>
      </c>
      <c r="DE29" s="157" t="s">
        <v>163</v>
      </c>
      <c r="DF29" s="157" t="s">
        <v>164</v>
      </c>
      <c r="DG29" s="157" t="s">
        <v>161</v>
      </c>
      <c r="DH29" s="157" t="s">
        <v>11</v>
      </c>
      <c r="DI29" s="157" t="s">
        <v>12</v>
      </c>
      <c r="DJ29" s="157" t="s">
        <v>133</v>
      </c>
      <c r="DK29" s="157" t="s">
        <v>12</v>
      </c>
      <c r="DL29" s="157">
        <v>2012</v>
      </c>
      <c r="DM29" s="157">
        <f t="shared" si="41"/>
        <v>0</v>
      </c>
      <c r="DN29" s="157" t="str">
        <f t="shared" si="42"/>
        <v>- - -</v>
      </c>
      <c r="DO29" s="157" t="s">
        <v>11</v>
      </c>
      <c r="DP29" s="157" t="s">
        <v>12</v>
      </c>
      <c r="DQ29" s="157" t="s">
        <v>133</v>
      </c>
      <c r="DR29" s="157" t="s">
        <v>12</v>
      </c>
      <c r="DS29" s="157">
        <v>2012</v>
      </c>
      <c r="DU29" s="157" t="str">
        <f t="shared" si="43"/>
        <v>- - -</v>
      </c>
      <c r="DV29" s="157" t="str">
        <f t="shared" si="44"/>
        <v>---</v>
      </c>
    </row>
    <row r="30" spans="1:126" s="157" customFormat="1" ht="28.5" customHeight="1" x14ac:dyDescent="0.25">
      <c r="A30" s="154">
        <v>264</v>
      </c>
      <c r="B30" s="335">
        <v>13</v>
      </c>
      <c r="C30" s="154" t="str">
        <f t="shared" si="0"/>
        <v>Bà</v>
      </c>
      <c r="D30" s="338" t="s">
        <v>165</v>
      </c>
      <c r="E30" s="154" t="s">
        <v>35</v>
      </c>
      <c r="F30" s="339" t="s">
        <v>166</v>
      </c>
      <c r="G30" s="339" t="s">
        <v>12</v>
      </c>
      <c r="H30" s="339" t="s">
        <v>44</v>
      </c>
      <c r="I30" s="339" t="s">
        <v>12</v>
      </c>
      <c r="J30" s="154">
        <v>1977</v>
      </c>
      <c r="K30" s="154"/>
      <c r="L30" s="154"/>
      <c r="M30" s="158" t="e">
        <f>VLOOKUP(L30,'[1]- DLiêu Gốc -'!$B$2:$G$121,2,0)</f>
        <v>#N/A</v>
      </c>
      <c r="N30" s="384" t="s">
        <v>131</v>
      </c>
      <c r="O30" s="383" t="s">
        <v>132</v>
      </c>
      <c r="P30" s="186" t="str">
        <f>VLOOKUP(U30,'[1]- DLiêu Gốc -'!$B$2:$G$56,5,0)</f>
        <v>A1</v>
      </c>
      <c r="Q30" s="186" t="str">
        <f>VLOOKUP(U30,'[1]- DLiêu Gốc -'!$B$2:$G$56,6,0)</f>
        <v>- - -</v>
      </c>
      <c r="R30" s="154" t="s">
        <v>37</v>
      </c>
      <c r="S30" s="340" t="str">
        <f t="shared" si="1"/>
        <v>Giảng viên (hạng III)</v>
      </c>
      <c r="T30" s="341" t="str">
        <f t="shared" si="2"/>
        <v>V.07.01.03</v>
      </c>
      <c r="U30" s="203" t="s">
        <v>38</v>
      </c>
      <c r="V30" s="156" t="str">
        <f>VLOOKUP(U30,'[1]- DLiêu Gốc -'!$B$1:$G$121,2,0)</f>
        <v>V.07.01.03</v>
      </c>
      <c r="W30" s="336" t="str">
        <f t="shared" si="3"/>
        <v>Lương</v>
      </c>
      <c r="X30" s="336">
        <v>4</v>
      </c>
      <c r="Y30" s="336" t="str">
        <f t="shared" si="4"/>
        <v>/</v>
      </c>
      <c r="Z30" s="336">
        <f t="shared" si="5"/>
        <v>9</v>
      </c>
      <c r="AA30" s="336">
        <f t="shared" si="6"/>
        <v>3.33</v>
      </c>
      <c r="AB30" s="336">
        <f t="shared" si="7"/>
        <v>5</v>
      </c>
      <c r="AC30" s="336" t="str">
        <f t="shared" si="8"/>
        <v>/</v>
      </c>
      <c r="AD30" s="336">
        <f t="shared" si="9"/>
        <v>9</v>
      </c>
      <c r="AE30" s="336">
        <f t="shared" si="10"/>
        <v>3.66</v>
      </c>
      <c r="AF30" s="336" t="s">
        <v>11</v>
      </c>
      <c r="AG30" s="336" t="s">
        <v>12</v>
      </c>
      <c r="AH30" s="336" t="s">
        <v>51</v>
      </c>
      <c r="AI30" s="336" t="s">
        <v>12</v>
      </c>
      <c r="AJ30" s="336">
        <v>2013</v>
      </c>
      <c r="AK30" s="162"/>
      <c r="AL30" s="156"/>
      <c r="AM30" s="336">
        <f t="shared" si="11"/>
        <v>3</v>
      </c>
      <c r="AN30" s="336">
        <f t="shared" si="12"/>
        <v>-24168</v>
      </c>
      <c r="AO30" s="203"/>
      <c r="AP30" s="203"/>
      <c r="AQ30" s="336">
        <f>VLOOKUP(U30,'[1]- DLiêu Gốc -'!$B$1:$E$56,3,0)</f>
        <v>2.34</v>
      </c>
      <c r="AR30" s="336">
        <f>VLOOKUP(U30,'[1]- DLiêu Gốc -'!$B$1:$E$56,4,0)</f>
        <v>0.33</v>
      </c>
      <c r="AT30" s="336" t="str">
        <f t="shared" si="13"/>
        <v>PCTN</v>
      </c>
      <c r="AU30" s="342">
        <v>12</v>
      </c>
      <c r="AV30" s="343" t="s">
        <v>41</v>
      </c>
      <c r="AW30" s="342">
        <f t="shared" si="14"/>
        <v>13</v>
      </c>
      <c r="AX30" s="344" t="s">
        <v>41</v>
      </c>
      <c r="AY30" s="345">
        <v>3</v>
      </c>
      <c r="AZ30" s="191" t="s">
        <v>12</v>
      </c>
      <c r="BA30" s="346">
        <v>2015</v>
      </c>
      <c r="BB30" s="315"/>
      <c r="BC30" s="315"/>
      <c r="BD30" s="203"/>
      <c r="BE30" s="315">
        <v>3</v>
      </c>
      <c r="BF30" s="203">
        <f t="shared" si="15"/>
        <v>-24183</v>
      </c>
      <c r="BG30" s="155" t="str">
        <f t="shared" si="16"/>
        <v>- - -</v>
      </c>
      <c r="BH30" s="315" t="str">
        <f t="shared" si="17"/>
        <v>CC,VC</v>
      </c>
      <c r="BI30" s="154"/>
      <c r="BJ30" s="270"/>
      <c r="BK30" s="270" t="s">
        <v>10</v>
      </c>
      <c r="BL30" s="276" t="str">
        <f t="shared" si="18"/>
        <v>A</v>
      </c>
      <c r="BM30" s="274" t="str">
        <f t="shared" si="19"/>
        <v>=&gt; s</v>
      </c>
      <c r="BN30" s="276">
        <f t="shared" si="20"/>
        <v>24192</v>
      </c>
      <c r="BO30" s="270" t="str">
        <f t="shared" si="21"/>
        <v>---</v>
      </c>
      <c r="BP30" s="276"/>
      <c r="BQ30" s="280"/>
      <c r="BR30" s="280"/>
      <c r="BS30" s="770"/>
      <c r="BT30" s="269" t="str">
        <f t="shared" si="22"/>
        <v>- - -</v>
      </c>
      <c r="BU30" s="269" t="str">
        <f t="shared" si="23"/>
        <v>- - -</v>
      </c>
      <c r="BV30" s="269"/>
      <c r="BW30" s="269"/>
      <c r="BX30" s="269"/>
      <c r="BY30" s="269"/>
      <c r="BZ30" s="280" t="str">
        <f t="shared" si="24"/>
        <v>- - -</v>
      </c>
      <c r="CA30" s="276"/>
      <c r="CB30" s="276"/>
      <c r="CC30" s="282"/>
      <c r="CD30" s="282"/>
      <c r="CE30" s="767" t="str">
        <f t="shared" si="25"/>
        <v>---</v>
      </c>
      <c r="CF30" s="298" t="str">
        <f t="shared" si="26"/>
        <v>/-/ /-/</v>
      </c>
      <c r="CG30" s="298">
        <f t="shared" si="27"/>
        <v>12</v>
      </c>
      <c r="CH30" s="298">
        <f t="shared" si="28"/>
        <v>2032</v>
      </c>
      <c r="CI30" s="157">
        <f t="shared" si="29"/>
        <v>9</v>
      </c>
      <c r="CJ30" s="157">
        <f t="shared" si="30"/>
        <v>2032</v>
      </c>
      <c r="CK30" s="154">
        <f t="shared" si="31"/>
        <v>6</v>
      </c>
      <c r="CL30" s="298">
        <f t="shared" si="32"/>
        <v>2032</v>
      </c>
      <c r="CM30" s="298" t="str">
        <f t="shared" si="33"/>
        <v>- - -</v>
      </c>
      <c r="CN30" s="298" t="str">
        <f t="shared" si="34"/>
        <v>. .</v>
      </c>
      <c r="CO30" s="298"/>
      <c r="CP30" s="158">
        <f t="shared" si="35"/>
        <v>660</v>
      </c>
      <c r="CQ30" s="158">
        <f t="shared" si="36"/>
        <v>-23723</v>
      </c>
      <c r="CR30" s="298">
        <f t="shared" si="37"/>
        <v>-1977</v>
      </c>
      <c r="CS30" s="158" t="str">
        <f t="shared" si="38"/>
        <v>Nữ dưới 30</v>
      </c>
      <c r="CV30" s="157" t="str">
        <f t="shared" si="39"/>
        <v>Đến 30</v>
      </c>
      <c r="CW30" s="157" t="str">
        <f t="shared" si="40"/>
        <v>--</v>
      </c>
      <c r="DG30" s="157" t="s">
        <v>131</v>
      </c>
      <c r="DH30" s="157" t="s">
        <v>11</v>
      </c>
      <c r="DI30" s="157" t="s">
        <v>12</v>
      </c>
      <c r="DJ30" s="157" t="s">
        <v>51</v>
      </c>
      <c r="DK30" s="157" t="s">
        <v>12</v>
      </c>
      <c r="DL30" s="157">
        <v>2013</v>
      </c>
      <c r="DM30" s="157">
        <f t="shared" si="41"/>
        <v>0</v>
      </c>
      <c r="DN30" s="157" t="str">
        <f t="shared" si="42"/>
        <v>- - -</v>
      </c>
      <c r="DO30" s="157" t="s">
        <v>11</v>
      </c>
      <c r="DP30" s="157" t="s">
        <v>12</v>
      </c>
      <c r="DQ30" s="157" t="s">
        <v>51</v>
      </c>
      <c r="DR30" s="157" t="s">
        <v>12</v>
      </c>
      <c r="DS30" s="157">
        <v>2013</v>
      </c>
      <c r="DU30" s="157" t="str">
        <f t="shared" si="43"/>
        <v>- - -</v>
      </c>
      <c r="DV30" s="157" t="str">
        <f t="shared" si="44"/>
        <v>---</v>
      </c>
    </row>
    <row r="31" spans="1:126" s="157" customFormat="1" ht="30" customHeight="1" x14ac:dyDescent="0.25">
      <c r="A31" s="154">
        <v>352</v>
      </c>
      <c r="B31" s="335">
        <v>14</v>
      </c>
      <c r="C31" s="154" t="str">
        <f t="shared" si="0"/>
        <v>Ông</v>
      </c>
      <c r="D31" s="338" t="s">
        <v>167</v>
      </c>
      <c r="E31" s="154" t="s">
        <v>43</v>
      </c>
      <c r="F31" s="339" t="s">
        <v>166</v>
      </c>
      <c r="G31" s="339" t="s">
        <v>12</v>
      </c>
      <c r="H31" s="339">
        <v>7</v>
      </c>
      <c r="I31" s="339" t="s">
        <v>12</v>
      </c>
      <c r="J31" s="154">
        <v>1974</v>
      </c>
      <c r="K31" s="154" t="str">
        <f>IF(AND((M31+0)&gt;0.3,(M31+0)&lt;1.5),"CVụ","- -")</f>
        <v>CVụ</v>
      </c>
      <c r="L31" s="154" t="s">
        <v>70</v>
      </c>
      <c r="M31" s="158" t="str">
        <f>VLOOKUP(L31,'[1]- DLiêu Gốc -'!$B$2:$G$121,2,0)</f>
        <v>0,4</v>
      </c>
      <c r="N31" s="384" t="s">
        <v>168</v>
      </c>
      <c r="O31" s="383" t="s">
        <v>169</v>
      </c>
      <c r="P31" s="186" t="str">
        <f>VLOOKUP(U31,'[1]- DLiêu Gốc -'!$B$2:$G$56,5,0)</f>
        <v>A1</v>
      </c>
      <c r="Q31" s="186" t="str">
        <f>VLOOKUP(U31,'[1]- DLiêu Gốc -'!$B$2:$G$56,6,0)</f>
        <v>- - -</v>
      </c>
      <c r="R31" s="154" t="s">
        <v>37</v>
      </c>
      <c r="S31" s="340" t="str">
        <f t="shared" si="1"/>
        <v>Giảng viên (hạng III)</v>
      </c>
      <c r="T31" s="341" t="str">
        <f t="shared" si="2"/>
        <v>V.07.01.03</v>
      </c>
      <c r="U31" s="203" t="s">
        <v>38</v>
      </c>
      <c r="V31" s="156" t="str">
        <f>VLOOKUP(U31,'[1]- DLiêu Gốc -'!$B$1:$G$121,2,0)</f>
        <v>V.07.01.03</v>
      </c>
      <c r="W31" s="336" t="str">
        <f t="shared" si="3"/>
        <v>Lương</v>
      </c>
      <c r="X31" s="336">
        <v>5</v>
      </c>
      <c r="Y31" s="336" t="str">
        <f t="shared" si="4"/>
        <v>/</v>
      </c>
      <c r="Z31" s="336">
        <f t="shared" si="5"/>
        <v>9</v>
      </c>
      <c r="AA31" s="336">
        <f t="shared" si="6"/>
        <v>3.66</v>
      </c>
      <c r="AB31" s="336">
        <f t="shared" si="7"/>
        <v>6</v>
      </c>
      <c r="AC31" s="336" t="str">
        <f t="shared" si="8"/>
        <v>/</v>
      </c>
      <c r="AD31" s="336">
        <f t="shared" si="9"/>
        <v>9</v>
      </c>
      <c r="AE31" s="336">
        <f t="shared" si="10"/>
        <v>3.99</v>
      </c>
      <c r="AF31" s="336" t="s">
        <v>11</v>
      </c>
      <c r="AG31" s="336" t="s">
        <v>12</v>
      </c>
      <c r="AH31" s="336" t="s">
        <v>133</v>
      </c>
      <c r="AI31" s="336" t="s">
        <v>12</v>
      </c>
      <c r="AJ31" s="336">
        <v>2013</v>
      </c>
      <c r="AK31" s="162"/>
      <c r="AL31" s="156"/>
      <c r="AM31" s="336">
        <f t="shared" si="11"/>
        <v>3</v>
      </c>
      <c r="AN31" s="336">
        <f t="shared" si="12"/>
        <v>-24159</v>
      </c>
      <c r="AO31" s="203"/>
      <c r="AP31" s="203"/>
      <c r="AQ31" s="336">
        <f>VLOOKUP(U31,'[1]- DLiêu Gốc -'!$B$1:$E$56,3,0)</f>
        <v>2.34</v>
      </c>
      <c r="AR31" s="336">
        <f>VLOOKUP(U31,'[1]- DLiêu Gốc -'!$B$1:$E$56,4,0)</f>
        <v>0.33</v>
      </c>
      <c r="AT31" s="336" t="str">
        <f t="shared" si="13"/>
        <v>PCTN</v>
      </c>
      <c r="AU31" s="342">
        <v>9</v>
      </c>
      <c r="AV31" s="343" t="s">
        <v>41</v>
      </c>
      <c r="AW31" s="342">
        <f t="shared" si="14"/>
        <v>10</v>
      </c>
      <c r="AX31" s="344" t="s">
        <v>41</v>
      </c>
      <c r="AY31" s="345">
        <v>3</v>
      </c>
      <c r="AZ31" s="191" t="s">
        <v>12</v>
      </c>
      <c r="BA31" s="346">
        <v>2015</v>
      </c>
      <c r="BB31" s="315"/>
      <c r="BC31" s="315"/>
      <c r="BD31" s="203"/>
      <c r="BE31" s="315">
        <v>3</v>
      </c>
      <c r="BF31" s="203">
        <f t="shared" si="15"/>
        <v>-24183</v>
      </c>
      <c r="BG31" s="155" t="str">
        <f t="shared" si="16"/>
        <v>- - -</v>
      </c>
      <c r="BH31" s="315" t="str">
        <f t="shared" si="17"/>
        <v>CC,VC</v>
      </c>
      <c r="BI31" s="154"/>
      <c r="BJ31" s="270"/>
      <c r="BK31" s="270" t="s">
        <v>10</v>
      </c>
      <c r="BL31" s="276" t="str">
        <f t="shared" si="18"/>
        <v>A</v>
      </c>
      <c r="BM31" s="274" t="str">
        <f t="shared" si="19"/>
        <v>=&gt; s</v>
      </c>
      <c r="BN31" s="276">
        <f t="shared" si="20"/>
        <v>24183</v>
      </c>
      <c r="BO31" s="270" t="str">
        <f t="shared" si="21"/>
        <v>---</v>
      </c>
      <c r="BP31" s="276"/>
      <c r="BQ31" s="280"/>
      <c r="BR31" s="280"/>
      <c r="BS31" s="770"/>
      <c r="BT31" s="269" t="str">
        <f t="shared" si="22"/>
        <v>- - -</v>
      </c>
      <c r="BU31" s="269" t="str">
        <f t="shared" si="23"/>
        <v>- - -</v>
      </c>
      <c r="BV31" s="269"/>
      <c r="BW31" s="269"/>
      <c r="BX31" s="269"/>
      <c r="BY31" s="269"/>
      <c r="BZ31" s="280" t="str">
        <f t="shared" si="24"/>
        <v>- - -</v>
      </c>
      <c r="CA31" s="276"/>
      <c r="CB31" s="276"/>
      <c r="CC31" s="282"/>
      <c r="CD31" s="282"/>
      <c r="CE31" s="767" t="str">
        <f t="shared" si="25"/>
        <v>---</v>
      </c>
      <c r="CF31" s="298" t="str">
        <f t="shared" si="26"/>
        <v>/-/ /-/</v>
      </c>
      <c r="CG31" s="298">
        <f t="shared" si="27"/>
        <v>8</v>
      </c>
      <c r="CH31" s="298">
        <f t="shared" si="28"/>
        <v>2034</v>
      </c>
      <c r="CI31" s="157">
        <f t="shared" si="29"/>
        <v>5</v>
      </c>
      <c r="CJ31" s="157">
        <f t="shared" si="30"/>
        <v>2034</v>
      </c>
      <c r="CK31" s="154">
        <f t="shared" si="31"/>
        <v>2</v>
      </c>
      <c r="CL31" s="298">
        <f t="shared" si="32"/>
        <v>2034</v>
      </c>
      <c r="CM31" s="298" t="str">
        <f t="shared" si="33"/>
        <v>- - -</v>
      </c>
      <c r="CN31" s="298" t="str">
        <f t="shared" si="34"/>
        <v>. .</v>
      </c>
      <c r="CO31" s="298"/>
      <c r="CP31" s="158">
        <f t="shared" si="35"/>
        <v>720</v>
      </c>
      <c r="CQ31" s="158">
        <f t="shared" si="36"/>
        <v>-23683</v>
      </c>
      <c r="CR31" s="298">
        <f t="shared" si="37"/>
        <v>-1974</v>
      </c>
      <c r="CS31" s="158" t="str">
        <f t="shared" si="38"/>
        <v>Nam dưới 35</v>
      </c>
      <c r="CV31" s="157" t="str">
        <f t="shared" si="39"/>
        <v>Đến 30</v>
      </c>
      <c r="CW31" s="157" t="str">
        <f t="shared" si="40"/>
        <v>TD</v>
      </c>
      <c r="CX31" s="157">
        <v>2008</v>
      </c>
      <c r="DG31" s="157" t="s">
        <v>168</v>
      </c>
      <c r="DH31" s="157" t="s">
        <v>11</v>
      </c>
      <c r="DI31" s="157" t="s">
        <v>12</v>
      </c>
      <c r="DJ31" s="157" t="s">
        <v>133</v>
      </c>
      <c r="DK31" s="157" t="s">
        <v>12</v>
      </c>
      <c r="DL31" s="157">
        <v>2013</v>
      </c>
      <c r="DM31" s="157">
        <f t="shared" si="41"/>
        <v>0</v>
      </c>
      <c r="DN31" s="157" t="str">
        <f t="shared" si="42"/>
        <v>- - -</v>
      </c>
      <c r="DO31" s="157" t="s">
        <v>11</v>
      </c>
      <c r="DP31" s="157" t="s">
        <v>12</v>
      </c>
      <c r="DQ31" s="157" t="s">
        <v>133</v>
      </c>
      <c r="DR31" s="157" t="s">
        <v>12</v>
      </c>
      <c r="DS31" s="157">
        <v>2013</v>
      </c>
      <c r="DU31" s="157" t="str">
        <f t="shared" si="43"/>
        <v>- - -</v>
      </c>
      <c r="DV31" s="157" t="str">
        <f t="shared" si="44"/>
        <v>---</v>
      </c>
    </row>
    <row r="32" spans="1:126" s="359" customFormat="1" ht="30.75" customHeight="1" x14ac:dyDescent="0.25">
      <c r="A32" s="358">
        <v>370</v>
      </c>
      <c r="B32" s="335">
        <v>15</v>
      </c>
      <c r="C32" s="358" t="str">
        <f t="shared" si="0"/>
        <v>Bà</v>
      </c>
      <c r="D32" s="701" t="s">
        <v>170</v>
      </c>
      <c r="E32" s="606" t="s">
        <v>35</v>
      </c>
      <c r="F32" s="702" t="s">
        <v>56</v>
      </c>
      <c r="G32" s="702" t="s">
        <v>12</v>
      </c>
      <c r="H32" s="702" t="s">
        <v>64</v>
      </c>
      <c r="I32" s="702" t="s">
        <v>12</v>
      </c>
      <c r="J32" s="606" t="s">
        <v>171</v>
      </c>
      <c r="K32" s="606" t="str">
        <f>IF(AND((M32+0)&gt;0.3,(M32+0)&lt;1.5),"CVụ","- -")</f>
        <v>CVụ</v>
      </c>
      <c r="L32" s="606" t="s">
        <v>70</v>
      </c>
      <c r="M32" s="703" t="str">
        <f>VLOOKUP(L32,'[1]- DLiêu Gốc -'!$B$2:$G$121,2,0)</f>
        <v>0,4</v>
      </c>
      <c r="N32" s="704" t="s">
        <v>61</v>
      </c>
      <c r="O32" s="705" t="s">
        <v>36</v>
      </c>
      <c r="P32" s="595" t="str">
        <f>VLOOKUP(U32,'[1]- DLiêu Gốc -'!$B$2:$G$56,5,0)</f>
        <v>A2</v>
      </c>
      <c r="Q32" s="595" t="str">
        <f>VLOOKUP(U32,'[1]- DLiêu Gốc -'!$B$2:$G$56,6,0)</f>
        <v>A2.1</v>
      </c>
      <c r="R32" s="606" t="s">
        <v>37</v>
      </c>
      <c r="S32" s="706" t="str">
        <f t="shared" si="1"/>
        <v>Giảng viên chính (hạng II)</v>
      </c>
      <c r="T32" s="707" t="str">
        <f t="shared" si="2"/>
        <v>V.07.01.02</v>
      </c>
      <c r="U32" s="612" t="s">
        <v>59</v>
      </c>
      <c r="V32" s="609" t="str">
        <f>VLOOKUP(U32,'[1]- DLiêu Gốc -'!$B$1:$G$121,2,0)</f>
        <v>V.07.01.02</v>
      </c>
      <c r="W32" s="615" t="str">
        <f t="shared" si="3"/>
        <v>Lương</v>
      </c>
      <c r="X32" s="615">
        <v>1</v>
      </c>
      <c r="Y32" s="615" t="str">
        <f t="shared" si="4"/>
        <v>/</v>
      </c>
      <c r="Z32" s="615">
        <f t="shared" si="5"/>
        <v>8</v>
      </c>
      <c r="AA32" s="615">
        <f t="shared" si="6"/>
        <v>4.4000000000000004</v>
      </c>
      <c r="AB32" s="615">
        <f t="shared" si="7"/>
        <v>2</v>
      </c>
      <c r="AC32" s="615" t="str">
        <f t="shared" si="8"/>
        <v>/</v>
      </c>
      <c r="AD32" s="615">
        <f t="shared" si="9"/>
        <v>8</v>
      </c>
      <c r="AE32" s="615">
        <f t="shared" si="10"/>
        <v>4.74</v>
      </c>
      <c r="AF32" s="615" t="s">
        <v>11</v>
      </c>
      <c r="AG32" s="615" t="s">
        <v>12</v>
      </c>
      <c r="AH32" s="615" t="s">
        <v>11</v>
      </c>
      <c r="AI32" s="615" t="s">
        <v>12</v>
      </c>
      <c r="AJ32" s="615">
        <v>2012</v>
      </c>
      <c r="AK32" s="608"/>
      <c r="AL32" s="609"/>
      <c r="AM32" s="615">
        <f t="shared" si="11"/>
        <v>3</v>
      </c>
      <c r="AN32" s="615">
        <f t="shared" si="12"/>
        <v>-24145</v>
      </c>
      <c r="AO32" s="612"/>
      <c r="AP32" s="612"/>
      <c r="AQ32" s="615">
        <f>VLOOKUP(U32,'[1]- DLiêu Gốc -'!$B$1:$E$56,3,0)</f>
        <v>4.4000000000000004</v>
      </c>
      <c r="AR32" s="615">
        <f>VLOOKUP(U32,'[1]- DLiêu Gốc -'!$B$1:$E$56,4,0)</f>
        <v>0.34</v>
      </c>
      <c r="AS32" s="578"/>
      <c r="AT32" s="615" t="str">
        <f t="shared" si="13"/>
        <v>PCTN</v>
      </c>
      <c r="AU32" s="708">
        <v>21</v>
      </c>
      <c r="AV32" s="709" t="s">
        <v>41</v>
      </c>
      <c r="AW32" s="708">
        <f t="shared" si="14"/>
        <v>22</v>
      </c>
      <c r="AX32" s="710" t="s">
        <v>41</v>
      </c>
      <c r="AY32" s="711" t="s">
        <v>133</v>
      </c>
      <c r="AZ32" s="600" t="s">
        <v>12</v>
      </c>
      <c r="BA32" s="712">
        <v>2015</v>
      </c>
      <c r="BB32" s="769"/>
      <c r="BC32" s="769"/>
      <c r="BD32" s="612"/>
      <c r="BE32" s="769">
        <v>3</v>
      </c>
      <c r="BF32" s="612">
        <f t="shared" si="15"/>
        <v>-24183</v>
      </c>
      <c r="BG32" s="713" t="str">
        <f t="shared" si="16"/>
        <v>- - -</v>
      </c>
      <c r="BH32" s="769" t="str">
        <f t="shared" si="17"/>
        <v>CC,VC</v>
      </c>
      <c r="BI32" s="606"/>
      <c r="BJ32" s="270"/>
      <c r="BK32" s="270" t="s">
        <v>10</v>
      </c>
      <c r="BL32" s="276" t="str">
        <f t="shared" si="18"/>
        <v>A</v>
      </c>
      <c r="BM32" s="274" t="str">
        <f t="shared" si="19"/>
        <v>=&gt; s</v>
      </c>
      <c r="BN32" s="276">
        <f t="shared" si="20"/>
        <v>24169</v>
      </c>
      <c r="BO32" s="270" t="str">
        <f t="shared" si="21"/>
        <v>---</v>
      </c>
      <c r="BP32" s="276"/>
      <c r="BQ32" s="280"/>
      <c r="BR32" s="280"/>
      <c r="BS32" s="770"/>
      <c r="BT32" s="269" t="str">
        <f t="shared" si="22"/>
        <v>- - -</v>
      </c>
      <c r="BU32" s="269" t="str">
        <f t="shared" si="23"/>
        <v>NN</v>
      </c>
      <c r="BV32" s="269">
        <v>1</v>
      </c>
      <c r="BW32" s="269">
        <v>2009</v>
      </c>
      <c r="BX32" s="269"/>
      <c r="BY32" s="269"/>
      <c r="BZ32" s="280" t="str">
        <f t="shared" si="24"/>
        <v>- - -</v>
      </c>
      <c r="CA32" s="276"/>
      <c r="CB32" s="276"/>
      <c r="CC32" s="282"/>
      <c r="CD32" s="282"/>
      <c r="CE32" s="766" t="str">
        <f t="shared" si="25"/>
        <v>---</v>
      </c>
      <c r="CF32" s="378" t="str">
        <f t="shared" si="26"/>
        <v>/-/ /-/</v>
      </c>
      <c r="CG32" s="378">
        <f t="shared" si="27"/>
        <v>7</v>
      </c>
      <c r="CH32" s="378">
        <f t="shared" si="28"/>
        <v>2022</v>
      </c>
      <c r="CI32" s="359">
        <f t="shared" si="29"/>
        <v>4</v>
      </c>
      <c r="CJ32" s="359">
        <f t="shared" si="30"/>
        <v>2022</v>
      </c>
      <c r="CK32" s="358">
        <f t="shared" si="31"/>
        <v>1</v>
      </c>
      <c r="CL32" s="378">
        <f t="shared" si="32"/>
        <v>2022</v>
      </c>
      <c r="CM32" s="378" t="str">
        <f t="shared" si="33"/>
        <v>- - -</v>
      </c>
      <c r="CN32" s="378" t="str">
        <f t="shared" si="34"/>
        <v>. .</v>
      </c>
      <c r="CO32" s="378"/>
      <c r="CP32" s="362">
        <f t="shared" si="35"/>
        <v>660</v>
      </c>
      <c r="CQ32" s="362">
        <f t="shared" si="36"/>
        <v>-23598</v>
      </c>
      <c r="CR32" s="378">
        <f t="shared" si="37"/>
        <v>-1967</v>
      </c>
      <c r="CS32" s="362" t="str">
        <f t="shared" si="38"/>
        <v>Nữ dưới 30</v>
      </c>
      <c r="CV32" s="359" t="str">
        <f t="shared" si="39"/>
        <v>Đến 30</v>
      </c>
      <c r="CW32" s="359" t="str">
        <f t="shared" si="40"/>
        <v>--</v>
      </c>
      <c r="DG32" s="359" t="s">
        <v>61</v>
      </c>
      <c r="DH32" s="359" t="s">
        <v>11</v>
      </c>
      <c r="DI32" s="359" t="s">
        <v>12</v>
      </c>
      <c r="DJ32" s="359" t="s">
        <v>11</v>
      </c>
      <c r="DK32" s="359" t="s">
        <v>12</v>
      </c>
      <c r="DL32" s="359">
        <v>2012</v>
      </c>
      <c r="DM32" s="359">
        <f t="shared" si="41"/>
        <v>0</v>
      </c>
      <c r="DN32" s="359" t="str">
        <f t="shared" si="42"/>
        <v>- - -</v>
      </c>
      <c r="DO32" s="359" t="s">
        <v>11</v>
      </c>
      <c r="DP32" s="359" t="s">
        <v>12</v>
      </c>
      <c r="DQ32" s="359" t="s">
        <v>11</v>
      </c>
      <c r="DR32" s="359" t="s">
        <v>12</v>
      </c>
      <c r="DS32" s="359">
        <v>2012</v>
      </c>
      <c r="DT32" s="359">
        <v>3.99</v>
      </c>
      <c r="DU32" s="359" t="str">
        <f t="shared" si="43"/>
        <v>- - -</v>
      </c>
      <c r="DV32" s="359" t="str">
        <f t="shared" si="44"/>
        <v>---</v>
      </c>
    </row>
    <row r="33" spans="1:126" s="157" customFormat="1" ht="30.75" customHeight="1" x14ac:dyDescent="0.25">
      <c r="A33" s="154">
        <v>383</v>
      </c>
      <c r="B33" s="563">
        <v>16</v>
      </c>
      <c r="C33" s="154" t="str">
        <f t="shared" si="0"/>
        <v>Bà</v>
      </c>
      <c r="D33" s="661" t="s">
        <v>172</v>
      </c>
      <c r="E33" s="733" t="s">
        <v>35</v>
      </c>
      <c r="F33" s="662" t="s">
        <v>66</v>
      </c>
      <c r="G33" s="662" t="s">
        <v>12</v>
      </c>
      <c r="H33" s="662" t="s">
        <v>51</v>
      </c>
      <c r="I33" s="662" t="s">
        <v>12</v>
      </c>
      <c r="J33" s="733" t="s">
        <v>173</v>
      </c>
      <c r="K33" s="733"/>
      <c r="L33" s="733"/>
      <c r="M33" s="663" t="e">
        <f>VLOOKUP(L33,'[1]- DLiêu Gốc -'!$B$2:$G$121,2,0)</f>
        <v>#N/A</v>
      </c>
      <c r="N33" s="664" t="s">
        <v>63</v>
      </c>
      <c r="O33" s="665" t="s">
        <v>36</v>
      </c>
      <c r="P33" s="666" t="str">
        <f>VLOOKUP(U33,'[1]- DLiêu Gốc -'!$B$2:$G$56,5,0)</f>
        <v>A1</v>
      </c>
      <c r="Q33" s="666" t="str">
        <f>VLOOKUP(U33,'[1]- DLiêu Gốc -'!$B$2:$G$56,6,0)</f>
        <v>- - -</v>
      </c>
      <c r="R33" s="733" t="s">
        <v>37</v>
      </c>
      <c r="S33" s="667" t="str">
        <f t="shared" si="1"/>
        <v>Giảng viên (hạng III)</v>
      </c>
      <c r="T33" s="668" t="str">
        <f t="shared" si="2"/>
        <v>V.07.01.03</v>
      </c>
      <c r="U33" s="669" t="s">
        <v>38</v>
      </c>
      <c r="V33" s="670" t="str">
        <f>VLOOKUP(U33,'[1]- DLiêu Gốc -'!$B$1:$G$121,2,0)</f>
        <v>V.07.01.03</v>
      </c>
      <c r="W33" s="671" t="str">
        <f t="shared" si="3"/>
        <v>Lương</v>
      </c>
      <c r="X33" s="671">
        <v>2</v>
      </c>
      <c r="Y33" s="671" t="str">
        <f t="shared" si="4"/>
        <v>/</v>
      </c>
      <c r="Z33" s="671">
        <f t="shared" si="5"/>
        <v>9</v>
      </c>
      <c r="AA33" s="671">
        <f t="shared" si="6"/>
        <v>2.67</v>
      </c>
      <c r="AB33" s="671">
        <f t="shared" si="7"/>
        <v>3</v>
      </c>
      <c r="AC33" s="671" t="str">
        <f t="shared" si="8"/>
        <v>/</v>
      </c>
      <c r="AD33" s="671">
        <f t="shared" si="9"/>
        <v>9</v>
      </c>
      <c r="AE33" s="671">
        <f t="shared" si="10"/>
        <v>3</v>
      </c>
      <c r="AF33" s="671" t="s">
        <v>11</v>
      </c>
      <c r="AG33" s="671" t="s">
        <v>12</v>
      </c>
      <c r="AH33" s="671" t="s">
        <v>133</v>
      </c>
      <c r="AI33" s="671" t="s">
        <v>12</v>
      </c>
      <c r="AJ33" s="671" t="s">
        <v>49</v>
      </c>
      <c r="AK33" s="672" t="s">
        <v>174</v>
      </c>
      <c r="AL33" s="670"/>
      <c r="AM33" s="671">
        <f t="shared" si="11"/>
        <v>3</v>
      </c>
      <c r="AN33" s="671">
        <f t="shared" si="12"/>
        <v>-24147</v>
      </c>
      <c r="AO33" s="669"/>
      <c r="AP33" s="669"/>
      <c r="AQ33" s="671">
        <f>VLOOKUP(U33,'[1]- DLiêu Gốc -'!$B$1:$E$56,3,0)</f>
        <v>2.34</v>
      </c>
      <c r="AR33" s="671">
        <f>VLOOKUP(U33,'[1]- DLiêu Gốc -'!$B$1:$E$56,4,0)</f>
        <v>0.33</v>
      </c>
      <c r="AS33" s="673"/>
      <c r="AT33" s="671" t="str">
        <f t="shared" si="13"/>
        <v>PCTN</v>
      </c>
      <c r="AU33" s="674">
        <v>7</v>
      </c>
      <c r="AV33" s="675" t="s">
        <v>41</v>
      </c>
      <c r="AW33" s="674">
        <f t="shared" si="14"/>
        <v>8</v>
      </c>
      <c r="AX33" s="676" t="s">
        <v>41</v>
      </c>
      <c r="AY33" s="677" t="s">
        <v>133</v>
      </c>
      <c r="AZ33" s="678" t="s">
        <v>12</v>
      </c>
      <c r="BA33" s="679">
        <v>2015</v>
      </c>
      <c r="BB33" s="714"/>
      <c r="BC33" s="714">
        <v>9</v>
      </c>
      <c r="BD33" s="669" t="s">
        <v>175</v>
      </c>
      <c r="BE33" s="714">
        <v>3</v>
      </c>
      <c r="BF33" s="669">
        <f t="shared" si="15"/>
        <v>-24192</v>
      </c>
      <c r="BG33" s="167" t="str">
        <f t="shared" si="16"/>
        <v>- - -</v>
      </c>
      <c r="BH33" s="714" t="str">
        <f t="shared" si="17"/>
        <v>CC,VC</v>
      </c>
      <c r="BI33" s="760"/>
      <c r="BJ33" s="270"/>
      <c r="BK33" s="270" t="s">
        <v>10</v>
      </c>
      <c r="BL33" s="276" t="str">
        <f t="shared" si="18"/>
        <v>A</v>
      </c>
      <c r="BM33" s="274" t="str">
        <f t="shared" si="19"/>
        <v>=&gt; s</v>
      </c>
      <c r="BN33" s="276">
        <f t="shared" si="20"/>
        <v>24171</v>
      </c>
      <c r="BO33" s="270" t="str">
        <f t="shared" si="21"/>
        <v>---</v>
      </c>
      <c r="BP33" s="276"/>
      <c r="BQ33" s="280"/>
      <c r="BR33" s="280"/>
      <c r="BS33" s="770"/>
      <c r="BT33" s="269" t="str">
        <f t="shared" si="22"/>
        <v>- - -</v>
      </c>
      <c r="BU33" s="269" t="str">
        <f t="shared" si="23"/>
        <v>- - -</v>
      </c>
      <c r="BV33" s="269"/>
      <c r="BW33" s="269"/>
      <c r="BX33" s="269"/>
      <c r="BY33" s="269"/>
      <c r="BZ33" s="280" t="str">
        <f t="shared" si="24"/>
        <v>- - -</v>
      </c>
      <c r="CA33" s="276"/>
      <c r="CB33" s="276"/>
      <c r="CC33" s="282"/>
      <c r="CD33" s="282"/>
      <c r="CE33" s="767" t="str">
        <f t="shared" si="25"/>
        <v>---</v>
      </c>
      <c r="CF33" s="298" t="str">
        <f t="shared" si="26"/>
        <v>/-/ /-/</v>
      </c>
      <c r="CG33" s="298">
        <f t="shared" si="27"/>
        <v>1</v>
      </c>
      <c r="CH33" s="298">
        <f t="shared" si="28"/>
        <v>2037</v>
      </c>
      <c r="CI33" s="157">
        <f t="shared" si="29"/>
        <v>10</v>
      </c>
      <c r="CJ33" s="157">
        <f t="shared" si="30"/>
        <v>2036</v>
      </c>
      <c r="CK33" s="154">
        <f t="shared" si="31"/>
        <v>7</v>
      </c>
      <c r="CL33" s="298">
        <f t="shared" si="32"/>
        <v>2036</v>
      </c>
      <c r="CM33" s="298" t="str">
        <f t="shared" si="33"/>
        <v>- - -</v>
      </c>
      <c r="CN33" s="298" t="str">
        <f t="shared" si="34"/>
        <v>. .</v>
      </c>
      <c r="CO33" s="298"/>
      <c r="CP33" s="158">
        <f t="shared" si="35"/>
        <v>660</v>
      </c>
      <c r="CQ33" s="158">
        <f t="shared" si="36"/>
        <v>-23772</v>
      </c>
      <c r="CR33" s="298">
        <f t="shared" si="37"/>
        <v>-1981</v>
      </c>
      <c r="CS33" s="158" t="str">
        <f t="shared" si="38"/>
        <v>Nữ dưới 30</v>
      </c>
      <c r="CV33" s="157" t="str">
        <f t="shared" si="39"/>
        <v>Đến 30</v>
      </c>
      <c r="CW33" s="157" t="str">
        <f t="shared" si="40"/>
        <v>TD</v>
      </c>
      <c r="CX33" s="157">
        <v>2009</v>
      </c>
      <c r="DG33" s="157" t="s">
        <v>63</v>
      </c>
      <c r="DH33" s="157" t="s">
        <v>11</v>
      </c>
      <c r="DI33" s="157" t="s">
        <v>12</v>
      </c>
      <c r="DJ33" s="157" t="s">
        <v>133</v>
      </c>
      <c r="DK33" s="157" t="s">
        <v>12</v>
      </c>
      <c r="DL33" s="157" t="s">
        <v>49</v>
      </c>
      <c r="DM33" s="157">
        <f t="shared" si="41"/>
        <v>0</v>
      </c>
      <c r="DN33" s="157" t="str">
        <f t="shared" si="42"/>
        <v>- - -</v>
      </c>
      <c r="DO33" s="157" t="s">
        <v>11</v>
      </c>
      <c r="DP33" s="157" t="s">
        <v>12</v>
      </c>
      <c r="DQ33" s="157" t="s">
        <v>133</v>
      </c>
      <c r="DR33" s="157" t="s">
        <v>12</v>
      </c>
      <c r="DS33" s="157" t="s">
        <v>49</v>
      </c>
      <c r="DU33" s="157" t="str">
        <f t="shared" si="43"/>
        <v>- - -</v>
      </c>
      <c r="DV33" s="157" t="str">
        <f t="shared" si="44"/>
        <v>---</v>
      </c>
    </row>
    <row r="34" spans="1:126" s="157" customFormat="1" ht="35.25" customHeight="1" x14ac:dyDescent="0.25">
      <c r="A34" s="154"/>
      <c r="B34" s="715"/>
      <c r="C34" s="154"/>
      <c r="D34" s="762" t="s">
        <v>176</v>
      </c>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63"/>
      <c r="AL34" s="763"/>
      <c r="AM34" s="763"/>
      <c r="AN34" s="763"/>
      <c r="AO34" s="763"/>
      <c r="AP34" s="763"/>
      <c r="AQ34" s="763"/>
      <c r="AR34" s="763"/>
      <c r="AS34" s="763"/>
      <c r="AT34" s="763"/>
      <c r="AU34" s="763"/>
      <c r="AV34" s="763"/>
      <c r="AW34" s="763"/>
      <c r="AX34" s="763"/>
      <c r="AY34" s="763"/>
      <c r="AZ34" s="763"/>
      <c r="BA34" s="763"/>
      <c r="BB34" s="355"/>
      <c r="BC34" s="355"/>
      <c r="BD34" s="355"/>
      <c r="BE34" s="355"/>
      <c r="BF34" s="355"/>
      <c r="BG34" s="355"/>
      <c r="BH34" s="355"/>
      <c r="BI34" s="761"/>
      <c r="BJ34" s="270"/>
      <c r="BK34" s="270"/>
      <c r="BL34" s="276"/>
      <c r="BM34" s="274"/>
      <c r="BN34" s="276"/>
      <c r="BO34" s="270"/>
      <c r="BP34" s="276"/>
      <c r="BQ34" s="280"/>
      <c r="BR34" s="280"/>
      <c r="BS34" s="770"/>
      <c r="BT34" s="269"/>
      <c r="BU34" s="269"/>
      <c r="BV34" s="269"/>
      <c r="BW34" s="269"/>
      <c r="BX34" s="269"/>
      <c r="BY34" s="269"/>
      <c r="BZ34" s="280"/>
      <c r="CA34" s="276"/>
      <c r="CB34" s="276"/>
      <c r="CC34" s="282"/>
      <c r="CD34" s="282"/>
      <c r="CE34" s="767"/>
      <c r="CF34" s="298"/>
      <c r="CG34" s="298"/>
      <c r="CH34" s="298"/>
      <c r="CK34" s="154"/>
      <c r="CL34" s="298"/>
      <c r="CM34" s="298"/>
      <c r="CN34" s="298"/>
      <c r="CO34" s="298"/>
      <c r="CP34" s="158"/>
      <c r="CQ34" s="158"/>
      <c r="CR34" s="298"/>
      <c r="CS34" s="158"/>
    </row>
    <row r="35" spans="1:126" s="157" customFormat="1" ht="42.75" customHeight="1" x14ac:dyDescent="0.25">
      <c r="A35" s="154">
        <v>637</v>
      </c>
      <c r="B35" s="335">
        <v>17</v>
      </c>
      <c r="C35" s="154" t="str">
        <f>IF(E35="Nam","Ông","Bà")</f>
        <v>Ông</v>
      </c>
      <c r="D35" s="338" t="s">
        <v>177</v>
      </c>
      <c r="E35" s="154" t="s">
        <v>43</v>
      </c>
      <c r="F35" s="339" t="s">
        <v>178</v>
      </c>
      <c r="G35" s="339" t="s">
        <v>12</v>
      </c>
      <c r="H35" s="339" t="s">
        <v>69</v>
      </c>
      <c r="I35" s="339" t="s">
        <v>12</v>
      </c>
      <c r="J35" s="154" t="s">
        <v>179</v>
      </c>
      <c r="K35" s="154" t="str">
        <f>IF(AND((M35+0)&gt;0.3,(M35+0)&lt;1.5),"CVụ","- -")</f>
        <v>CVụ</v>
      </c>
      <c r="L35" s="154" t="s">
        <v>58</v>
      </c>
      <c r="M35" s="158" t="str">
        <f>VLOOKUP(L35,'[1]- DLiêu Gốc -'!$B$2:$G$121,2,0)</f>
        <v>0,6</v>
      </c>
      <c r="N35" s="382" t="s">
        <v>180</v>
      </c>
      <c r="O35" s="383" t="s">
        <v>67</v>
      </c>
      <c r="P35" s="186" t="str">
        <f>VLOOKUP(U35,'[1]- DLiêu Gốc -'!$B$2:$G$56,5,0)</f>
        <v>A2</v>
      </c>
      <c r="Q35" s="186" t="str">
        <f>VLOOKUP(U35,'[1]- DLiêu Gốc -'!$B$2:$G$56,6,0)</f>
        <v>A2.1</v>
      </c>
      <c r="R35" s="154" t="s">
        <v>37</v>
      </c>
      <c r="S35" s="340" t="str">
        <f>IF(OR(U35="Kỹ thuật viên đánh máy",U35="Nhân viên đánh máy",U35="Nhân viên kỹ thuật",U35="Nhân viên văn thư",U35="Nhân viên phục vụ",U35="Lái xe cơ quan",U35="Nhân viên bảo vệ"),"Nhân viên",U35)</f>
        <v>Giảng viên chính (hạng II)</v>
      </c>
      <c r="T35" s="341" t="str">
        <f>IF(S35="Nhân viên","01.005",V35)</f>
        <v>V.07.01.02</v>
      </c>
      <c r="U35" s="203" t="s">
        <v>59</v>
      </c>
      <c r="V35" s="156" t="str">
        <f>VLOOKUP(U35,'[1]- DLiêu Gốc -'!$B$1:$G$121,2,0)</f>
        <v>V.07.01.02</v>
      </c>
      <c r="W35" s="336" t="str">
        <f>IF(OR(AND(AN35=36,AM35=3),AND(AN35=24,AM35=2),AND(AN35=12,AM35=1)),"Đến $",IF(AND(AN35&lt;12*10,OR(AND(AN35&gt;36,AM35=3),AND(AN35&gt;24,AN35&lt;120,AM35=2),AND(AN35&gt;12,AM35=1))),"Dừng $","Lương"))</f>
        <v>Lương</v>
      </c>
      <c r="X35" s="336">
        <v>4</v>
      </c>
      <c r="Y35" s="336" t="str">
        <f>IF(Z35&gt;0,"/")</f>
        <v>/</v>
      </c>
      <c r="Z35" s="336">
        <f>IF(OR(AR35=0.18,AR35=0.2),12,IF(AR35=0.31,10,IF(AR35=0.33,9,IF(AR35=0.34,8,IF(AR35=0.36,6)))))</f>
        <v>8</v>
      </c>
      <c r="AA35" s="336">
        <f>AQ35+(X35-1)*AR35</f>
        <v>5.42</v>
      </c>
      <c r="AB35" s="336">
        <f>X35+1</f>
        <v>5</v>
      </c>
      <c r="AC35" s="336" t="str">
        <f>IF(Z35=X35,"%",IF(Z35&gt;X35,"/"))</f>
        <v>/</v>
      </c>
      <c r="AD35" s="336">
        <f>IF(AND(Z35=X35,AB35=4),5,IF(AND(Z35=X35,AB35&gt;4),AB35+1,IF(Z35&gt;X35,Z35)))</f>
        <v>8</v>
      </c>
      <c r="AE35" s="336">
        <f>IF(Z35=X35,"%",IF(Z35&gt;X35,AA35+AR35))</f>
        <v>5.76</v>
      </c>
      <c r="AF35" s="336" t="s">
        <v>11</v>
      </c>
      <c r="AG35" s="336" t="s">
        <v>12</v>
      </c>
      <c r="AH35" s="336" t="s">
        <v>118</v>
      </c>
      <c r="AI35" s="336" t="s">
        <v>12</v>
      </c>
      <c r="AJ35" s="336">
        <v>2012</v>
      </c>
      <c r="AK35" s="162"/>
      <c r="AL35" s="156"/>
      <c r="AM35" s="336">
        <f>IF(AND(Z35&gt;X35,OR(AR35=0.18,AR35=0.2)),2,IF(AND(Z35&gt;X35,OR(AR35=0.31,AR35=0.33,AR35=0.34,AR35=0.36)),3,IF(Z35=X35,1)))</f>
        <v>3</v>
      </c>
      <c r="AN35" s="336">
        <f>12*($W$2-AJ35)+($W$4-AH35)-AO35</f>
        <v>-24153</v>
      </c>
      <c r="AO35" s="203"/>
      <c r="AP35" s="203"/>
      <c r="AQ35" s="336">
        <f>VLOOKUP(U35,'[1]- DLiêu Gốc -'!$B$1:$E$56,3,0)</f>
        <v>4.4000000000000004</v>
      </c>
      <c r="AR35" s="336">
        <f>VLOOKUP(U35,'[1]- DLiêu Gốc -'!$B$1:$E$56,4,0)</f>
        <v>0.34</v>
      </c>
      <c r="AT35" s="336" t="str">
        <f>IF(AND(AU35&gt;3,BF35=12),"Đến %",IF(AND(AU35&gt;3,BF35&gt;12,BF35&lt;120),"Dừng %",IF(AND(AU35&gt;3,BF35&lt;12),"PCTN","o-o-o")))</f>
        <v>PCTN</v>
      </c>
      <c r="AU35" s="342">
        <v>18</v>
      </c>
      <c r="AV35" s="343" t="s">
        <v>41</v>
      </c>
      <c r="AW35" s="342">
        <f>IF(AU35&gt;3,AU35+1,0)</f>
        <v>19</v>
      </c>
      <c r="AX35" s="344" t="s">
        <v>41</v>
      </c>
      <c r="AY35" s="345">
        <v>3</v>
      </c>
      <c r="AZ35" s="191" t="s">
        <v>12</v>
      </c>
      <c r="BA35" s="346">
        <v>2015</v>
      </c>
      <c r="BB35" s="315"/>
      <c r="BC35" s="315"/>
      <c r="BD35" s="203"/>
      <c r="BE35" s="315">
        <v>3</v>
      </c>
      <c r="BF35" s="203">
        <f>IF(AU35&gt;3,(($AT$2-BA35)*12+($AT$4-AY35)-BC35),"- - -")</f>
        <v>-24183</v>
      </c>
      <c r="BG35" s="155" t="str">
        <f>IF(AND(CF35="Hưu",AU35&gt;3),12-(12*(CL35-BA35)+(CK35-AY35))-BC35,"- - -")</f>
        <v>- - -</v>
      </c>
      <c r="BH35" s="315" t="str">
        <f>IF(BK35="công chức, viên chức","CC,VC",IF(BK35="người lao động","NLĐ","- - -"))</f>
        <v>CC,VC</v>
      </c>
      <c r="BI35" s="154"/>
      <c r="BJ35" s="270"/>
      <c r="BK35" s="270" t="s">
        <v>10</v>
      </c>
      <c r="BL35" s="276" t="str">
        <f>IF(O35="Cơ sở Học viện Hành chính khu vực miền Trung","B",IF(O35="Phân viện Khu vực Tây Nguyên","C",IF(O35="Cơ sở Học viện Hành chính tại thành phố Hồ Chí Minh","D","A")))</f>
        <v>A</v>
      </c>
      <c r="BM35" s="274" t="str">
        <f>IF(AND(AB35&gt;0,X35&lt;(Z35-1),BN35&gt;0,BN35&lt;13,OR(AND(BT35="Cùg Ng",($BM$2-BP35)&gt;AM35),BT35="- - -")),"Sớm TT","=&gt; s")</f>
        <v>=&gt; s</v>
      </c>
      <c r="BN35" s="276">
        <f>IF(AM35=3,36-(12*($BM$2-AJ35)+(12-AH35)-AO35),IF(AM35=2,24-(12*($BM$2-AJ35)+(12-AH35)-AO35),"---"))</f>
        <v>24177</v>
      </c>
      <c r="BO35" s="270" t="str">
        <f>IF(BP35&gt;1,"S","---")</f>
        <v>---</v>
      </c>
      <c r="BP35" s="276"/>
      <c r="BQ35" s="280"/>
      <c r="BR35" s="280"/>
      <c r="BS35" s="770"/>
      <c r="BT35" s="269" t="str">
        <f>IF(T35=BQ35,"Cùg Ng","- - -")</f>
        <v>- - -</v>
      </c>
      <c r="BU35" s="269" t="str">
        <f>IF(BW35&gt;2000,"NN","- - -")</f>
        <v>- - -</v>
      </c>
      <c r="BV35" s="269"/>
      <c r="BW35" s="269"/>
      <c r="BX35" s="269"/>
      <c r="BY35" s="269"/>
      <c r="BZ35" s="280" t="str">
        <f>IF(CB35&gt;2000,"CN","- - -")</f>
        <v>- - -</v>
      </c>
      <c r="CA35" s="276"/>
      <c r="CB35" s="276"/>
      <c r="CC35" s="282"/>
      <c r="CD35" s="282"/>
      <c r="CE35" s="767" t="str">
        <f>IF(AND(CF35="Hưu",X35&lt;(Z35-1),CM35&gt;0,CM35&lt;18,OR(AU35&lt;4,AND(AU35&gt;3,OR(BG35&lt;3,BG35&gt;5)))),"Lg Sớm",IF(AND(CF35="Hưu",X35&gt;(Z35-2),OR(AR35=0.33,AR35=0.34),OR(AU35&lt;4,AND(AU35&gt;3,OR(BG35&lt;3,BG35&gt;5)))),"Nâng Ngạch",IF(AND(CF35="Hưu",AM35=1,CM35&gt;2,CM35&lt;6,OR(AU35&lt;4,AND(AU35&gt;3,OR(BG35&lt;3,BG35&gt;5)))),"Nâng PcVK cùng QĐ",IF(AND(CF35="Hưu",AU35&gt;3,BG35&gt;2,BG35&lt;6,X35&lt;(Z35-1),CM35&gt;17,OR(AM35&gt;1,AND(AM35=1,OR(CM35&lt;3,CM35&gt;5)))),"Nâng PcNG cùng QĐ",IF(AND(CF35="Hưu",X35&lt;(Z35-1),CM35&gt;0,CM35&lt;18,AU35&gt;3,BG35&gt;2,BG35&lt;6),"Nâng Lg Sớm +(PcNG cùng QĐ)",IF(AND(CF35="Hưu",X35&gt;(Z35-2),OR(AR35=0.33,AR35=0.34),AU35&gt;3,BG35&gt;2,BG35&lt;6),"Nâng Ngạch +(PcNG cùng QĐ)",IF(AND(CF35="Hưu",AM35=1,CM35&gt;2,CM35&lt;6,AU35&gt;3,BG35&gt;2,BG35&lt;6),"Nâng (PcVK +PcNG) cùng QĐ",("---"))))))))</f>
        <v>---</v>
      </c>
      <c r="CF35" s="298" t="str">
        <f>IF(AND(CQ35&gt;CP35,CQ35&lt;(CP35+13)),"Hưu",IF(AND(CQ35&gt;(CP35+12),CQ35&lt;1000),"Quá","/-/ /-/"))</f>
        <v>/-/ /-/</v>
      </c>
      <c r="CG35" s="298">
        <f>IF((H35+0)&lt;12,(H35+0)+1,IF((H35+0)=12,1,IF((H35+0)&gt;12,(H35+0)-12)))</f>
        <v>5</v>
      </c>
      <c r="CH35" s="298">
        <f>IF(OR((H35+0)=12,(H35+0)&gt;12),J35+CP35/12+1,IF(AND((H35+0)&gt;0,(H35+0)&lt;12),J35+CP35/12,"---"))</f>
        <v>2016</v>
      </c>
      <c r="CI35" s="157">
        <f>IF(AND(CG35&gt;3,CG35&lt;13),CG35-3,IF(CG35&lt;4,CG35-3+12))</f>
        <v>2</v>
      </c>
      <c r="CJ35" s="157">
        <f>IF(CI35&lt;CG35,CH35,IF(CI35&gt;CG35,CH35-1))</f>
        <v>2016</v>
      </c>
      <c r="CK35" s="154">
        <f>IF(CG35&gt;6,CG35-6,IF(CG35=6,12,IF(CG35&lt;6,CG35+6)))</f>
        <v>11</v>
      </c>
      <c r="CL35" s="298">
        <f>IF(CG35&gt;6,CH35,IF(CG35&lt;7,CH35-1))</f>
        <v>2015</v>
      </c>
      <c r="CM35" s="298" t="str">
        <f>IF(AND(CF35="Hưu",AM35=3),36+AO35-(12*(CL35-AJ35)+(CK35-AH35)),IF(AND(CF35="Hưu",AM35=2),24+AO35-(12*(CL35-AJ35)+(CK35-AH35)),IF(AND(CF35="Hưu",AM35=1),12+AO35-(12*(CL35-AJ35)+(CK35-AH35)),"- - -")))</f>
        <v>- - -</v>
      </c>
      <c r="CN35" s="298" t="str">
        <f>IF(CO35&gt;0,"K.Dài",". .")</f>
        <v>. .</v>
      </c>
      <c r="CO35" s="298"/>
      <c r="CP35" s="158">
        <f>IF(E35="Nam",(60+CO35)*12,IF(E35="Nữ",(55+CO35)*12,))</f>
        <v>720</v>
      </c>
      <c r="CQ35" s="158">
        <f>12*($CF$4-J35)+(12-H35)</f>
        <v>-23464</v>
      </c>
      <c r="CR35" s="298">
        <f>$CV$4-J35</f>
        <v>-1956</v>
      </c>
      <c r="CS35" s="158" t="str">
        <f>IF(AND(CR35&lt;35,E35="Nam"),"Nam dưới 35",IF(AND(CR35&lt;30,E35="Nữ"),"Nữ dưới 30",IF(AND(CR35&gt;34,CR35&lt;46,E35="Nam"),"Nam từ 35 - 45",IF(AND(CR35&gt;29,CR35&lt;41,E35="Nữ"),"Nữ từ 30 - 40",IF(AND(CR35&gt;45,CR35&lt;56,E35="Nam"),"Nam trên 45 - 55",IF(AND(CR35&gt;40,CR35&lt;51,E35="Nữ"),"Nữ trên 40 - 50",IF(AND(CR35&gt;55,E35="Nam"),"Nam trên 55","Nữ trên 50")))))))</f>
        <v>Nam dưới 35</v>
      </c>
      <c r="CV35" s="157" t="str">
        <f>IF(CR35&lt;31,"Đến 30",IF(AND(CR35&gt;30,CR35&lt;46),"31 - 45",IF(AND(CR35&gt;45,CR35&lt;70),"Trên 45")))</f>
        <v>Đến 30</v>
      </c>
      <c r="CW35" s="157" t="str">
        <f>IF(CX35&gt;0,"TD","--")</f>
        <v>--</v>
      </c>
      <c r="DG35" s="157" t="s">
        <v>180</v>
      </c>
      <c r="DH35" s="157" t="s">
        <v>11</v>
      </c>
      <c r="DI35" s="157" t="s">
        <v>12</v>
      </c>
      <c r="DJ35" s="157" t="s">
        <v>118</v>
      </c>
      <c r="DK35" s="157" t="s">
        <v>12</v>
      </c>
      <c r="DL35" s="157">
        <v>2012</v>
      </c>
      <c r="DM35" s="157">
        <f>(DH35+0)-(DO35+0)</f>
        <v>0</v>
      </c>
      <c r="DN35" s="157" t="str">
        <f>IF(DM35&gt;0,"Sửa","- - -")</f>
        <v>- - -</v>
      </c>
      <c r="DO35" s="157" t="s">
        <v>11</v>
      </c>
      <c r="DP35" s="157" t="s">
        <v>12</v>
      </c>
      <c r="DQ35" s="157" t="s">
        <v>118</v>
      </c>
      <c r="DR35" s="157" t="s">
        <v>12</v>
      </c>
      <c r="DS35" s="157">
        <v>2012</v>
      </c>
      <c r="DU35" s="157" t="str">
        <f>IF(AND(AR35&gt;0.34,AB35=1,OR(AQ35=6.2,AQ35=5.75)),((AQ35-DT35)-2*0.34),IF(AND(AR35&gt;0.33,AB35=1,OR(AQ35=4.4,AQ35=4)),((AQ35-DT35)-2*0.33),"- - -"))</f>
        <v>- - -</v>
      </c>
      <c r="DV35" s="157" t="str">
        <f>IF(CF35="Hưu",12*(CL35-AJ35)+(CK35-AH35),"---")</f>
        <v>---</v>
      </c>
    </row>
    <row r="36" spans="1:126" s="157" customFormat="1" ht="45" customHeight="1" x14ac:dyDescent="0.25">
      <c r="A36" s="154">
        <v>664</v>
      </c>
      <c r="B36" s="335">
        <v>18</v>
      </c>
      <c r="C36" s="154" t="str">
        <f>IF(E36="Nam","Ông","Bà")</f>
        <v>Ông</v>
      </c>
      <c r="D36" s="338" t="s">
        <v>181</v>
      </c>
      <c r="E36" s="154" t="s">
        <v>43</v>
      </c>
      <c r="F36" s="339" t="s">
        <v>182</v>
      </c>
      <c r="G36" s="339" t="s">
        <v>12</v>
      </c>
      <c r="H36" s="339" t="s">
        <v>51</v>
      </c>
      <c r="I36" s="339" t="s">
        <v>12</v>
      </c>
      <c r="J36" s="154" t="s">
        <v>148</v>
      </c>
      <c r="K36" s="154"/>
      <c r="L36" s="154"/>
      <c r="M36" s="158" t="e">
        <f>VLOOKUP(L36,'[1]- DLiêu Gốc -'!$B$2:$G$121,2,0)</f>
        <v>#N/A</v>
      </c>
      <c r="N36" s="382" t="s">
        <v>71</v>
      </c>
      <c r="O36" s="383" t="s">
        <v>67</v>
      </c>
      <c r="P36" s="186" t="str">
        <f>VLOOKUP(U36,'[1]- DLiêu Gốc -'!$B$2:$G$56,5,0)</f>
        <v>A1</v>
      </c>
      <c r="Q36" s="186" t="str">
        <f>VLOOKUP(U36,'[1]- DLiêu Gốc -'!$B$2:$G$56,6,0)</f>
        <v>- - -</v>
      </c>
      <c r="R36" s="154" t="s">
        <v>37</v>
      </c>
      <c r="S36" s="340" t="str">
        <f>IF(OR(U36="Kỹ thuật viên đánh máy",U36="Nhân viên đánh máy",U36="Nhân viên kỹ thuật",U36="Nhân viên văn thư",U36="Nhân viên phục vụ",U36="Lái xe cơ quan",U36="Nhân viên bảo vệ"),"Nhân viên",U36)</f>
        <v>Giảng viên (hạng III)</v>
      </c>
      <c r="T36" s="341" t="str">
        <f>IF(S36="Nhân viên","01.005",V36)</f>
        <v>V.07.01.03</v>
      </c>
      <c r="U36" s="203" t="s">
        <v>38</v>
      </c>
      <c r="V36" s="156" t="str">
        <f>VLOOKUP(U36,'[1]- DLiêu Gốc -'!$B$1:$G$121,2,0)</f>
        <v>V.07.01.03</v>
      </c>
      <c r="W36" s="336" t="str">
        <f>IF(OR(AND(AN36=36,AM36=3),AND(AN36=24,AM36=2),AND(AN36=12,AM36=1)),"Đến $",IF(AND(AN36&lt;12*10,OR(AND(AN36&gt;36,AM36=3),AND(AN36&gt;24,AN36&lt;120,AM36=2),AND(AN36&gt;12,AM36=1))),"Dừng $","Lương"))</f>
        <v>Lương</v>
      </c>
      <c r="X36" s="336">
        <v>3</v>
      </c>
      <c r="Y36" s="336" t="str">
        <f>IF(Z36&gt;0,"/")</f>
        <v>/</v>
      </c>
      <c r="Z36" s="336">
        <f>IF(OR(AR36=0.18,AR36=0.2),12,IF(AR36=0.31,10,IF(AR36=0.33,9,IF(AR36=0.34,8,IF(AR36=0.36,6)))))</f>
        <v>9</v>
      </c>
      <c r="AA36" s="336">
        <f>AQ36+(X36-1)*AR36</f>
        <v>3</v>
      </c>
      <c r="AB36" s="336">
        <f>X36+1</f>
        <v>4</v>
      </c>
      <c r="AC36" s="336" t="str">
        <f>IF(Z36=X36,"%",IF(Z36&gt;X36,"/"))</f>
        <v>/</v>
      </c>
      <c r="AD36" s="336">
        <f>IF(AND(Z36=X36,AB36=4),5,IF(AND(Z36=X36,AB36&gt;4),AB36+1,IF(Z36&gt;X36,Z36)))</f>
        <v>9</v>
      </c>
      <c r="AE36" s="336">
        <f>IF(Z36=X36,"%",IF(Z36&gt;X36,AA36+AR36))</f>
        <v>3.33</v>
      </c>
      <c r="AF36" s="336" t="s">
        <v>11</v>
      </c>
      <c r="AG36" s="336" t="s">
        <v>12</v>
      </c>
      <c r="AH36" s="336" t="s">
        <v>133</v>
      </c>
      <c r="AI36" s="336" t="s">
        <v>12</v>
      </c>
      <c r="AJ36" s="336" t="s">
        <v>49</v>
      </c>
      <c r="AK36" s="162"/>
      <c r="AL36" s="156"/>
      <c r="AM36" s="336">
        <f>IF(AND(Z36&gt;X36,OR(AR36=0.18,AR36=0.2)),2,IF(AND(Z36&gt;X36,OR(AR36=0.31,AR36=0.33,AR36=0.34,AR36=0.36)),3,IF(Z36=X36,1)))</f>
        <v>3</v>
      </c>
      <c r="AN36" s="336">
        <f>12*($W$2-AJ36)+($W$4-AH36)-AO36</f>
        <v>-24147</v>
      </c>
      <c r="AO36" s="203"/>
      <c r="AP36" s="203"/>
      <c r="AQ36" s="336">
        <f>VLOOKUP(U36,'[1]- DLiêu Gốc -'!$B$1:$E$56,3,0)</f>
        <v>2.34</v>
      </c>
      <c r="AR36" s="336">
        <f>VLOOKUP(U36,'[1]- DLiêu Gốc -'!$B$1:$E$56,4,0)</f>
        <v>0.33</v>
      </c>
      <c r="AT36" s="336" t="str">
        <f>IF(AND(AU36&gt;3,BF36=12),"Đến %",IF(AND(AU36&gt;3,BF36&gt;12,BF36&lt;120),"Dừng %",IF(AND(AU36&gt;3,BF36&lt;12),"PCTN","o-o-o")))</f>
        <v>PCTN</v>
      </c>
      <c r="AU36" s="342">
        <v>8</v>
      </c>
      <c r="AV36" s="343" t="s">
        <v>41</v>
      </c>
      <c r="AW36" s="342">
        <f>IF(AU36&gt;3,AU36+1,0)</f>
        <v>9</v>
      </c>
      <c r="AX36" s="344" t="s">
        <v>41</v>
      </c>
      <c r="AY36" s="345">
        <v>3</v>
      </c>
      <c r="AZ36" s="191" t="s">
        <v>12</v>
      </c>
      <c r="BA36" s="346">
        <v>2015</v>
      </c>
      <c r="BB36" s="315"/>
      <c r="BC36" s="315"/>
      <c r="BD36" s="203"/>
      <c r="BE36" s="315">
        <v>3</v>
      </c>
      <c r="BF36" s="203">
        <f>IF(AU36&gt;3,(($AT$2-BA36)*12+($AT$4-AY36)-BC36),"- - -")</f>
        <v>-24183</v>
      </c>
      <c r="BG36" s="155" t="str">
        <f>IF(AND(CF36="Hưu",AU36&gt;3),12-(12*(CL36-BA36)+(CK36-AY36))-BC36,"- - -")</f>
        <v>- - -</v>
      </c>
      <c r="BH36" s="315" t="str">
        <f>IF(BK36="công chức, viên chức","CC,VC",IF(BK36="người lao động","NLĐ","- - -"))</f>
        <v>CC,VC</v>
      </c>
      <c r="BI36" s="154"/>
      <c r="BJ36" s="270"/>
      <c r="BK36" s="270" t="s">
        <v>10</v>
      </c>
      <c r="BL36" s="276" t="str">
        <f>IF(O36="Cơ sở Học viện Hành chính khu vực miền Trung","B",IF(O36="Phân viện Khu vực Tây Nguyên","C",IF(O36="Cơ sở Học viện Hành chính tại thành phố Hồ Chí Minh","D","A")))</f>
        <v>A</v>
      </c>
      <c r="BM36" s="274" t="str">
        <f>IF(AND(AB36&gt;0,X36&lt;(Z36-1),BN36&gt;0,BN36&lt;13,OR(AND(BT36="Cùg Ng",($BM$2-BP36)&gt;AM36),BT36="- - -")),"Sớm TT","=&gt; s")</f>
        <v>=&gt; s</v>
      </c>
      <c r="BN36" s="276">
        <f>IF(AM36=3,36-(12*($BM$2-AJ36)+(12-AH36)-AO36),IF(AM36=2,24-(12*($BM$2-AJ36)+(12-AH36)-AO36),"---"))</f>
        <v>24171</v>
      </c>
      <c r="BO36" s="270" t="str">
        <f>IF(BP36&gt;1,"S","---")</f>
        <v>---</v>
      </c>
      <c r="BP36" s="276"/>
      <c r="BQ36" s="280"/>
      <c r="BR36" s="280"/>
      <c r="BS36" s="770"/>
      <c r="BT36" s="269" t="str">
        <f>IF(T36=BQ36,"Cùg Ng","- - -")</f>
        <v>- - -</v>
      </c>
      <c r="BU36" s="269" t="str">
        <f>IF(BW36&gt;2000,"NN","- - -")</f>
        <v>- - -</v>
      </c>
      <c r="BV36" s="269"/>
      <c r="BW36" s="269"/>
      <c r="BX36" s="269"/>
      <c r="BY36" s="269"/>
      <c r="BZ36" s="280" t="str">
        <f>IF(CB36&gt;2000,"CN","- - -")</f>
        <v>- - -</v>
      </c>
      <c r="CA36" s="276"/>
      <c r="CB36" s="276"/>
      <c r="CC36" s="282"/>
      <c r="CD36" s="282"/>
      <c r="CE36" s="767" t="str">
        <f>IF(AND(CF36="Hưu",X36&lt;(Z36-1),CM36&gt;0,CM36&lt;18,OR(AU36&lt;4,AND(AU36&gt;3,OR(BG36&lt;3,BG36&gt;5)))),"Lg Sớm",IF(AND(CF36="Hưu",X36&gt;(Z36-2),OR(AR36=0.33,AR36=0.34),OR(AU36&lt;4,AND(AU36&gt;3,OR(BG36&lt;3,BG36&gt;5)))),"Nâng Ngạch",IF(AND(CF36="Hưu",AM36=1,CM36&gt;2,CM36&lt;6,OR(AU36&lt;4,AND(AU36&gt;3,OR(BG36&lt;3,BG36&gt;5)))),"Nâng PcVK cùng QĐ",IF(AND(CF36="Hưu",AU36&gt;3,BG36&gt;2,BG36&lt;6,X36&lt;(Z36-1),CM36&gt;17,OR(AM36&gt;1,AND(AM36=1,OR(CM36&lt;3,CM36&gt;5)))),"Nâng PcNG cùng QĐ",IF(AND(CF36="Hưu",X36&lt;(Z36-1),CM36&gt;0,CM36&lt;18,AU36&gt;3,BG36&gt;2,BG36&lt;6),"Nâng Lg Sớm +(PcNG cùng QĐ)",IF(AND(CF36="Hưu",X36&gt;(Z36-2),OR(AR36=0.33,AR36=0.34),AU36&gt;3,BG36&gt;2,BG36&lt;6),"Nâng Ngạch +(PcNG cùng QĐ)",IF(AND(CF36="Hưu",AM36=1,CM36&gt;2,CM36&lt;6,AU36&gt;3,BG36&gt;2,BG36&lt;6),"Nâng (PcVK +PcNG) cùng QĐ",("---"))))))))</f>
        <v>---</v>
      </c>
      <c r="CF36" s="298" t="str">
        <f>IF(AND(CQ36&gt;CP36,CQ36&lt;(CP36+13)),"Hưu",IF(AND(CQ36&gt;(CP36+12),CQ36&lt;1000),"Quá","/-/ /-/"))</f>
        <v>/-/ /-/</v>
      </c>
      <c r="CG36" s="298">
        <f>IF((H36+0)&lt;12,(H36+0)+1,IF((H36+0)=12,1,IF((H36+0)&gt;12,(H36+0)-12)))</f>
        <v>1</v>
      </c>
      <c r="CH36" s="298">
        <f>IF(OR((H36+0)=12,(H36+0)&gt;12),J36+CP36/12+1,IF(AND((H36+0)&gt;0,(H36+0)&lt;12),J36+CP36/12,"---"))</f>
        <v>2031</v>
      </c>
      <c r="CI36" s="157">
        <f>IF(AND(CG36&gt;3,CG36&lt;13),CG36-3,IF(CG36&lt;4,CG36-3+12))</f>
        <v>10</v>
      </c>
      <c r="CJ36" s="157">
        <f>IF(CI36&lt;CG36,CH36,IF(CI36&gt;CG36,CH36-1))</f>
        <v>2030</v>
      </c>
      <c r="CK36" s="154">
        <f>IF(CG36&gt;6,CG36-6,IF(CG36=6,12,IF(CG36&lt;6,CG36+6)))</f>
        <v>7</v>
      </c>
      <c r="CL36" s="298">
        <f>IF(CG36&gt;6,CH36,IF(CG36&lt;7,CH36-1))</f>
        <v>2030</v>
      </c>
      <c r="CM36" s="298" t="str">
        <f>IF(AND(CF36="Hưu",AM36=3),36+AO36-(12*(CL36-AJ36)+(CK36-AH36)),IF(AND(CF36="Hưu",AM36=2),24+AO36-(12*(CL36-AJ36)+(CK36-AH36)),IF(AND(CF36="Hưu",AM36=1),12+AO36-(12*(CL36-AJ36)+(CK36-AH36)),"- - -")))</f>
        <v>- - -</v>
      </c>
      <c r="CN36" s="298" t="str">
        <f>IF(CO36&gt;0,"K.Dài",". .")</f>
        <v>. .</v>
      </c>
      <c r="CO36" s="298"/>
      <c r="CP36" s="158">
        <f>IF(E36="Nam",(60+CO36)*12,IF(E36="Nữ",(55+CO36)*12,))</f>
        <v>720</v>
      </c>
      <c r="CQ36" s="158">
        <f>12*($CF$4-J36)+(12-H36)</f>
        <v>-23640</v>
      </c>
      <c r="CR36" s="298">
        <f>$CV$4-J36</f>
        <v>-1970</v>
      </c>
      <c r="CS36" s="158" t="str">
        <f>IF(AND(CR36&lt;35,E36="Nam"),"Nam dưới 35",IF(AND(CR36&lt;30,E36="Nữ"),"Nữ dưới 30",IF(AND(CR36&gt;34,CR36&lt;46,E36="Nam"),"Nam từ 35 - 45",IF(AND(CR36&gt;29,CR36&lt;41,E36="Nữ"),"Nữ từ 30 - 40",IF(AND(CR36&gt;45,CR36&lt;56,E36="Nam"),"Nam trên 45 - 55",IF(AND(CR36&gt;40,CR36&lt;51,E36="Nữ"),"Nữ trên 40 - 50",IF(AND(CR36&gt;55,E36="Nam"),"Nam trên 55","Nữ trên 50")))))))</f>
        <v>Nam dưới 35</v>
      </c>
      <c r="CV36" s="157" t="str">
        <f>IF(CR36&lt;31,"Đến 30",IF(AND(CR36&gt;30,CR36&lt;46),"31 - 45",IF(AND(CR36&gt;45,CR36&lt;70),"Trên 45")))</f>
        <v>Đến 30</v>
      </c>
      <c r="CW36" s="157" t="str">
        <f>IF(CX36&gt;0,"TD","--")</f>
        <v>TD</v>
      </c>
      <c r="CX36" s="157">
        <v>2008</v>
      </c>
      <c r="DG36" s="157" t="s">
        <v>71</v>
      </c>
      <c r="DH36" s="157" t="s">
        <v>11</v>
      </c>
      <c r="DI36" s="157" t="s">
        <v>12</v>
      </c>
      <c r="DJ36" s="157" t="s">
        <v>133</v>
      </c>
      <c r="DK36" s="157" t="s">
        <v>12</v>
      </c>
      <c r="DL36" s="157" t="s">
        <v>49</v>
      </c>
      <c r="DM36" s="157">
        <f>(DH36+0)-(DO36+0)</f>
        <v>0</v>
      </c>
      <c r="DN36" s="157" t="str">
        <f>IF(DM36&gt;0,"Sửa","- - -")</f>
        <v>- - -</v>
      </c>
      <c r="DO36" s="157" t="s">
        <v>11</v>
      </c>
      <c r="DP36" s="157" t="s">
        <v>12</v>
      </c>
      <c r="DQ36" s="157" t="s">
        <v>133</v>
      </c>
      <c r="DR36" s="157" t="s">
        <v>12</v>
      </c>
      <c r="DS36" s="157" t="s">
        <v>49</v>
      </c>
      <c r="DU36" s="157" t="str">
        <f>IF(AND(AR36&gt;0.34,AB36=1,OR(AQ36=6.2,AQ36=5.75)),((AQ36-DT36)-2*0.34),IF(AND(AR36&gt;0.33,AB36=1,OR(AQ36=4.4,AQ36=4)),((AQ36-DT36)-2*0.33),"- - -"))</f>
        <v>- - -</v>
      </c>
      <c r="DV36" s="157" t="str">
        <f>IF(CF36="Hưu",12*(CL36-AJ36)+(CK36-AH36),"---")</f>
        <v>---</v>
      </c>
    </row>
    <row r="37" spans="1:126" s="157" customFormat="1" ht="48.75" customHeight="1" x14ac:dyDescent="0.25">
      <c r="A37" s="154">
        <v>696</v>
      </c>
      <c r="B37" s="335">
        <v>19</v>
      </c>
      <c r="C37" s="154" t="str">
        <f>IF(E37="Nam","Ông","Bà")</f>
        <v>Ông</v>
      </c>
      <c r="D37" s="338" t="s">
        <v>183</v>
      </c>
      <c r="E37" s="154" t="s">
        <v>43</v>
      </c>
      <c r="F37" s="339" t="s">
        <v>160</v>
      </c>
      <c r="G37" s="339" t="s">
        <v>12</v>
      </c>
      <c r="H37" s="339" t="s">
        <v>32</v>
      </c>
      <c r="I37" s="339" t="s">
        <v>12</v>
      </c>
      <c r="J37" s="154" t="s">
        <v>184</v>
      </c>
      <c r="K37" s="154" t="str">
        <f>IF(AND((M37+0)&gt;0.3,(M37+0)&lt;1.5),"CVụ","- -")</f>
        <v>CVụ</v>
      </c>
      <c r="L37" s="154" t="s">
        <v>70</v>
      </c>
      <c r="M37" s="158" t="str">
        <f>VLOOKUP(L37,'[1]- DLiêu Gốc -'!$B$2:$G$121,2,0)</f>
        <v>0,4</v>
      </c>
      <c r="N37" s="382" t="s">
        <v>185</v>
      </c>
      <c r="O37" s="383" t="s">
        <v>67</v>
      </c>
      <c r="P37" s="186" t="str">
        <f>VLOOKUP(U37,'[1]- DLiêu Gốc -'!$B$2:$G$56,5,0)</f>
        <v>A2</v>
      </c>
      <c r="Q37" s="186" t="str">
        <f>VLOOKUP(U37,'[1]- DLiêu Gốc -'!$B$2:$G$56,6,0)</f>
        <v>A2.1</v>
      </c>
      <c r="R37" s="154" t="s">
        <v>37</v>
      </c>
      <c r="S37" s="340" t="str">
        <f>IF(OR(U37="Kỹ thuật viên đánh máy",U37="Nhân viên đánh máy",U37="Nhân viên kỹ thuật",U37="Nhân viên văn thư",U37="Nhân viên phục vụ",U37="Lái xe cơ quan",U37="Nhân viên bảo vệ"),"Nhân viên",U37)</f>
        <v>Giảng viên chính (hạng II)</v>
      </c>
      <c r="T37" s="341" t="str">
        <f>IF(S37="Nhân viên","01.005",V37)</f>
        <v>V.07.01.02</v>
      </c>
      <c r="U37" s="203" t="s">
        <v>59</v>
      </c>
      <c r="V37" s="156" t="str">
        <f>VLOOKUP(U37,'[1]- DLiêu Gốc -'!$B$1:$G$121,2,0)</f>
        <v>V.07.01.02</v>
      </c>
      <c r="W37" s="336" t="str">
        <f>IF(OR(AND(AN37=36,AM37=3),AND(AN37=24,AM37=2),AND(AN37=12,AM37=1)),"Đến $",IF(AND(AN37&lt;12*10,OR(AND(AN37&gt;36,AM37=3),AND(AN37&gt;24,AN37&lt;120,AM37=2),AND(AN37&gt;12,AM37=1))),"Dừng $","Lương"))</f>
        <v>Lương</v>
      </c>
      <c r="X37" s="336">
        <v>5</v>
      </c>
      <c r="Y37" s="336" t="str">
        <f>IF(Z37&gt;0,"/")</f>
        <v>/</v>
      </c>
      <c r="Z37" s="336">
        <f>IF(OR(AR37=0.18,AR37=0.2),12,IF(AR37=0.31,10,IF(AR37=0.33,9,IF(AR37=0.34,8,IF(AR37=0.36,6)))))</f>
        <v>8</v>
      </c>
      <c r="AA37" s="336">
        <f>AQ37+(X37-1)*AR37</f>
        <v>5.7600000000000007</v>
      </c>
      <c r="AB37" s="336">
        <f>X37+1</f>
        <v>6</v>
      </c>
      <c r="AC37" s="336" t="str">
        <f>IF(Z37=X37,"%",IF(Z37&gt;X37,"/"))</f>
        <v>/</v>
      </c>
      <c r="AD37" s="336">
        <f>IF(AND(Z37=X37,AB37=4),5,IF(AND(Z37=X37,AB37&gt;4),AB37+1,IF(Z37&gt;X37,Z37)))</f>
        <v>8</v>
      </c>
      <c r="AE37" s="336">
        <f>IF(Z37=X37,"%",IF(Z37&gt;X37,AA37+AR37))</f>
        <v>6.1000000000000005</v>
      </c>
      <c r="AF37" s="336" t="s">
        <v>11</v>
      </c>
      <c r="AG37" s="336" t="s">
        <v>12</v>
      </c>
      <c r="AH37" s="336" t="s">
        <v>51</v>
      </c>
      <c r="AI37" s="336" t="s">
        <v>12</v>
      </c>
      <c r="AJ37" s="336">
        <v>2014</v>
      </c>
      <c r="AK37" s="162"/>
      <c r="AL37" s="156"/>
      <c r="AM37" s="336">
        <f>IF(AND(Z37&gt;X37,OR(AR37=0.18,AR37=0.2)),2,IF(AND(Z37&gt;X37,OR(AR37=0.31,AR37=0.33,AR37=0.34,AR37=0.36)),3,IF(Z37=X37,1)))</f>
        <v>3</v>
      </c>
      <c r="AN37" s="336">
        <f>12*($W$2-AJ37)+($W$4-AH37)-AO37</f>
        <v>-24180</v>
      </c>
      <c r="AO37" s="203"/>
      <c r="AP37" s="203"/>
      <c r="AQ37" s="336">
        <f>VLOOKUP(U37,'[1]- DLiêu Gốc -'!$B$1:$E$56,3,0)</f>
        <v>4.4000000000000004</v>
      </c>
      <c r="AR37" s="336">
        <f>VLOOKUP(U37,'[1]- DLiêu Gốc -'!$B$1:$E$56,4,0)</f>
        <v>0.34</v>
      </c>
      <c r="AT37" s="336" t="str">
        <f>IF(AND(AU37&gt;3,BF37=12),"Đến %",IF(AND(AU37&gt;3,BF37&gt;12,BF37&lt;120),"Dừng %",IF(AND(AU37&gt;3,BF37&lt;12),"PCTN","o-o-o")))</f>
        <v>PCTN</v>
      </c>
      <c r="AU37" s="342">
        <v>19</v>
      </c>
      <c r="AV37" s="343" t="s">
        <v>41</v>
      </c>
      <c r="AW37" s="342">
        <f>IF(AU37&gt;3,AU37+1,0)</f>
        <v>20</v>
      </c>
      <c r="AX37" s="344" t="s">
        <v>41</v>
      </c>
      <c r="AY37" s="345">
        <v>3</v>
      </c>
      <c r="AZ37" s="191" t="s">
        <v>12</v>
      </c>
      <c r="BA37" s="346">
        <v>2015</v>
      </c>
      <c r="BB37" s="315"/>
      <c r="BC37" s="315"/>
      <c r="BD37" s="203"/>
      <c r="BE37" s="315">
        <v>3</v>
      </c>
      <c r="BF37" s="203">
        <f>IF(AU37&gt;3,(($AT$2-BA37)*12+($AT$4-AY37)-BC37),"- - -")</f>
        <v>-24183</v>
      </c>
      <c r="BG37" s="155" t="str">
        <f>IF(AND(CF37="Hưu",AU37&gt;3),12-(12*(CL37-BA37)+(CK37-AY37))-BC37,"- - -")</f>
        <v>- - -</v>
      </c>
      <c r="BH37" s="315" t="str">
        <f>IF(BK37="công chức, viên chức","CC,VC",IF(BK37="người lao động","NLĐ","- - -"))</f>
        <v>CC,VC</v>
      </c>
      <c r="BI37" s="154"/>
      <c r="BJ37" s="270"/>
      <c r="BK37" s="270" t="s">
        <v>10</v>
      </c>
      <c r="BL37" s="276" t="str">
        <f>IF(O37="Cơ sở Học viện Hành chính khu vực miền Trung","B",IF(O37="Phân viện Khu vực Tây Nguyên","C",IF(O37="Cơ sở Học viện Hành chính tại thành phố Hồ Chí Minh","D","A")))</f>
        <v>A</v>
      </c>
      <c r="BM37" s="274" t="str">
        <f>IF(AND(AB37&gt;0,X37&lt;(Z37-1),BN37&gt;0,BN37&lt;13,OR(AND(BT37="Cùg Ng",($BM$2-BP37)&gt;AM37),BT37="- - -")),"Sớm TT","=&gt; s")</f>
        <v>=&gt; s</v>
      </c>
      <c r="BN37" s="276">
        <f>IF(AM37=3,36-(12*($BM$2-AJ37)+(12-AH37)-AO37),IF(AM37=2,24-(12*($BM$2-AJ37)+(12-AH37)-AO37),"---"))</f>
        <v>24204</v>
      </c>
      <c r="BO37" s="270" t="str">
        <f>IF(BP37&gt;1,"S","---")</f>
        <v>---</v>
      </c>
      <c r="BP37" s="276"/>
      <c r="BQ37" s="280"/>
      <c r="BR37" s="280"/>
      <c r="BS37" s="770"/>
      <c r="BT37" s="269" t="str">
        <f>IF(T37=BQ37,"Cùg Ng","- - -")</f>
        <v>- - -</v>
      </c>
      <c r="BU37" s="269" t="str">
        <f>IF(BW37&gt;2000,"NN","- - -")</f>
        <v>- - -</v>
      </c>
      <c r="BV37" s="269"/>
      <c r="BW37" s="269"/>
      <c r="BX37" s="269"/>
      <c r="BY37" s="269"/>
      <c r="BZ37" s="280" t="str">
        <f>IF(CB37&gt;2000,"CN","- - -")</f>
        <v>- - -</v>
      </c>
      <c r="CA37" s="276"/>
      <c r="CB37" s="276"/>
      <c r="CC37" s="282"/>
      <c r="CD37" s="282"/>
      <c r="CE37" s="767" t="str">
        <f>IF(AND(CF37="Hưu",X37&lt;(Z37-1),CM37&gt;0,CM37&lt;18,OR(AU37&lt;4,AND(AU37&gt;3,OR(BG37&lt;3,BG37&gt;5)))),"Lg Sớm",IF(AND(CF37="Hưu",X37&gt;(Z37-2),OR(AR37=0.33,AR37=0.34),OR(AU37&lt;4,AND(AU37&gt;3,OR(BG37&lt;3,BG37&gt;5)))),"Nâng Ngạch",IF(AND(CF37="Hưu",AM37=1,CM37&gt;2,CM37&lt;6,OR(AU37&lt;4,AND(AU37&gt;3,OR(BG37&lt;3,BG37&gt;5)))),"Nâng PcVK cùng QĐ",IF(AND(CF37="Hưu",AU37&gt;3,BG37&gt;2,BG37&lt;6,X37&lt;(Z37-1),CM37&gt;17,OR(AM37&gt;1,AND(AM37=1,OR(CM37&lt;3,CM37&gt;5)))),"Nâng PcNG cùng QĐ",IF(AND(CF37="Hưu",X37&lt;(Z37-1),CM37&gt;0,CM37&lt;18,AU37&gt;3,BG37&gt;2,BG37&lt;6),"Nâng Lg Sớm +(PcNG cùng QĐ)",IF(AND(CF37="Hưu",X37&gt;(Z37-2),OR(AR37=0.33,AR37=0.34),AU37&gt;3,BG37&gt;2,BG37&lt;6),"Nâng Ngạch +(PcNG cùng QĐ)",IF(AND(CF37="Hưu",AM37=1,CM37&gt;2,CM37&lt;6,AU37&gt;3,BG37&gt;2,BG37&lt;6),"Nâng (PcVK +PcNG) cùng QĐ",("---"))))))))</f>
        <v>---</v>
      </c>
      <c r="CF37" s="298" t="str">
        <f>IF(AND(CQ37&gt;CP37,CQ37&lt;(CP37+13)),"Hưu",IF(AND(CQ37&gt;(CP37+12),CQ37&lt;1000),"Quá","/-/ /-/"))</f>
        <v>/-/ /-/</v>
      </c>
      <c r="CG37" s="298">
        <f>IF((H37+0)&lt;12,(H37+0)+1,IF((H37+0)=12,1,IF((H37+0)&gt;12,(H37+0)-12)))</f>
        <v>9</v>
      </c>
      <c r="CH37" s="298">
        <f>IF(OR((H37+0)=12,(H37+0)&gt;12),J37+CP37/12+1,IF(AND((H37+0)&gt;0,(H37+0)&lt;12),J37+CP37/12,"---"))</f>
        <v>2021</v>
      </c>
      <c r="CI37" s="157">
        <f>IF(AND(CG37&gt;3,CG37&lt;13),CG37-3,IF(CG37&lt;4,CG37-3+12))</f>
        <v>6</v>
      </c>
      <c r="CJ37" s="157">
        <f>IF(CI37&lt;CG37,CH37,IF(CI37&gt;CG37,CH37-1))</f>
        <v>2021</v>
      </c>
      <c r="CK37" s="154">
        <f>IF(CG37&gt;6,CG37-6,IF(CG37=6,12,IF(CG37&lt;6,CG37+6)))</f>
        <v>3</v>
      </c>
      <c r="CL37" s="298">
        <f>IF(CG37&gt;6,CH37,IF(CG37&lt;7,CH37-1))</f>
        <v>2021</v>
      </c>
      <c r="CM37" s="298" t="str">
        <f>IF(AND(CF37="Hưu",AM37=3),36+AO37-(12*(CL37-AJ37)+(CK37-AH37)),IF(AND(CF37="Hưu",AM37=2),24+AO37-(12*(CL37-AJ37)+(CK37-AH37)),IF(AND(CF37="Hưu",AM37=1),12+AO37-(12*(CL37-AJ37)+(CK37-AH37)),"- - -")))</f>
        <v>- - -</v>
      </c>
      <c r="CN37" s="298" t="str">
        <f>IF(CO37&gt;0,"K.Dài",". .")</f>
        <v>. .</v>
      </c>
      <c r="CO37" s="298"/>
      <c r="CP37" s="158">
        <f>IF(E37="Nam",(60+CO37)*12,IF(E37="Nữ",(55+CO37)*12,))</f>
        <v>720</v>
      </c>
      <c r="CQ37" s="158">
        <f>12*($CF$4-J37)+(12-H37)</f>
        <v>-23528</v>
      </c>
      <c r="CR37" s="298">
        <f>$CV$4-J37</f>
        <v>-1961</v>
      </c>
      <c r="CS37" s="158" t="str">
        <f>IF(AND(CR37&lt;35,E37="Nam"),"Nam dưới 35",IF(AND(CR37&lt;30,E37="Nữ"),"Nữ dưới 30",IF(AND(CR37&gt;34,CR37&lt;46,E37="Nam"),"Nam từ 35 - 45",IF(AND(CR37&gt;29,CR37&lt;41,E37="Nữ"),"Nữ từ 30 - 40",IF(AND(CR37&gt;45,CR37&lt;56,E37="Nam"),"Nam trên 45 - 55",IF(AND(CR37&gt;40,CR37&lt;51,E37="Nữ"),"Nữ trên 40 - 50",IF(AND(CR37&gt;55,E37="Nam"),"Nam trên 55","Nữ trên 50")))))))</f>
        <v>Nam dưới 35</v>
      </c>
      <c r="CV37" s="157" t="str">
        <f>IF(CR37&lt;31,"Đến 30",IF(AND(CR37&gt;30,CR37&lt;46),"31 - 45",IF(AND(CR37&gt;45,CR37&lt;70),"Trên 45")))</f>
        <v>Đến 30</v>
      </c>
      <c r="CW37" s="157" t="str">
        <f>IF(CX37&gt;0,"TD","--")</f>
        <v>--</v>
      </c>
      <c r="DG37" s="157" t="s">
        <v>185</v>
      </c>
      <c r="DH37" s="157" t="s">
        <v>11</v>
      </c>
      <c r="DI37" s="157" t="s">
        <v>12</v>
      </c>
      <c r="DJ37" s="157" t="s">
        <v>51</v>
      </c>
      <c r="DK37" s="157" t="s">
        <v>12</v>
      </c>
      <c r="DL37" s="157" t="s">
        <v>33</v>
      </c>
      <c r="DM37" s="157">
        <f>(DH37+0)-(DO37+0)</f>
        <v>0</v>
      </c>
      <c r="DN37" s="157" t="str">
        <f>IF(DM37&gt;0,"Sửa","- - -")</f>
        <v>- - -</v>
      </c>
      <c r="DO37" s="157" t="s">
        <v>11</v>
      </c>
      <c r="DP37" s="157" t="s">
        <v>12</v>
      </c>
      <c r="DQ37" s="157" t="s">
        <v>51</v>
      </c>
      <c r="DR37" s="157" t="s">
        <v>12</v>
      </c>
      <c r="DS37" s="157" t="s">
        <v>33</v>
      </c>
      <c r="DU37" s="157" t="str">
        <f>IF(AND(AR37&gt;0.34,AB37=1,OR(AQ37=6.2,AQ37=5.75)),((AQ37-DT37)-2*0.34),IF(AND(AR37&gt;0.33,AB37=1,OR(AQ37=4.4,AQ37=4)),((AQ37-DT37)-2*0.33),"- - -"))</f>
        <v>- - -</v>
      </c>
      <c r="DV37" s="157" t="str">
        <f>IF(CF37="Hưu",12*(CL37-AJ37)+(CK37-AH37),"---")</f>
        <v>---</v>
      </c>
    </row>
    <row r="38" spans="1:126" s="157" customFormat="1" ht="42" customHeight="1" x14ac:dyDescent="0.25">
      <c r="A38" s="154">
        <v>712</v>
      </c>
      <c r="B38" s="335">
        <v>20</v>
      </c>
      <c r="C38" s="154" t="str">
        <f>IF(E38="Nam","Ông","Bà")</f>
        <v>Ông</v>
      </c>
      <c r="D38" s="338" t="s">
        <v>186</v>
      </c>
      <c r="E38" s="154" t="s">
        <v>43</v>
      </c>
      <c r="F38" s="339" t="s">
        <v>187</v>
      </c>
      <c r="G38" s="339" t="s">
        <v>12</v>
      </c>
      <c r="H38" s="339" t="s">
        <v>13</v>
      </c>
      <c r="I38" s="339" t="s">
        <v>12</v>
      </c>
      <c r="J38" s="154" t="s">
        <v>148</v>
      </c>
      <c r="K38" s="154" t="str">
        <f>IF(AND((M38+0)&gt;0.3,(M38+0)&lt;1.5),"CVụ","- -")</f>
        <v>CVụ</v>
      </c>
      <c r="L38" s="154" t="s">
        <v>120</v>
      </c>
      <c r="M38" s="158" t="str">
        <f>VLOOKUP(L38,'[1]- DLiêu Gốc -'!$B$2:$G$121,2,0)</f>
        <v>0,6</v>
      </c>
      <c r="N38" s="382" t="s">
        <v>188</v>
      </c>
      <c r="O38" s="383" t="s">
        <v>67</v>
      </c>
      <c r="P38" s="186" t="str">
        <f>VLOOKUP(U38,'[1]- DLiêu Gốc -'!$B$2:$G$56,5,0)</f>
        <v>A2</v>
      </c>
      <c r="Q38" s="186" t="str">
        <f>VLOOKUP(U38,'[1]- DLiêu Gốc -'!$B$2:$G$56,6,0)</f>
        <v>A2.1</v>
      </c>
      <c r="R38" s="154" t="s">
        <v>37</v>
      </c>
      <c r="S38" s="340" t="str">
        <f>IF(OR(U38="Kỹ thuật viên đánh máy",U38="Nhân viên đánh máy",U38="Nhân viên kỹ thuật",U38="Nhân viên văn thư",U38="Nhân viên phục vụ",U38="Lái xe cơ quan",U38="Nhân viên bảo vệ"),"Nhân viên",U38)</f>
        <v>Giảng viên chính (hạng II)</v>
      </c>
      <c r="T38" s="341" t="str">
        <f>IF(S38="Nhân viên","01.005",V38)</f>
        <v>V.07.01.02</v>
      </c>
      <c r="U38" s="203" t="s">
        <v>59</v>
      </c>
      <c r="V38" s="156" t="str">
        <f>VLOOKUP(U38,'[1]- DLiêu Gốc -'!$B$1:$G$121,2,0)</f>
        <v>V.07.01.02</v>
      </c>
      <c r="W38" s="336" t="str">
        <f>IF(OR(AND(AN38=36,AM38=3),AND(AN38=24,AM38=2),AND(AN38=12,AM38=1)),"Đến $",IF(AND(AN38&lt;12*10,OR(AND(AN38&gt;36,AM38=3),AND(AN38&gt;24,AN38&lt;120,AM38=2),AND(AN38&gt;12,AM38=1))),"Dừng $","Lương"))</f>
        <v>Lương</v>
      </c>
      <c r="X38" s="336">
        <v>1</v>
      </c>
      <c r="Y38" s="336" t="str">
        <f>IF(Z38&gt;0,"/")</f>
        <v>/</v>
      </c>
      <c r="Z38" s="336">
        <f>IF(OR(AR38=0.18,AR38=0.2),12,IF(AR38=0.31,10,IF(AR38=0.33,9,IF(AR38=0.34,8,IF(AR38=0.36,6)))))</f>
        <v>8</v>
      </c>
      <c r="AA38" s="336">
        <f>AQ38+(X38-1)*AR38</f>
        <v>4.4000000000000004</v>
      </c>
      <c r="AB38" s="336">
        <f>X38+1</f>
        <v>2</v>
      </c>
      <c r="AC38" s="336" t="str">
        <f>IF(Z38=X38,"%",IF(Z38&gt;X38,"/"))</f>
        <v>/</v>
      </c>
      <c r="AD38" s="336">
        <f>IF(AND(Z38=X38,AB38=4),5,IF(AND(Z38=X38,AB38&gt;4),AB38+1,IF(Z38&gt;X38,Z38)))</f>
        <v>8</v>
      </c>
      <c r="AE38" s="336">
        <f>IF(Z38=X38,"%",IF(Z38&gt;X38,AA38+AR38))</f>
        <v>4.74</v>
      </c>
      <c r="AF38" s="336" t="s">
        <v>11</v>
      </c>
      <c r="AG38" s="336" t="s">
        <v>12</v>
      </c>
      <c r="AH38" s="336" t="s">
        <v>11</v>
      </c>
      <c r="AI38" s="336" t="s">
        <v>12</v>
      </c>
      <c r="AJ38" s="336" t="s">
        <v>49</v>
      </c>
      <c r="AK38" s="162"/>
      <c r="AL38" s="156"/>
      <c r="AM38" s="336">
        <f>IF(AND(Z38&gt;X38,OR(AR38=0.18,AR38=0.2)),2,IF(AND(Z38&gt;X38,OR(AR38=0.31,AR38=0.33,AR38=0.34,AR38=0.36)),3,IF(Z38=X38,1)))</f>
        <v>3</v>
      </c>
      <c r="AN38" s="336">
        <f>12*($W$2-AJ38)+($W$4-AH38)-AO38</f>
        <v>-24145</v>
      </c>
      <c r="AO38" s="203"/>
      <c r="AP38" s="203"/>
      <c r="AQ38" s="336">
        <f>VLOOKUP(U38,'[1]- DLiêu Gốc -'!$B$1:$E$56,3,0)</f>
        <v>4.4000000000000004</v>
      </c>
      <c r="AR38" s="336">
        <f>VLOOKUP(U38,'[1]- DLiêu Gốc -'!$B$1:$E$56,4,0)</f>
        <v>0.34</v>
      </c>
      <c r="AT38" s="336" t="str">
        <f>IF(AND(AU38&gt;3,BF38=12),"Đến %",IF(AND(AU38&gt;3,BF38&gt;12,BF38&lt;120),"Dừng %",IF(AND(AU38&gt;3,BF38&lt;12),"PCTN","o-o-o")))</f>
        <v>PCTN</v>
      </c>
      <c r="AU38" s="342">
        <v>23</v>
      </c>
      <c r="AV38" s="343" t="s">
        <v>41</v>
      </c>
      <c r="AW38" s="342">
        <f>IF(AU38&gt;3,AU38+1,0)</f>
        <v>24</v>
      </c>
      <c r="AX38" s="344" t="s">
        <v>41</v>
      </c>
      <c r="AY38" s="345">
        <v>3</v>
      </c>
      <c r="AZ38" s="191" t="s">
        <v>12</v>
      </c>
      <c r="BA38" s="346">
        <v>2015</v>
      </c>
      <c r="BB38" s="771"/>
      <c r="BC38" s="771"/>
      <c r="BD38" s="203"/>
      <c r="BE38" s="771">
        <v>3</v>
      </c>
      <c r="BF38" s="203">
        <f>IF(AU38&gt;3,(($AT$2-BA38)*12+($AT$4-AY38)-BC38),"- - -")</f>
        <v>-24183</v>
      </c>
      <c r="BG38" s="155" t="str">
        <f>IF(AND(CF38="Hưu",AU38&gt;3),12-(12*(CL38-BA38)+(CK38-AY38))-BC38,"- - -")</f>
        <v>- - -</v>
      </c>
      <c r="BH38" s="771" t="str">
        <f>IF(BK38="công chức, viên chức","CC,VC",IF(BK38="người lao động","NLĐ","- - -"))</f>
        <v>CC,VC</v>
      </c>
      <c r="BI38" s="154"/>
      <c r="BJ38" s="270"/>
      <c r="BK38" s="270" t="s">
        <v>10</v>
      </c>
      <c r="BL38" s="276" t="str">
        <f>IF(O38="Cơ sở Học viện Hành chính khu vực miền Trung","B",IF(O38="Phân viện Khu vực Tây Nguyên","C",IF(O38="Cơ sở Học viện Hành chính tại thành phố Hồ Chí Minh","D","A")))</f>
        <v>A</v>
      </c>
      <c r="BM38" s="274" t="str">
        <f>IF(AND(AB38&gt;0,X38&lt;(Z38-1),BN38&gt;0,BN38&lt;13,OR(AND(BT38="Cùg Ng",($BM$2-BP38)&gt;AM38),BT38="- - -")),"Sớm TT","=&gt; s")</f>
        <v>=&gt; s</v>
      </c>
      <c r="BN38" s="276">
        <f>IF(AM38=3,36-(12*($BM$2-AJ38)+(12-AH38)-AO38),IF(AM38=2,24-(12*($BM$2-AJ38)+(12-AH38)-AO38),"---"))</f>
        <v>24169</v>
      </c>
      <c r="BO38" s="270" t="str">
        <f>IF(BP38&gt;1,"S","---")</f>
        <v>---</v>
      </c>
      <c r="BP38" s="276"/>
      <c r="BQ38" s="280"/>
      <c r="BR38" s="280"/>
      <c r="BS38" s="770"/>
      <c r="BT38" s="269" t="str">
        <f>IF(T38=BQ38,"Cùg Ng","- - -")</f>
        <v>- - -</v>
      </c>
      <c r="BU38" s="269" t="str">
        <f>IF(BW38&gt;2000,"NN","- - -")</f>
        <v>NN</v>
      </c>
      <c r="BV38" s="269">
        <v>1</v>
      </c>
      <c r="BW38" s="269">
        <v>2009</v>
      </c>
      <c r="BX38" s="269"/>
      <c r="BY38" s="269"/>
      <c r="BZ38" s="280" t="str">
        <f>IF(CB38&gt;2000,"CN","- - -")</f>
        <v>- - -</v>
      </c>
      <c r="CA38" s="276"/>
      <c r="CB38" s="276"/>
      <c r="CC38" s="282"/>
      <c r="CD38" s="282"/>
      <c r="CE38" s="767" t="str">
        <f>IF(AND(CF38="Hưu",X38&lt;(Z38-1),CM38&gt;0,CM38&lt;18,OR(AU38&lt;4,AND(AU38&gt;3,OR(BG38&lt;3,BG38&gt;5)))),"Lg Sớm",IF(AND(CF38="Hưu",X38&gt;(Z38-2),OR(AR38=0.33,AR38=0.34),OR(AU38&lt;4,AND(AU38&gt;3,OR(BG38&lt;3,BG38&gt;5)))),"Nâng Ngạch",IF(AND(CF38="Hưu",AM38=1,CM38&gt;2,CM38&lt;6,OR(AU38&lt;4,AND(AU38&gt;3,OR(BG38&lt;3,BG38&gt;5)))),"Nâng PcVK cùng QĐ",IF(AND(CF38="Hưu",AU38&gt;3,BG38&gt;2,BG38&lt;6,X38&lt;(Z38-1),CM38&gt;17,OR(AM38&gt;1,AND(AM38=1,OR(CM38&lt;3,CM38&gt;5)))),"Nâng PcNG cùng QĐ",IF(AND(CF38="Hưu",X38&lt;(Z38-1),CM38&gt;0,CM38&lt;18,AU38&gt;3,BG38&gt;2,BG38&lt;6),"Nâng Lg Sớm +(PcNG cùng QĐ)",IF(AND(CF38="Hưu",X38&gt;(Z38-2),OR(AR38=0.33,AR38=0.34),AU38&gt;3,BG38&gt;2,BG38&lt;6),"Nâng Ngạch +(PcNG cùng QĐ)",IF(AND(CF38="Hưu",AM38=1,CM38&gt;2,CM38&lt;6,AU38&gt;3,BG38&gt;2,BG38&lt;6),"Nâng (PcVK +PcNG) cùng QĐ",("---"))))))))</f>
        <v>---</v>
      </c>
      <c r="CF38" s="298" t="str">
        <f>IF(AND(CQ38&gt;CP38,CQ38&lt;(CP38+13)),"Hưu",IF(AND(CQ38&gt;(CP38+12),CQ38&lt;1000),"Quá","/-/ /-/"))</f>
        <v>/-/ /-/</v>
      </c>
      <c r="CG38" s="298">
        <f>IF((H38+0)&lt;12,(H38+0)+1,IF((H38+0)=12,1,IF((H38+0)&gt;12,(H38+0)-12)))</f>
        <v>8</v>
      </c>
      <c r="CH38" s="298">
        <f>IF(OR((H38+0)=12,(H38+0)&gt;12),J38+CP38/12+1,IF(AND((H38+0)&gt;0,(H38+0)&lt;12),J38+CP38/12,"---"))</f>
        <v>2030</v>
      </c>
      <c r="CI38" s="157">
        <f>IF(AND(CG38&gt;3,CG38&lt;13),CG38-3,IF(CG38&lt;4,CG38-3+12))</f>
        <v>5</v>
      </c>
      <c r="CJ38" s="157">
        <f>IF(CI38&lt;CG38,CH38,IF(CI38&gt;CG38,CH38-1))</f>
        <v>2030</v>
      </c>
      <c r="CK38" s="154">
        <f>IF(CG38&gt;6,CG38-6,IF(CG38=6,12,IF(CG38&lt;6,CG38+6)))</f>
        <v>2</v>
      </c>
      <c r="CL38" s="298">
        <f>IF(CG38&gt;6,CH38,IF(CG38&lt;7,CH38-1))</f>
        <v>2030</v>
      </c>
      <c r="CM38" s="298" t="str">
        <f>IF(AND(CF38="Hưu",AM38=3),36+AO38-(12*(CL38-AJ38)+(CK38-AH38)),IF(AND(CF38="Hưu",AM38=2),24+AO38-(12*(CL38-AJ38)+(CK38-AH38)),IF(AND(CF38="Hưu",AM38=1),12+AO38-(12*(CL38-AJ38)+(CK38-AH38)),"- - -")))</f>
        <v>- - -</v>
      </c>
      <c r="CN38" s="298" t="str">
        <f>IF(CO38&gt;0,"K.Dài",". .")</f>
        <v>. .</v>
      </c>
      <c r="CO38" s="298"/>
      <c r="CP38" s="158">
        <f>IF(E38="Nam",(60+CO38)*12,IF(E38="Nữ",(55+CO38)*12,))</f>
        <v>720</v>
      </c>
      <c r="CQ38" s="158">
        <f>12*($CF$4-J38)+(12-H38)</f>
        <v>-23635</v>
      </c>
      <c r="CR38" s="298">
        <f>$CV$4-J38</f>
        <v>-1970</v>
      </c>
      <c r="CS38" s="158" t="str">
        <f>IF(AND(CR38&lt;35,E38="Nam"),"Nam dưới 35",IF(AND(CR38&lt;30,E38="Nữ"),"Nữ dưới 30",IF(AND(CR38&gt;34,CR38&lt;46,E38="Nam"),"Nam từ 35 - 45",IF(AND(CR38&gt;29,CR38&lt;41,E38="Nữ"),"Nữ từ 30 - 40",IF(AND(CR38&gt;45,CR38&lt;56,E38="Nam"),"Nam trên 45 - 55",IF(AND(CR38&gt;40,CR38&lt;51,E38="Nữ"),"Nữ trên 40 - 50",IF(AND(CR38&gt;55,E38="Nam"),"Nam trên 55","Nữ trên 50")))))))</f>
        <v>Nam dưới 35</v>
      </c>
      <c r="CV38" s="157" t="str">
        <f>IF(CR38&lt;31,"Đến 30",IF(AND(CR38&gt;30,CR38&lt;46),"31 - 45",IF(AND(CR38&gt;45,CR38&lt;70),"Trên 45")))</f>
        <v>Đến 30</v>
      </c>
      <c r="CW38" s="157" t="str">
        <f>IF(CX38&gt;0,"TD","--")</f>
        <v>--</v>
      </c>
      <c r="DG38" s="157" t="s">
        <v>188</v>
      </c>
      <c r="DH38" s="157" t="s">
        <v>11</v>
      </c>
      <c r="DI38" s="157" t="s">
        <v>12</v>
      </c>
      <c r="DJ38" s="157" t="s">
        <v>11</v>
      </c>
      <c r="DK38" s="157" t="s">
        <v>12</v>
      </c>
      <c r="DL38" s="157" t="s">
        <v>49</v>
      </c>
      <c r="DM38" s="157">
        <f>(DH38+0)-(DO38+0)</f>
        <v>0</v>
      </c>
      <c r="DN38" s="157" t="str">
        <f>IF(DM38&gt;0,"Sửa","- - -")</f>
        <v>- - -</v>
      </c>
      <c r="DO38" s="157" t="s">
        <v>11</v>
      </c>
      <c r="DP38" s="157" t="s">
        <v>12</v>
      </c>
      <c r="DQ38" s="157" t="s">
        <v>11</v>
      </c>
      <c r="DR38" s="157" t="s">
        <v>12</v>
      </c>
      <c r="DS38" s="157" t="s">
        <v>49</v>
      </c>
      <c r="DT38" s="157">
        <v>3.99</v>
      </c>
      <c r="DU38" s="157" t="str">
        <f>IF(AND(AR38&gt;0.34,AB38=1,OR(AQ38=6.2,AQ38=5.75)),((AQ38-DT38)-2*0.34),IF(AND(AR38&gt;0.33,AB38=1,OR(AQ38=4.4,AQ38=4)),((AQ38-DT38)-2*0.33),"- - -"))</f>
        <v>- - -</v>
      </c>
      <c r="DV38" s="157" t="str">
        <f>IF(CF38="Hưu",12*(CL38-AJ38)+(CK38-AH38),"---")</f>
        <v>---</v>
      </c>
    </row>
    <row r="39" spans="1:126" s="333" customFormat="1" ht="3" customHeight="1" x14ac:dyDescent="0.25">
      <c r="A39" s="298"/>
      <c r="B39" s="313"/>
      <c r="C39" s="298"/>
      <c r="D39" s="305"/>
      <c r="E39" s="298"/>
      <c r="F39" s="298"/>
      <c r="G39" s="298"/>
      <c r="H39" s="298"/>
      <c r="I39" s="298"/>
      <c r="J39" s="298"/>
      <c r="K39" s="298"/>
      <c r="L39" s="298"/>
      <c r="M39" s="298"/>
      <c r="N39" s="305"/>
      <c r="O39" s="305"/>
      <c r="P39" s="298"/>
      <c r="Q39" s="298"/>
      <c r="R39" s="298"/>
      <c r="S39" s="298"/>
      <c r="T39" s="313"/>
      <c r="U39" s="298"/>
      <c r="V39" s="298"/>
      <c r="W39" s="298"/>
      <c r="X39" s="298"/>
      <c r="Y39" s="298"/>
      <c r="Z39" s="298"/>
      <c r="AA39" s="298"/>
      <c r="AB39" s="298"/>
      <c r="AC39" s="298"/>
      <c r="AD39" s="298"/>
      <c r="AE39" s="298"/>
      <c r="AF39" s="298"/>
      <c r="AG39" s="301"/>
      <c r="AH39" s="298"/>
      <c r="AI39" s="298"/>
      <c r="AJ39" s="298"/>
      <c r="AV39" s="298"/>
      <c r="AX39" s="298"/>
      <c r="AZ39" s="298"/>
      <c r="BA39" s="298"/>
      <c r="BJ39" s="301"/>
      <c r="BK39" s="301"/>
      <c r="BL39" s="301"/>
      <c r="BM39" s="301"/>
      <c r="BN39" s="301"/>
      <c r="BO39" s="301"/>
      <c r="BP39" s="301"/>
      <c r="BQ39" s="301"/>
      <c r="BR39" s="301"/>
      <c r="BS39" s="301"/>
      <c r="BT39" s="301"/>
      <c r="BU39" s="301"/>
      <c r="BV39" s="301"/>
      <c r="BW39" s="301"/>
      <c r="BX39" s="301"/>
      <c r="BY39" s="301"/>
    </row>
    <row r="40" spans="1:126" s="298" customFormat="1" ht="15.75" customHeight="1" x14ac:dyDescent="0.2">
      <c r="B40" s="347" t="s">
        <v>75</v>
      </c>
      <c r="D40" s="305"/>
      <c r="F40" s="348"/>
      <c r="J40" s="349"/>
      <c r="K40" s="349"/>
      <c r="L40" s="349"/>
      <c r="M40" s="349"/>
      <c r="N40" s="305"/>
      <c r="O40" s="350"/>
      <c r="P40" s="350"/>
      <c r="Q40" s="350"/>
      <c r="R40" s="350"/>
      <c r="T40" s="757" t="s">
        <v>76</v>
      </c>
      <c r="U40" s="757"/>
      <c r="V40" s="757"/>
      <c r="W40" s="757"/>
      <c r="X40" s="757"/>
      <c r="Y40" s="757"/>
      <c r="Z40" s="757"/>
      <c r="AA40" s="757"/>
      <c r="AB40" s="757"/>
      <c r="AC40" s="757"/>
      <c r="AD40" s="757"/>
      <c r="AE40" s="757"/>
      <c r="AF40" s="757"/>
      <c r="AG40" s="757"/>
      <c r="AH40" s="757"/>
      <c r="AI40" s="757"/>
      <c r="AJ40" s="757"/>
      <c r="AK40" s="757"/>
      <c r="AL40" s="757"/>
      <c r="AM40" s="757"/>
      <c r="AN40" s="757"/>
      <c r="AO40" s="757"/>
      <c r="AP40" s="757"/>
      <c r="AQ40" s="757"/>
      <c r="AR40" s="757"/>
      <c r="AS40" s="757"/>
      <c r="AT40" s="757"/>
      <c r="AU40" s="757"/>
      <c r="AV40" s="757"/>
      <c r="AW40" s="757"/>
      <c r="AX40" s="757"/>
      <c r="AY40" s="757"/>
      <c r="AZ40" s="757"/>
      <c r="BA40" s="757"/>
      <c r="BB40" s="757"/>
      <c r="BC40" s="757"/>
      <c r="BD40" s="757"/>
      <c r="BE40" s="757"/>
      <c r="BF40" s="757"/>
      <c r="BG40" s="757"/>
      <c r="BH40" s="757"/>
      <c r="BI40" s="757"/>
      <c r="BJ40" s="315"/>
      <c r="BK40" s="315"/>
      <c r="BL40" s="315"/>
      <c r="BM40" s="315"/>
      <c r="BN40" s="315"/>
      <c r="BO40" s="315"/>
      <c r="BP40" s="315"/>
      <c r="BQ40" s="315"/>
      <c r="BR40" s="315"/>
      <c r="BS40" s="315"/>
      <c r="BT40" s="315"/>
      <c r="BU40" s="315"/>
      <c r="BV40" s="315"/>
      <c r="BW40" s="315"/>
      <c r="BX40" s="315"/>
      <c r="BY40" s="315"/>
    </row>
    <row r="41" spans="1:126" s="353" customFormat="1" ht="15.75" customHeight="1" x14ac:dyDescent="0.2">
      <c r="A41" s="298"/>
      <c r="B41" s="351" t="s">
        <v>77</v>
      </c>
      <c r="C41" s="352"/>
      <c r="D41" s="305"/>
      <c r="F41" s="354"/>
      <c r="G41" s="298"/>
      <c r="H41" s="298"/>
      <c r="J41" s="355"/>
      <c r="K41" s="355"/>
      <c r="L41" s="355"/>
      <c r="M41" s="355"/>
      <c r="N41" s="305"/>
      <c r="O41" s="356"/>
      <c r="P41" s="356"/>
      <c r="Q41" s="356"/>
      <c r="R41" s="356"/>
      <c r="T41" s="757" t="s">
        <v>78</v>
      </c>
      <c r="U41" s="757"/>
      <c r="V41" s="757"/>
      <c r="W41" s="757"/>
      <c r="X41" s="757"/>
      <c r="Y41" s="757"/>
      <c r="Z41" s="757"/>
      <c r="AA41" s="757"/>
      <c r="AB41" s="757"/>
      <c r="AC41" s="757"/>
      <c r="AD41" s="757"/>
      <c r="AE41" s="757"/>
      <c r="AF41" s="757"/>
      <c r="AG41" s="757"/>
      <c r="AH41" s="757"/>
      <c r="AI41" s="757"/>
      <c r="AJ41" s="757"/>
      <c r="AK41" s="757"/>
      <c r="AL41" s="757"/>
      <c r="AM41" s="757"/>
      <c r="AN41" s="757"/>
      <c r="AO41" s="757"/>
      <c r="AP41" s="757"/>
      <c r="AQ41" s="757"/>
      <c r="AR41" s="757"/>
      <c r="AS41" s="757"/>
      <c r="AT41" s="757"/>
      <c r="AU41" s="757"/>
      <c r="AV41" s="757"/>
      <c r="AW41" s="757"/>
      <c r="AX41" s="757"/>
      <c r="AY41" s="757"/>
      <c r="AZ41" s="757"/>
      <c r="BA41" s="757"/>
      <c r="BB41" s="757"/>
      <c r="BC41" s="757"/>
      <c r="BD41" s="757"/>
      <c r="BE41" s="757"/>
      <c r="BF41" s="757"/>
      <c r="BG41" s="757"/>
      <c r="BH41" s="757"/>
      <c r="BI41" s="757"/>
      <c r="BJ41" s="387"/>
      <c r="BK41" s="387"/>
      <c r="BL41" s="387"/>
      <c r="BM41" s="387"/>
      <c r="BN41" s="387"/>
      <c r="BO41" s="387"/>
      <c r="BP41" s="387"/>
      <c r="BQ41" s="387"/>
      <c r="BR41" s="387"/>
      <c r="BS41" s="387"/>
      <c r="BT41" s="387"/>
      <c r="BU41" s="387"/>
      <c r="BV41" s="387"/>
      <c r="BW41" s="387"/>
      <c r="BX41" s="387"/>
      <c r="BY41" s="387"/>
    </row>
    <row r="42" spans="1:126" s="353" customFormat="1" ht="15.75" customHeight="1" x14ac:dyDescent="0.2">
      <c r="A42" s="298"/>
      <c r="B42" s="351" t="s">
        <v>79</v>
      </c>
      <c r="C42" s="352"/>
      <c r="D42" s="305"/>
      <c r="F42" s="354"/>
      <c r="G42" s="298"/>
      <c r="H42" s="298"/>
      <c r="J42" s="298"/>
      <c r="K42" s="298"/>
      <c r="L42" s="298"/>
      <c r="M42" s="298"/>
      <c r="N42" s="305"/>
      <c r="O42" s="305"/>
      <c r="P42" s="298"/>
      <c r="Q42" s="298"/>
      <c r="R42" s="298"/>
      <c r="T42" s="757"/>
      <c r="U42" s="757"/>
      <c r="V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7"/>
      <c r="AS42" s="757"/>
      <c r="AT42" s="757"/>
      <c r="AU42" s="757"/>
      <c r="AV42" s="757"/>
      <c r="AW42" s="757"/>
      <c r="AX42" s="757"/>
      <c r="AY42" s="757"/>
      <c r="AZ42" s="757"/>
      <c r="BA42" s="757"/>
      <c r="BB42" s="757"/>
      <c r="BC42" s="757"/>
      <c r="BD42" s="757"/>
      <c r="BE42" s="757"/>
      <c r="BF42" s="757"/>
      <c r="BG42" s="757"/>
      <c r="BH42" s="757"/>
      <c r="BI42" s="757"/>
      <c r="BJ42" s="387"/>
      <c r="BK42" s="387"/>
      <c r="BL42" s="387"/>
      <c r="BM42" s="387"/>
      <c r="BN42" s="387"/>
      <c r="BO42" s="387"/>
      <c r="BP42" s="387"/>
      <c r="BQ42" s="387"/>
      <c r="BR42" s="387"/>
      <c r="BS42" s="387"/>
      <c r="BT42" s="387"/>
      <c r="BU42" s="387"/>
      <c r="BV42" s="387"/>
      <c r="BW42" s="387"/>
      <c r="BX42" s="387"/>
      <c r="BY42" s="387"/>
    </row>
    <row r="43" spans="1:126" s="298" customFormat="1" ht="17.25" customHeight="1" x14ac:dyDescent="0.2">
      <c r="B43" s="351" t="s">
        <v>81</v>
      </c>
      <c r="D43" s="305"/>
      <c r="N43" s="305"/>
      <c r="O43" s="305"/>
      <c r="T43" s="764" t="s">
        <v>139</v>
      </c>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4"/>
      <c r="AY43" s="764"/>
      <c r="AZ43" s="764"/>
      <c r="BA43" s="764"/>
      <c r="BB43" s="764"/>
      <c r="BC43" s="764"/>
      <c r="BD43" s="764"/>
      <c r="BE43" s="764"/>
      <c r="BF43" s="764"/>
      <c r="BG43" s="764"/>
      <c r="BH43" s="764"/>
      <c r="BI43" s="764"/>
      <c r="BJ43" s="315"/>
      <c r="BK43" s="315"/>
      <c r="BL43" s="315"/>
      <c r="BM43" s="315"/>
      <c r="BN43" s="315"/>
      <c r="BO43" s="315"/>
      <c r="BP43" s="315"/>
      <c r="BQ43" s="315"/>
      <c r="BR43" s="315"/>
      <c r="BS43" s="315"/>
      <c r="BT43" s="315"/>
      <c r="BU43" s="315"/>
      <c r="BV43" s="315"/>
      <c r="BW43" s="315"/>
      <c r="BX43" s="315"/>
      <c r="BY43" s="315"/>
    </row>
    <row r="44" spans="1:126" s="353" customFormat="1" ht="5.25" customHeight="1" x14ac:dyDescent="0.25">
      <c r="A44" s="298"/>
      <c r="C44" s="352"/>
      <c r="D44" s="305"/>
      <c r="F44" s="354"/>
      <c r="G44" s="298"/>
      <c r="H44" s="298"/>
      <c r="J44" s="298"/>
      <c r="K44" s="298"/>
      <c r="L44" s="298"/>
      <c r="M44" s="298"/>
      <c r="N44" s="305"/>
      <c r="O44" s="305"/>
      <c r="P44" s="298"/>
      <c r="Q44" s="298"/>
      <c r="R44" s="298"/>
      <c r="T44" s="357"/>
    </row>
    <row r="45" spans="1:126" s="298" customFormat="1" ht="21.75" customHeight="1" x14ac:dyDescent="0.25">
      <c r="B45" s="313"/>
      <c r="D45" s="305"/>
      <c r="F45" s="348"/>
      <c r="N45" s="305"/>
      <c r="O45" s="305"/>
      <c r="T45" s="753" t="s">
        <v>82</v>
      </c>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3"/>
      <c r="AX45" s="753"/>
      <c r="AY45" s="753"/>
      <c r="AZ45" s="753"/>
      <c r="BA45" s="753"/>
      <c r="BB45" s="753"/>
      <c r="BC45" s="753"/>
      <c r="BD45" s="753"/>
      <c r="BE45" s="753"/>
      <c r="BF45" s="753"/>
      <c r="BG45" s="753"/>
      <c r="BH45" s="753"/>
      <c r="BI45" s="753"/>
    </row>
  </sheetData>
  <mergeCells count="34">
    <mergeCell ref="BI33:BI34"/>
    <mergeCell ref="D34:BA34"/>
    <mergeCell ref="AW16:AX16"/>
    <mergeCell ref="AY16:BA16"/>
    <mergeCell ref="T45:BI45"/>
    <mergeCell ref="T40:BI40"/>
    <mergeCell ref="T41:BI41"/>
    <mergeCell ref="T42:BI42"/>
    <mergeCell ref="T43:BI43"/>
    <mergeCell ref="BI23:BI24"/>
    <mergeCell ref="D24:BA24"/>
    <mergeCell ref="N16:O16"/>
    <mergeCell ref="R16:T16"/>
    <mergeCell ref="AU16:AV16"/>
    <mergeCell ref="B1:N1"/>
    <mergeCell ref="O1:BA1"/>
    <mergeCell ref="B2:N2"/>
    <mergeCell ref="O2:BA2"/>
    <mergeCell ref="O3:BA3"/>
    <mergeCell ref="B4:BI4"/>
    <mergeCell ref="B13:B14"/>
    <mergeCell ref="D13:D14"/>
    <mergeCell ref="E13:E14"/>
    <mergeCell ref="N13:O14"/>
    <mergeCell ref="R13:T14"/>
    <mergeCell ref="U13:U14"/>
    <mergeCell ref="AU13:BA13"/>
    <mergeCell ref="BH13:BH14"/>
    <mergeCell ref="BI13:BI14"/>
    <mergeCell ref="AU14:AV14"/>
    <mergeCell ref="AW14:AX14"/>
    <mergeCell ref="AY14:BA14"/>
    <mergeCell ref="BC13:BC14"/>
    <mergeCell ref="BD13:BD14"/>
  </mergeCells>
  <conditionalFormatting sqref="BJ6:BJ9">
    <cfRule type="cellIs" dxfId="1" priority="1" stopIfTrue="1" operator="between">
      <formula>"720"</formula>
      <formula>"720"</formula>
    </cfRule>
    <cfRule type="cellIs" dxfId="0" priority="2" stopIfTrue="1" operator="between">
      <formula>"660"</formula>
      <formula>"660"</formula>
    </cfRule>
  </conditionalFormatting>
  <pageMargins left="0.45" right="0.2" top="0.25" bottom="0.2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nang luong thang 3.2015</vt:lpstr>
      <vt:lpstr>DS nang PCTN NG thang 3.2015</vt:lpstr>
      <vt:lpstr>'DS nang luong thang 3.2015'!Print_Titles</vt:lpstr>
      <vt:lpstr>'DS nang PCTN NG thang 3.2015'!Print_Titles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HVHC</cp:lastModifiedBy>
  <cp:lastPrinted>2015-03-18T09:27:10Z</cp:lastPrinted>
  <dcterms:created xsi:type="dcterms:W3CDTF">2015-03-03T06:48:17Z</dcterms:created>
  <dcterms:modified xsi:type="dcterms:W3CDTF">2015-03-19T01:33:21Z</dcterms:modified>
</cp:coreProperties>
</file>