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365" activeTab="1"/>
  </bookViews>
  <sheets>
    <sheet name="DS nang luong thang 4.2015" sheetId="1" r:id="rId1"/>
    <sheet name="DS nang PCTN NG thang 4.2015" sheetId="2" r:id="rId2"/>
  </sheets>
  <externalReferences>
    <externalReference r:id="rId3"/>
    <externalReference r:id="rId4"/>
  </externalReferences>
  <definedNames>
    <definedName name="_xlnm.Print_Titles" localSheetId="0">'DS nang luong thang 4.2015'!$13:$15</definedName>
    <definedName name="_xlnm.Print_Titles" localSheetId="1">'DS nang PCTN NG thang 4.2015'!$13:$16</definedName>
  </definedNames>
  <calcPr calcId="144525"/>
</workbook>
</file>

<file path=xl/calcChain.xml><?xml version="1.0" encoding="utf-8"?>
<calcChain xmlns="http://schemas.openxmlformats.org/spreadsheetml/2006/main">
  <c r="DM30" i="1" l="1"/>
  <c r="DN30" i="1" s="1"/>
  <c r="CW30" i="1"/>
  <c r="CS30" i="1"/>
  <c r="CR30" i="1"/>
  <c r="CV30" i="1" s="1"/>
  <c r="CQ30" i="1"/>
  <c r="CF30" i="1" s="1"/>
  <c r="CP30" i="1"/>
  <c r="CN30" i="1"/>
  <c r="CH30" i="1"/>
  <c r="CG30" i="1"/>
  <c r="CK30" i="1" s="1"/>
  <c r="BZ30" i="1"/>
  <c r="BU30" i="1"/>
  <c r="BO30" i="1"/>
  <c r="BL30" i="1"/>
  <c r="BH30" i="1"/>
  <c r="BF30" i="1"/>
  <c r="AW30" i="1"/>
  <c r="AT30" i="1"/>
  <c r="AR30" i="1"/>
  <c r="AQ30" i="1"/>
  <c r="AA30" i="1" s="1"/>
  <c r="AN30" i="1"/>
  <c r="AB30" i="1"/>
  <c r="V30" i="1"/>
  <c r="S30" i="1"/>
  <c r="Q30" i="1"/>
  <c r="P30" i="1"/>
  <c r="M30" i="1"/>
  <c r="C30" i="1"/>
  <c r="DM29" i="1"/>
  <c r="DN29" i="1" s="1"/>
  <c r="CW29" i="1"/>
  <c r="CR29" i="1"/>
  <c r="CV29" i="1" s="1"/>
  <c r="CQ29" i="1"/>
  <c r="CP29" i="1"/>
  <c r="CH29" i="1" s="1"/>
  <c r="CN29" i="1"/>
  <c r="CG29" i="1"/>
  <c r="CK29" i="1" s="1"/>
  <c r="BZ29" i="1"/>
  <c r="BU29" i="1"/>
  <c r="BO29" i="1"/>
  <c r="BL29" i="1"/>
  <c r="BH29" i="1"/>
  <c r="BF29" i="1"/>
  <c r="AW29" i="1"/>
  <c r="AT29" i="1"/>
  <c r="AR29" i="1"/>
  <c r="AQ29" i="1"/>
  <c r="AN29" i="1"/>
  <c r="AC29" i="1"/>
  <c r="AB29" i="1"/>
  <c r="AA29" i="1"/>
  <c r="AE29" i="1" s="1"/>
  <c r="Z29" i="1"/>
  <c r="AM29" i="1" s="1"/>
  <c r="BN29" i="1" s="1"/>
  <c r="Y29" i="1"/>
  <c r="V29" i="1"/>
  <c r="S29" i="1"/>
  <c r="T29" i="1" s="1"/>
  <c r="BT29" i="1" s="1"/>
  <c r="Q29" i="1"/>
  <c r="P29" i="1"/>
  <c r="M29" i="1"/>
  <c r="C29" i="1"/>
  <c r="DM28" i="1"/>
  <c r="DN28" i="1" s="1"/>
  <c r="CW28" i="1"/>
  <c r="CR28" i="1"/>
  <c r="CS28" i="1" s="1"/>
  <c r="CQ28" i="1"/>
  <c r="CP28" i="1"/>
  <c r="CH28" i="1" s="1"/>
  <c r="CN28" i="1"/>
  <c r="CG28" i="1"/>
  <c r="CL28" i="1" s="1"/>
  <c r="BZ28" i="1"/>
  <c r="BU28" i="1"/>
  <c r="BO28" i="1"/>
  <c r="BL28" i="1"/>
  <c r="BH28" i="1"/>
  <c r="BF28" i="1"/>
  <c r="AW28" i="1"/>
  <c r="AT28" i="1"/>
  <c r="AR28" i="1"/>
  <c r="AQ28" i="1"/>
  <c r="AA28" i="1" s="1"/>
  <c r="AN28" i="1"/>
  <c r="AB28" i="1"/>
  <c r="Z28" i="1"/>
  <c r="AE28" i="1" s="1"/>
  <c r="V28" i="1"/>
  <c r="S28" i="1"/>
  <c r="T28" i="1" s="1"/>
  <c r="BT28" i="1" s="1"/>
  <c r="Q28" i="1"/>
  <c r="P28" i="1"/>
  <c r="M28" i="1"/>
  <c r="C28" i="1"/>
  <c r="DM27" i="1"/>
  <c r="DN27" i="1" s="1"/>
  <c r="CW27" i="1"/>
  <c r="CR27" i="1"/>
  <c r="CV27" i="1" s="1"/>
  <c r="CQ27" i="1"/>
  <c r="CP27" i="1"/>
  <c r="CN27" i="1"/>
  <c r="CH27" i="1"/>
  <c r="CG27" i="1"/>
  <c r="CK27" i="1" s="1"/>
  <c r="CF27" i="1"/>
  <c r="BZ27" i="1"/>
  <c r="BU27" i="1"/>
  <c r="BO27" i="1"/>
  <c r="BL27" i="1"/>
  <c r="BH27" i="1"/>
  <c r="BG27" i="1"/>
  <c r="BF27" i="1"/>
  <c r="AW27" i="1"/>
  <c r="AT27" i="1"/>
  <c r="AR27" i="1"/>
  <c r="Z27" i="1" s="1"/>
  <c r="AM27" i="1" s="1"/>
  <c r="AQ27" i="1"/>
  <c r="AN27" i="1"/>
  <c r="AB27" i="1"/>
  <c r="AA27" i="1"/>
  <c r="V27" i="1"/>
  <c r="S27" i="1"/>
  <c r="Q27" i="1"/>
  <c r="P27" i="1"/>
  <c r="M27" i="1"/>
  <c r="C27" i="1"/>
  <c r="DM26" i="1"/>
  <c r="DN26" i="1" s="1"/>
  <c r="CW26" i="1"/>
  <c r="CR26" i="1"/>
  <c r="CS26" i="1" s="1"/>
  <c r="CQ26" i="1"/>
  <c r="CP26" i="1"/>
  <c r="CH26" i="1" s="1"/>
  <c r="CN26" i="1"/>
  <c r="CG26" i="1"/>
  <c r="CL26" i="1" s="1"/>
  <c r="BZ26" i="1"/>
  <c r="BU26" i="1"/>
  <c r="BO26" i="1"/>
  <c r="BL26" i="1"/>
  <c r="BH26" i="1"/>
  <c r="BF26" i="1"/>
  <c r="AW26" i="1"/>
  <c r="AT26" i="1"/>
  <c r="AR26" i="1"/>
  <c r="AQ26" i="1"/>
  <c r="AA26" i="1" s="1"/>
  <c r="AN26" i="1"/>
  <c r="AB26" i="1"/>
  <c r="DU26" i="1" s="1"/>
  <c r="Z26" i="1"/>
  <c r="V26" i="1"/>
  <c r="S26" i="1"/>
  <c r="Q26" i="1"/>
  <c r="P26" i="1"/>
  <c r="M26" i="1"/>
  <c r="C26" i="1"/>
  <c r="DM25" i="1"/>
  <c r="DN25" i="1" s="1"/>
  <c r="CW25" i="1"/>
  <c r="CS25" i="1"/>
  <c r="CR25" i="1"/>
  <c r="CV25" i="1" s="1"/>
  <c r="CQ25" i="1"/>
  <c r="CF25" i="1" s="1"/>
  <c r="BG25" i="1" s="1"/>
  <c r="CP25" i="1"/>
  <c r="CN25" i="1"/>
  <c r="CH25" i="1"/>
  <c r="CG25" i="1"/>
  <c r="CK25" i="1" s="1"/>
  <c r="BZ25" i="1"/>
  <c r="BU25" i="1"/>
  <c r="BO25" i="1"/>
  <c r="BL25" i="1"/>
  <c r="BH25" i="1"/>
  <c r="BF25" i="1"/>
  <c r="AW25" i="1"/>
  <c r="AT25" i="1"/>
  <c r="AR25" i="1"/>
  <c r="AQ25" i="1"/>
  <c r="AA25" i="1" s="1"/>
  <c r="AN25" i="1"/>
  <c r="AB25" i="1"/>
  <c r="V25" i="1"/>
  <c r="S25" i="1"/>
  <c r="Q25" i="1"/>
  <c r="P25" i="1"/>
  <c r="M25" i="1"/>
  <c r="C25" i="1"/>
  <c r="DM24" i="1"/>
  <c r="DN24" i="1" s="1"/>
  <c r="CW24" i="1"/>
  <c r="CR24" i="1"/>
  <c r="CS24" i="1" s="1"/>
  <c r="CQ24" i="1"/>
  <c r="CP24" i="1"/>
  <c r="CN24" i="1"/>
  <c r="CG24" i="1"/>
  <c r="CI24" i="1" s="1"/>
  <c r="BZ24" i="1"/>
  <c r="BU24" i="1"/>
  <c r="BO24" i="1"/>
  <c r="BL24" i="1"/>
  <c r="BH24" i="1"/>
  <c r="BF24" i="1"/>
  <c r="AW24" i="1"/>
  <c r="AT24" i="1"/>
  <c r="AR24" i="1"/>
  <c r="AQ24" i="1"/>
  <c r="AN24" i="1"/>
  <c r="AB24" i="1"/>
  <c r="Z24" i="1"/>
  <c r="AM24" i="1" s="1"/>
  <c r="V24" i="1"/>
  <c r="S24" i="1"/>
  <c r="Q24" i="1"/>
  <c r="P24" i="1"/>
  <c r="M24" i="1"/>
  <c r="K24" i="1" s="1"/>
  <c r="C24" i="1"/>
  <c r="DM23" i="1"/>
  <c r="DN23" i="1" s="1"/>
  <c r="CW23" i="1"/>
  <c r="CR23" i="1"/>
  <c r="CV23" i="1" s="1"/>
  <c r="CQ23" i="1"/>
  <c r="CP23" i="1"/>
  <c r="CN23" i="1"/>
  <c r="CH23" i="1"/>
  <c r="CL23" i="1" s="1"/>
  <c r="CG23" i="1"/>
  <c r="CK23" i="1" s="1"/>
  <c r="CF23" i="1"/>
  <c r="DV23" i="1" s="1"/>
  <c r="BZ23" i="1"/>
  <c r="BU23" i="1"/>
  <c r="BO23" i="1"/>
  <c r="BL23" i="1"/>
  <c r="BH23" i="1"/>
  <c r="BG23" i="1"/>
  <c r="BF23" i="1"/>
  <c r="AW23" i="1"/>
  <c r="AT23" i="1"/>
  <c r="AR23" i="1"/>
  <c r="DU23" i="1" s="1"/>
  <c r="AQ23" i="1"/>
  <c r="AN23" i="1"/>
  <c r="AB23" i="1"/>
  <c r="AA23" i="1"/>
  <c r="V23" i="1"/>
  <c r="S23" i="1"/>
  <c r="Q23" i="1"/>
  <c r="P23" i="1"/>
  <c r="M23" i="1"/>
  <c r="C23" i="1"/>
  <c r="DM22" i="1"/>
  <c r="DN22" i="1" s="1"/>
  <c r="CW22" i="1"/>
  <c r="CR22" i="1"/>
  <c r="CV22" i="1" s="1"/>
  <c r="CQ22" i="1"/>
  <c r="CP22" i="1"/>
  <c r="CH22" i="1" s="1"/>
  <c r="CN22" i="1"/>
  <c r="CG22" i="1"/>
  <c r="CK22" i="1" s="1"/>
  <c r="BZ22" i="1"/>
  <c r="BU22" i="1"/>
  <c r="BO22" i="1"/>
  <c r="BL22" i="1"/>
  <c r="BH22" i="1"/>
  <c r="BF22" i="1"/>
  <c r="AW22" i="1"/>
  <c r="AT22" i="1"/>
  <c r="AR22" i="1"/>
  <c r="AQ22" i="1"/>
  <c r="AN22" i="1"/>
  <c r="AB22" i="1"/>
  <c r="Z22" i="1"/>
  <c r="AM22" i="1" s="1"/>
  <c r="V22" i="1"/>
  <c r="S22" i="1"/>
  <c r="T22" i="1" s="1"/>
  <c r="BT22" i="1" s="1"/>
  <c r="Q22" i="1"/>
  <c r="P22" i="1"/>
  <c r="M22" i="1"/>
  <c r="C22" i="1"/>
  <c r="DM21" i="1"/>
  <c r="DN21" i="1" s="1"/>
  <c r="CW21" i="1"/>
  <c r="CR21" i="1"/>
  <c r="CV21" i="1" s="1"/>
  <c r="CQ21" i="1"/>
  <c r="CP21" i="1"/>
  <c r="CN21" i="1"/>
  <c r="CH21" i="1"/>
  <c r="CG21" i="1"/>
  <c r="CK21" i="1" s="1"/>
  <c r="BZ21" i="1"/>
  <c r="BU21" i="1"/>
  <c r="BO21" i="1"/>
  <c r="BL21" i="1"/>
  <c r="BH21" i="1"/>
  <c r="BF21" i="1"/>
  <c r="AW21" i="1"/>
  <c r="AT21" i="1"/>
  <c r="AR21" i="1"/>
  <c r="AQ21" i="1"/>
  <c r="AN21" i="1"/>
  <c r="AB21" i="1"/>
  <c r="V21" i="1"/>
  <c r="S21" i="1"/>
  <c r="Q21" i="1"/>
  <c r="P21" i="1"/>
  <c r="M21" i="1"/>
  <c r="C21" i="1"/>
  <c r="DM20" i="1"/>
  <c r="DN20" i="1" s="1"/>
  <c r="CW20" i="1"/>
  <c r="CR20" i="1"/>
  <c r="CV20" i="1" s="1"/>
  <c r="CQ20" i="1"/>
  <c r="CP20" i="1"/>
  <c r="CH20" i="1" s="1"/>
  <c r="CN20" i="1"/>
  <c r="CG20" i="1"/>
  <c r="CK20" i="1" s="1"/>
  <c r="BZ20" i="1"/>
  <c r="BU20" i="1"/>
  <c r="BO20" i="1"/>
  <c r="BL20" i="1"/>
  <c r="BH20" i="1"/>
  <c r="BF20" i="1"/>
  <c r="AW20" i="1"/>
  <c r="AT20" i="1"/>
  <c r="AR20" i="1"/>
  <c r="AQ20" i="1"/>
  <c r="AA20" i="1" s="1"/>
  <c r="AN20" i="1"/>
  <c r="AB20" i="1"/>
  <c r="DU20" i="1" s="1"/>
  <c r="Z20" i="1"/>
  <c r="AM20" i="1" s="1"/>
  <c r="V20" i="1"/>
  <c r="S20" i="1"/>
  <c r="Q20" i="1"/>
  <c r="P20" i="1"/>
  <c r="M20" i="1"/>
  <c r="K20" i="1" s="1"/>
  <c r="C20" i="1"/>
  <c r="DM19" i="1"/>
  <c r="DN19" i="1" s="1"/>
  <c r="CW19" i="1"/>
  <c r="CR19" i="1"/>
  <c r="CV19" i="1" s="1"/>
  <c r="CQ19" i="1"/>
  <c r="CP19" i="1"/>
  <c r="CH19" i="1" s="1"/>
  <c r="CN19" i="1"/>
  <c r="CG19" i="1"/>
  <c r="CK19" i="1" s="1"/>
  <c r="BZ19" i="1"/>
  <c r="BU19" i="1"/>
  <c r="BO19" i="1"/>
  <c r="BL19" i="1"/>
  <c r="BH19" i="1"/>
  <c r="BF19" i="1"/>
  <c r="AW19" i="1"/>
  <c r="AT19" i="1"/>
  <c r="AR19" i="1"/>
  <c r="Z19" i="1" s="1"/>
  <c r="AM19" i="1" s="1"/>
  <c r="AQ19" i="1"/>
  <c r="AN19" i="1"/>
  <c r="AB19" i="1"/>
  <c r="V19" i="1"/>
  <c r="T19" i="1"/>
  <c r="BT19" i="1" s="1"/>
  <c r="S19" i="1"/>
  <c r="Q19" i="1"/>
  <c r="P19" i="1"/>
  <c r="M19" i="1"/>
  <c r="C19" i="1"/>
  <c r="DN18" i="1"/>
  <c r="DM18" i="1"/>
  <c r="CW18" i="1"/>
  <c r="CR18" i="1"/>
  <c r="CV18" i="1" s="1"/>
  <c r="CQ18" i="1"/>
  <c r="CF18" i="1" s="1"/>
  <c r="BG18" i="1" s="1"/>
  <c r="CP18" i="1"/>
  <c r="CN18" i="1"/>
  <c r="CH18" i="1"/>
  <c r="CG18" i="1"/>
  <c r="CK18" i="1" s="1"/>
  <c r="BZ18" i="1"/>
  <c r="BU18" i="1"/>
  <c r="BO18" i="1"/>
  <c r="BL18" i="1"/>
  <c r="BH18" i="1"/>
  <c r="BF18" i="1"/>
  <c r="AW18" i="1"/>
  <c r="AT18" i="1"/>
  <c r="AR18" i="1"/>
  <c r="AQ18" i="1"/>
  <c r="AN18" i="1"/>
  <c r="AB18" i="1"/>
  <c r="V18" i="1"/>
  <c r="S18" i="1"/>
  <c r="Q18" i="1"/>
  <c r="P18" i="1"/>
  <c r="M18" i="1"/>
  <c r="C18" i="1"/>
  <c r="DM17" i="1"/>
  <c r="DN17" i="1" s="1"/>
  <c r="CW17" i="1"/>
  <c r="CR17" i="1"/>
  <c r="CS17" i="1" s="1"/>
  <c r="CQ17" i="1"/>
  <c r="CP17" i="1"/>
  <c r="CH17" i="1" s="1"/>
  <c r="CN17" i="1"/>
  <c r="CG17" i="1"/>
  <c r="CL17" i="1" s="1"/>
  <c r="BZ17" i="1"/>
  <c r="BU17" i="1"/>
  <c r="BO17" i="1"/>
  <c r="BL17" i="1"/>
  <c r="BH17" i="1"/>
  <c r="BF17" i="1"/>
  <c r="AW17" i="1"/>
  <c r="AT17" i="1"/>
  <c r="AR17" i="1"/>
  <c r="Z17" i="1" s="1"/>
  <c r="AM17" i="1" s="1"/>
  <c r="AQ17" i="1"/>
  <c r="AN17" i="1"/>
  <c r="AB17" i="1"/>
  <c r="V17" i="1"/>
  <c r="S17" i="1"/>
  <c r="T17" i="1" s="1"/>
  <c r="BT17" i="1" s="1"/>
  <c r="Q17" i="1"/>
  <c r="P17" i="1"/>
  <c r="M17" i="1"/>
  <c r="K17" i="1" s="1"/>
  <c r="C17" i="1"/>
  <c r="DM16" i="1"/>
  <c r="DN16" i="1" s="1"/>
  <c r="CW16" i="1"/>
  <c r="CR16" i="1"/>
  <c r="CS16" i="1" s="1"/>
  <c r="CQ16" i="1"/>
  <c r="CP16" i="1"/>
  <c r="CH16" i="1" s="1"/>
  <c r="CN16" i="1"/>
  <c r="CG16" i="1"/>
  <c r="CL16" i="1" s="1"/>
  <c r="BZ16" i="1"/>
  <c r="BU16" i="1"/>
  <c r="BO16" i="1"/>
  <c r="BL16" i="1"/>
  <c r="BH16" i="1"/>
  <c r="BF16" i="1"/>
  <c r="AW16" i="1"/>
  <c r="AT16" i="1"/>
  <c r="AR16" i="1"/>
  <c r="Z16" i="1" s="1"/>
  <c r="AQ16" i="1"/>
  <c r="AN16" i="1"/>
  <c r="AB16" i="1"/>
  <c r="V16" i="1"/>
  <c r="S16" i="1"/>
  <c r="T16" i="1" s="1"/>
  <c r="BT16" i="1" s="1"/>
  <c r="Q16" i="1"/>
  <c r="P16" i="1"/>
  <c r="M16" i="1"/>
  <c r="K16" i="1" s="1"/>
  <c r="C16" i="1"/>
  <c r="DU16" i="1" l="1"/>
  <c r="AA16" i="1"/>
  <c r="AA17" i="1"/>
  <c r="DU18" i="1"/>
  <c r="T20" i="1"/>
  <c r="BT20" i="1" s="1"/>
  <c r="AA21" i="1"/>
  <c r="CF21" i="1"/>
  <c r="DV21" i="1" s="1"/>
  <c r="CS21" i="1"/>
  <c r="DU22" i="1"/>
  <c r="AA22" i="1"/>
  <c r="T24" i="1"/>
  <c r="BT24" i="1" s="1"/>
  <c r="T26" i="1"/>
  <c r="BT26" i="1" s="1"/>
  <c r="CS27" i="1"/>
  <c r="BN19" i="1"/>
  <c r="W19" i="1"/>
  <c r="BG21" i="1"/>
  <c r="DV30" i="1"/>
  <c r="BG30" i="1"/>
  <c r="CS23" i="1"/>
  <c r="DU24" i="1"/>
  <c r="AA24" i="1"/>
  <c r="T25" i="1"/>
  <c r="BT25" i="1" s="1"/>
  <c r="DU25" i="1"/>
  <c r="CL25" i="1"/>
  <c r="T27" i="1"/>
  <c r="BT27" i="1" s="1"/>
  <c r="DU29" i="1"/>
  <c r="T30" i="1"/>
  <c r="BT30" i="1" s="1"/>
  <c r="DU30" i="1"/>
  <c r="CL30" i="1"/>
  <c r="T18" i="1"/>
  <c r="BT18" i="1" s="1"/>
  <c r="CS18" i="1"/>
  <c r="AA19" i="1"/>
  <c r="T21" i="1"/>
  <c r="BT21" i="1" s="1"/>
  <c r="DU21" i="1"/>
  <c r="CL21" i="1"/>
  <c r="T23" i="1"/>
  <c r="BT23" i="1" s="1"/>
  <c r="DU27" i="1"/>
  <c r="CM27" i="1"/>
  <c r="CL27" i="1"/>
  <c r="DU28" i="1"/>
  <c r="W17" i="1"/>
  <c r="BN17" i="1"/>
  <c r="BM17" i="1" s="1"/>
  <c r="AE16" i="1"/>
  <c r="AD16" i="1"/>
  <c r="AM16" i="1"/>
  <c r="CI16" i="1"/>
  <c r="CJ16" i="1" s="1"/>
  <c r="CK16" i="1"/>
  <c r="CV16" i="1"/>
  <c r="CI17" i="1"/>
  <c r="CJ17" i="1" s="1"/>
  <c r="CK17" i="1"/>
  <c r="CV17" i="1"/>
  <c r="DU17" i="1"/>
  <c r="DV18" i="1"/>
  <c r="Y16" i="1"/>
  <c r="AC16" i="1"/>
  <c r="CF16" i="1"/>
  <c r="Y17" i="1"/>
  <c r="AC17" i="1"/>
  <c r="AE17" i="1"/>
  <c r="CF17" i="1"/>
  <c r="Z18" i="1"/>
  <c r="CI18" i="1"/>
  <c r="CJ18" i="1" s="1"/>
  <c r="CL18" i="1"/>
  <c r="AE19" i="1"/>
  <c r="AC19" i="1"/>
  <c r="Y19" i="1"/>
  <c r="AD19" i="1"/>
  <c r="AD17" i="1"/>
  <c r="AA18" i="1"/>
  <c r="DU19" i="1"/>
  <c r="BM19" i="1"/>
  <c r="W20" i="1"/>
  <c r="BN20" i="1"/>
  <c r="BM20" i="1" s="1"/>
  <c r="W22" i="1"/>
  <c r="BN22" i="1"/>
  <c r="BN24" i="1"/>
  <c r="W24" i="1"/>
  <c r="CF19" i="1"/>
  <c r="CL19" i="1"/>
  <c r="CS19" i="1"/>
  <c r="Y20" i="1"/>
  <c r="AC20" i="1"/>
  <c r="AE20" i="1"/>
  <c r="CF20" i="1"/>
  <c r="CL20" i="1"/>
  <c r="CS20" i="1"/>
  <c r="Z21" i="1"/>
  <c r="CI21" i="1"/>
  <c r="CJ21" i="1" s="1"/>
  <c r="Y22" i="1"/>
  <c r="AC22" i="1"/>
  <c r="AE22" i="1"/>
  <c r="CF22" i="1"/>
  <c r="CL22" i="1"/>
  <c r="CS22" i="1"/>
  <c r="Z23" i="1"/>
  <c r="CI23" i="1"/>
  <c r="CJ23" i="1" s="1"/>
  <c r="CK24" i="1"/>
  <c r="CV24" i="1"/>
  <c r="AE26" i="1"/>
  <c r="W27" i="1"/>
  <c r="BN27" i="1"/>
  <c r="BM27" i="1" s="1"/>
  <c r="BM29" i="1"/>
  <c r="W29" i="1"/>
  <c r="CI19" i="1"/>
  <c r="CJ19" i="1" s="1"/>
  <c r="AD20" i="1"/>
  <c r="CI20" i="1"/>
  <c r="CJ20" i="1" s="1"/>
  <c r="AD22" i="1"/>
  <c r="BM22" i="1"/>
  <c r="CI22" i="1"/>
  <c r="CJ22" i="1" s="1"/>
  <c r="AE24" i="1"/>
  <c r="AC24" i="1"/>
  <c r="Y24" i="1"/>
  <c r="AD24" i="1"/>
  <c r="BM24" i="1"/>
  <c r="CH24" i="1"/>
  <c r="CL24" i="1" s="1"/>
  <c r="CF24" i="1"/>
  <c r="DV25" i="1"/>
  <c r="AD26" i="1"/>
  <c r="AM26" i="1"/>
  <c r="CI26" i="1"/>
  <c r="CJ26" i="1" s="1"/>
  <c r="CK26" i="1"/>
  <c r="CV26" i="1"/>
  <c r="Y27" i="1"/>
  <c r="AC27" i="1"/>
  <c r="AE27" i="1"/>
  <c r="DV27" i="1"/>
  <c r="AD28" i="1"/>
  <c r="AM28" i="1"/>
  <c r="CI28" i="1"/>
  <c r="CJ28" i="1" s="1"/>
  <c r="CK28" i="1"/>
  <c r="CV28" i="1"/>
  <c r="CF29" i="1"/>
  <c r="CL29" i="1"/>
  <c r="CS29" i="1"/>
  <c r="Z30" i="1"/>
  <c r="CI30" i="1"/>
  <c r="CJ30" i="1" s="1"/>
  <c r="Z25" i="1"/>
  <c r="CI25" i="1"/>
  <c r="CJ25" i="1" s="1"/>
  <c r="Y26" i="1"/>
  <c r="AC26" i="1"/>
  <c r="CF26" i="1"/>
  <c r="AD27" i="1"/>
  <c r="CE27" i="1"/>
  <c r="CI27" i="1"/>
  <c r="CJ27" i="1" s="1"/>
  <c r="Y28" i="1"/>
  <c r="AC28" i="1"/>
  <c r="CF28" i="1"/>
  <c r="AD29" i="1"/>
  <c r="CI29" i="1"/>
  <c r="CJ29" i="1" s="1"/>
  <c r="CJ24" i="1" l="1"/>
  <c r="AM25" i="1"/>
  <c r="AD25" i="1"/>
  <c r="AE25" i="1"/>
  <c r="AC25" i="1"/>
  <c r="Y25" i="1"/>
  <c r="AE30" i="1"/>
  <c r="AC30" i="1"/>
  <c r="Y30" i="1"/>
  <c r="AM30" i="1"/>
  <c r="AD30" i="1"/>
  <c r="DV24" i="1"/>
  <c r="BG24" i="1"/>
  <c r="CM24" i="1"/>
  <c r="CE24" i="1"/>
  <c r="CM22" i="1"/>
  <c r="DV22" i="1"/>
  <c r="BG22" i="1"/>
  <c r="CE22" i="1" s="1"/>
  <c r="CM20" i="1"/>
  <c r="DV20" i="1"/>
  <c r="BG20" i="1"/>
  <c r="CE20" i="1" s="1"/>
  <c r="CM19" i="1"/>
  <c r="DV19" i="1"/>
  <c r="BG19" i="1"/>
  <c r="CE19" i="1" s="1"/>
  <c r="AE18" i="1"/>
  <c r="AC18" i="1"/>
  <c r="Y18" i="1"/>
  <c r="AM18" i="1"/>
  <c r="AD18" i="1"/>
  <c r="DV28" i="1"/>
  <c r="BG28" i="1"/>
  <c r="CM28" i="1"/>
  <c r="DV26" i="1"/>
  <c r="BG26" i="1"/>
  <c r="CM26" i="1"/>
  <c r="CE26" i="1" s="1"/>
  <c r="CM29" i="1"/>
  <c r="DV29" i="1"/>
  <c r="BG29" i="1"/>
  <c r="CE29" i="1" s="1"/>
  <c r="BN28" i="1"/>
  <c r="BM28" i="1" s="1"/>
  <c r="W28" i="1"/>
  <c r="BN26" i="1"/>
  <c r="BM26" i="1" s="1"/>
  <c r="W26" i="1"/>
  <c r="AE23" i="1"/>
  <c r="AC23" i="1"/>
  <c r="Y23" i="1"/>
  <c r="AM23" i="1"/>
  <c r="AD23" i="1"/>
  <c r="AE21" i="1"/>
  <c r="AC21" i="1"/>
  <c r="Y21" i="1"/>
  <c r="AM21" i="1"/>
  <c r="AD21" i="1"/>
  <c r="DV17" i="1"/>
  <c r="BG17" i="1"/>
  <c r="CM17" i="1"/>
  <c r="CE17" i="1" s="1"/>
  <c r="DV16" i="1"/>
  <c r="BG16" i="1"/>
  <c r="CM16" i="1"/>
  <c r="BN16" i="1"/>
  <c r="BM16" i="1" s="1"/>
  <c r="W16" i="1"/>
  <c r="CE16" i="1" l="1"/>
  <c r="CE28" i="1"/>
  <c r="BN21" i="1"/>
  <c r="BM21" i="1" s="1"/>
  <c r="W21" i="1"/>
  <c r="CM21" i="1"/>
  <c r="CE21" i="1" s="1"/>
  <c r="BN18" i="1"/>
  <c r="BM18" i="1" s="1"/>
  <c r="CM18" i="1"/>
  <c r="CE18" i="1" s="1"/>
  <c r="W18" i="1"/>
  <c r="BN30" i="1"/>
  <c r="BM30" i="1" s="1"/>
  <c r="W30" i="1"/>
  <c r="CM30" i="1"/>
  <c r="CE30" i="1" s="1"/>
  <c r="BN25" i="1"/>
  <c r="BM25" i="1" s="1"/>
  <c r="CM25" i="1"/>
  <c r="CE25" i="1" s="1"/>
  <c r="W25" i="1"/>
  <c r="BN23" i="1"/>
  <c r="BM23" i="1" s="1"/>
  <c r="W23" i="1"/>
  <c r="CM23" i="1"/>
  <c r="CE23" i="1" s="1"/>
  <c r="DM24" i="2" l="1"/>
  <c r="DN24" i="2" s="1"/>
  <c r="CW24" i="2"/>
  <c r="CR24" i="2"/>
  <c r="CS24" i="2" s="1"/>
  <c r="CQ24" i="2"/>
  <c r="CP24" i="2"/>
  <c r="CH24" i="2" s="1"/>
  <c r="CN24" i="2"/>
  <c r="CG24" i="2"/>
  <c r="CL24" i="2" s="1"/>
  <c r="BZ24" i="2"/>
  <c r="BU24" i="2"/>
  <c r="BO24" i="2"/>
  <c r="BL24" i="2"/>
  <c r="BH24" i="2"/>
  <c r="BF24" i="2"/>
  <c r="AW24" i="2"/>
  <c r="AT24" i="2"/>
  <c r="AR24" i="2"/>
  <c r="AQ24" i="2"/>
  <c r="AN24" i="2"/>
  <c r="AB24" i="2"/>
  <c r="Z24" i="2"/>
  <c r="V24" i="2"/>
  <c r="T24" i="2"/>
  <c r="BT24" i="2" s="1"/>
  <c r="S24" i="2"/>
  <c r="Q24" i="2"/>
  <c r="P24" i="2"/>
  <c r="M24" i="2"/>
  <c r="K24" i="2" s="1"/>
  <c r="C24" i="2"/>
  <c r="DM23" i="2"/>
  <c r="DN23" i="2" s="1"/>
  <c r="CW23" i="2"/>
  <c r="CR23" i="2"/>
  <c r="CS23" i="2" s="1"/>
  <c r="CQ23" i="2"/>
  <c r="CP23" i="2"/>
  <c r="CH23" i="2" s="1"/>
  <c r="CN23" i="2"/>
  <c r="CG23" i="2"/>
  <c r="CL23" i="2" s="1"/>
  <c r="BZ23" i="2"/>
  <c r="BU23" i="2"/>
  <c r="BO23" i="2"/>
  <c r="BL23" i="2"/>
  <c r="BH23" i="2"/>
  <c r="BF23" i="2"/>
  <c r="AW23" i="2"/>
  <c r="AT23" i="2"/>
  <c r="AR23" i="2"/>
  <c r="AQ23" i="2"/>
  <c r="AA23" i="2" s="1"/>
  <c r="AN23" i="2"/>
  <c r="AB23" i="2"/>
  <c r="DU23" i="2" s="1"/>
  <c r="Z23" i="2"/>
  <c r="V23" i="2"/>
  <c r="S23" i="2"/>
  <c r="Q23" i="2"/>
  <c r="P23" i="2"/>
  <c r="M23" i="2"/>
  <c r="K23" i="2" s="1"/>
  <c r="C23" i="2"/>
  <c r="DM22" i="2"/>
  <c r="DN22" i="2" s="1"/>
  <c r="CW22" i="2"/>
  <c r="CS22" i="2"/>
  <c r="CR22" i="2"/>
  <c r="CV22" i="2" s="1"/>
  <c r="CQ22" i="2"/>
  <c r="CF22" i="2" s="1"/>
  <c r="BG22" i="2" s="1"/>
  <c r="CP22" i="2"/>
  <c r="CN22" i="2"/>
  <c r="CH22" i="2"/>
  <c r="CG22" i="2"/>
  <c r="CK22" i="2" s="1"/>
  <c r="BZ22" i="2"/>
  <c r="BU22" i="2"/>
  <c r="BO22" i="2"/>
  <c r="BL22" i="2"/>
  <c r="BH22" i="2"/>
  <c r="BF22" i="2"/>
  <c r="AW22" i="2"/>
  <c r="AT22" i="2"/>
  <c r="AR22" i="2"/>
  <c r="AQ22" i="2"/>
  <c r="AA22" i="2" s="1"/>
  <c r="AN22" i="2"/>
  <c r="AB22" i="2"/>
  <c r="V22" i="2"/>
  <c r="S22" i="2"/>
  <c r="Q22" i="2"/>
  <c r="P22" i="2"/>
  <c r="M22" i="2"/>
  <c r="C22" i="2"/>
  <c r="DM21" i="2"/>
  <c r="DN21" i="2" s="1"/>
  <c r="CW21" i="2"/>
  <c r="CR21" i="2"/>
  <c r="CS21" i="2" s="1"/>
  <c r="CQ21" i="2"/>
  <c r="CP21" i="2"/>
  <c r="CH21" i="2" s="1"/>
  <c r="CN21" i="2"/>
  <c r="CG21" i="2"/>
  <c r="CL21" i="2" s="1"/>
  <c r="BZ21" i="2"/>
  <c r="BU21" i="2"/>
  <c r="BO21" i="2"/>
  <c r="BL21" i="2"/>
  <c r="BH21" i="2"/>
  <c r="BF21" i="2"/>
  <c r="AW21" i="2"/>
  <c r="AT21" i="2"/>
  <c r="AR21" i="2"/>
  <c r="AQ21" i="2"/>
  <c r="AA21" i="2" s="1"/>
  <c r="AN21" i="2"/>
  <c r="AB21" i="2"/>
  <c r="DU21" i="2" s="1"/>
  <c r="Z21" i="2"/>
  <c r="V21" i="2"/>
  <c r="S21" i="2"/>
  <c r="T21" i="2" s="1"/>
  <c r="BT21" i="2" s="1"/>
  <c r="Q21" i="2"/>
  <c r="P21" i="2"/>
  <c r="M21" i="2"/>
  <c r="C21" i="2"/>
  <c r="DM20" i="2"/>
  <c r="DN20" i="2" s="1"/>
  <c r="CW20" i="2"/>
  <c r="CS20" i="2"/>
  <c r="CR20" i="2"/>
  <c r="CV20" i="2" s="1"/>
  <c r="CQ20" i="2"/>
  <c r="CF20" i="2" s="1"/>
  <c r="BG20" i="2" s="1"/>
  <c r="CP20" i="2"/>
  <c r="CN20" i="2"/>
  <c r="CH20" i="2"/>
  <c r="CG20" i="2"/>
  <c r="CK20" i="2" s="1"/>
  <c r="BZ20" i="2"/>
  <c r="BU20" i="2"/>
  <c r="BO20" i="2"/>
  <c r="BL20" i="2"/>
  <c r="BH20" i="2"/>
  <c r="BF20" i="2"/>
  <c r="AW20" i="2"/>
  <c r="AT20" i="2"/>
  <c r="AR20" i="2"/>
  <c r="AQ20" i="2"/>
  <c r="AA20" i="2" s="1"/>
  <c r="AN20" i="2"/>
  <c r="AB20" i="2"/>
  <c r="V20" i="2"/>
  <c r="S20" i="2"/>
  <c r="Q20" i="2"/>
  <c r="P20" i="2"/>
  <c r="M20" i="2"/>
  <c r="K20" i="2" s="1"/>
  <c r="C20" i="2"/>
  <c r="DM19" i="2"/>
  <c r="DN19" i="2" s="1"/>
  <c r="CW19" i="2"/>
  <c r="CS19" i="2"/>
  <c r="CR19" i="2"/>
  <c r="CV19" i="2" s="1"/>
  <c r="CQ19" i="2"/>
  <c r="CF19" i="2" s="1"/>
  <c r="BG19" i="2" s="1"/>
  <c r="CP19" i="2"/>
  <c r="CN19" i="2"/>
  <c r="CH19" i="2"/>
  <c r="CG19" i="2"/>
  <c r="CK19" i="2" s="1"/>
  <c r="BZ19" i="2"/>
  <c r="BU19" i="2"/>
  <c r="BO19" i="2"/>
  <c r="BL19" i="2"/>
  <c r="BH19" i="2"/>
  <c r="BF19" i="2"/>
  <c r="AW19" i="2"/>
  <c r="AT19" i="2"/>
  <c r="AR19" i="2"/>
  <c r="AQ19" i="2"/>
  <c r="AA19" i="2" s="1"/>
  <c r="AN19" i="2"/>
  <c r="AB19" i="2"/>
  <c r="V19" i="2"/>
  <c r="S19" i="2"/>
  <c r="Q19" i="2"/>
  <c r="P19" i="2"/>
  <c r="M19" i="2"/>
  <c r="C19" i="2"/>
  <c r="DM18" i="2"/>
  <c r="DN18" i="2" s="1"/>
  <c r="CW18" i="2"/>
  <c r="CR18" i="2"/>
  <c r="CS18" i="2" s="1"/>
  <c r="CQ18" i="2"/>
  <c r="CP18" i="2"/>
  <c r="CH18" i="2" s="1"/>
  <c r="CN18" i="2"/>
  <c r="CG18" i="2"/>
  <c r="BZ18" i="2"/>
  <c r="BU18" i="2"/>
  <c r="BO18" i="2"/>
  <c r="BL18" i="2"/>
  <c r="BH18" i="2"/>
  <c r="BF18" i="2"/>
  <c r="AW18" i="2"/>
  <c r="AT18" i="2"/>
  <c r="AR18" i="2"/>
  <c r="AQ18" i="2"/>
  <c r="AA18" i="2" s="1"/>
  <c r="AN18" i="2"/>
  <c r="AB18" i="2"/>
  <c r="DU18" i="2" s="1"/>
  <c r="Z18" i="2"/>
  <c r="V18" i="2"/>
  <c r="S18" i="2"/>
  <c r="T18" i="2" s="1"/>
  <c r="BT18" i="2" s="1"/>
  <c r="Q18" i="2"/>
  <c r="P18" i="2"/>
  <c r="M18" i="2"/>
  <c r="C18" i="2"/>
  <c r="DM17" i="2"/>
  <c r="DN17" i="2" s="1"/>
  <c r="CW17" i="2"/>
  <c r="CS17" i="2"/>
  <c r="CR17" i="2"/>
  <c r="CV17" i="2" s="1"/>
  <c r="CQ17" i="2"/>
  <c r="CF17" i="2" s="1"/>
  <c r="BG17" i="2" s="1"/>
  <c r="CP17" i="2"/>
  <c r="CN17" i="2"/>
  <c r="CH17" i="2"/>
  <c r="CG17" i="2"/>
  <c r="CK17" i="2" s="1"/>
  <c r="BZ17" i="2"/>
  <c r="BU17" i="2"/>
  <c r="BO17" i="2"/>
  <c r="BL17" i="2"/>
  <c r="BH17" i="2"/>
  <c r="BF17" i="2"/>
  <c r="AW17" i="2"/>
  <c r="AT17" i="2"/>
  <c r="AR17" i="2"/>
  <c r="AQ17" i="2"/>
  <c r="AA17" i="2" s="1"/>
  <c r="AN17" i="2"/>
  <c r="AB17" i="2"/>
  <c r="V17" i="2"/>
  <c r="S17" i="2"/>
  <c r="Q17" i="2"/>
  <c r="P17" i="2"/>
  <c r="M17" i="2"/>
  <c r="C17" i="2"/>
  <c r="T17" i="2" l="1"/>
  <c r="BT17" i="2" s="1"/>
  <c r="DU17" i="2"/>
  <c r="CL17" i="2"/>
  <c r="AE18" i="2"/>
  <c r="CL19" i="2"/>
  <c r="DU20" i="2"/>
  <c r="CL20" i="2"/>
  <c r="AE21" i="2"/>
  <c r="T22" i="2"/>
  <c r="BT22" i="2" s="1"/>
  <c r="DU22" i="2"/>
  <c r="CL22" i="2"/>
  <c r="T23" i="2"/>
  <c r="BT23" i="2" s="1"/>
  <c r="AE23" i="2"/>
  <c r="DU24" i="2"/>
  <c r="AA24" i="2"/>
  <c r="DV17" i="2"/>
  <c r="AD18" i="2"/>
  <c r="AM18" i="2"/>
  <c r="CL18" i="2"/>
  <c r="CI18" i="2"/>
  <c r="CJ18" i="2" s="1"/>
  <c r="DU19" i="2"/>
  <c r="Z19" i="2"/>
  <c r="Z17" i="2"/>
  <c r="CI17" i="2"/>
  <c r="CJ17" i="2" s="1"/>
  <c r="Y18" i="2"/>
  <c r="AC18" i="2"/>
  <c r="CF18" i="2"/>
  <c r="CK18" i="2"/>
  <c r="CV18" i="2"/>
  <c r="T19" i="2"/>
  <c r="BT19" i="2" s="1"/>
  <c r="DV19" i="2"/>
  <c r="T20" i="2"/>
  <c r="BT20" i="2" s="1"/>
  <c r="AE24" i="2"/>
  <c r="DV20" i="2"/>
  <c r="AD21" i="2"/>
  <c r="AM21" i="2"/>
  <c r="CI21" i="2"/>
  <c r="CJ21" i="2" s="1"/>
  <c r="CK21" i="2"/>
  <c r="CV21" i="2"/>
  <c r="DV22" i="2"/>
  <c r="AD23" i="2"/>
  <c r="AM23" i="2"/>
  <c r="CI23" i="2"/>
  <c r="CJ23" i="2" s="1"/>
  <c r="CK23" i="2"/>
  <c r="CV23" i="2"/>
  <c r="AD24" i="2"/>
  <c r="AM24" i="2"/>
  <c r="CI24" i="2"/>
  <c r="CJ24" i="2" s="1"/>
  <c r="CK24" i="2"/>
  <c r="CV24" i="2"/>
  <c r="CI19" i="2"/>
  <c r="CJ19" i="2" s="1"/>
  <c r="Z20" i="2"/>
  <c r="CI20" i="2"/>
  <c r="CJ20" i="2" s="1"/>
  <c r="Y21" i="2"/>
  <c r="AC21" i="2"/>
  <c r="CF21" i="2"/>
  <c r="Z22" i="2"/>
  <c r="CI22" i="2"/>
  <c r="CJ22" i="2" s="1"/>
  <c r="AC23" i="2"/>
  <c r="CF23" i="2"/>
  <c r="Y24" i="2"/>
  <c r="AC24" i="2"/>
  <c r="CF24" i="2"/>
  <c r="DV24" i="2" l="1"/>
  <c r="BG24" i="2"/>
  <c r="CM24" i="2"/>
  <c r="CE24" i="2" s="1"/>
  <c r="DV21" i="2"/>
  <c r="BG21" i="2"/>
  <c r="CM21" i="2"/>
  <c r="CE21" i="2" s="1"/>
  <c r="BN21" i="2"/>
  <c r="BM21" i="2" s="1"/>
  <c r="W21" i="2"/>
  <c r="DV18" i="2"/>
  <c r="BG18" i="2"/>
  <c r="CM18" i="2"/>
  <c r="AM19" i="2"/>
  <c r="AD19" i="2"/>
  <c r="AE19" i="2"/>
  <c r="Y19" i="2"/>
  <c r="AC19" i="2"/>
  <c r="BN18" i="2"/>
  <c r="BM18" i="2" s="1"/>
  <c r="W18" i="2"/>
  <c r="DV23" i="2"/>
  <c r="BG23" i="2"/>
  <c r="CM23" i="2"/>
  <c r="AM22" i="2"/>
  <c r="AD22" i="2"/>
  <c r="AE22" i="2"/>
  <c r="AC22" i="2"/>
  <c r="Y22" i="2"/>
  <c r="AM20" i="2"/>
  <c r="AD20" i="2"/>
  <c r="AE20" i="2"/>
  <c r="Y20" i="2"/>
  <c r="AC20" i="2"/>
  <c r="BN24" i="2"/>
  <c r="BM24" i="2" s="1"/>
  <c r="W24" i="2"/>
  <c r="BN23" i="2"/>
  <c r="BM23" i="2" s="1"/>
  <c r="W23" i="2"/>
  <c r="AM17" i="2"/>
  <c r="AD17" i="2"/>
  <c r="AE17" i="2"/>
  <c r="AC17" i="2"/>
  <c r="Y17" i="2"/>
  <c r="CE23" i="2" l="1"/>
  <c r="CE18" i="2"/>
  <c r="BN17" i="2"/>
  <c r="BM17" i="2" s="1"/>
  <c r="W17" i="2"/>
  <c r="CM17" i="2"/>
  <c r="CE17" i="2" s="1"/>
  <c r="BN20" i="2"/>
  <c r="BM20" i="2" s="1"/>
  <c r="W20" i="2"/>
  <c r="CM20" i="2"/>
  <c r="CE20" i="2" s="1"/>
  <c r="BN19" i="2"/>
  <c r="BM19" i="2" s="1"/>
  <c r="CM19" i="2"/>
  <c r="CE19" i="2" s="1"/>
  <c r="W19" i="2"/>
  <c r="BN22" i="2"/>
  <c r="BM22" i="2" s="1"/>
  <c r="W22" i="2"/>
  <c r="CM22" i="2"/>
  <c r="CE22" i="2" s="1"/>
  <c r="E5" i="2" l="1"/>
  <c r="DU14" i="1"/>
  <c r="DM14" i="1"/>
  <c r="DN14" i="1" s="1"/>
  <c r="CW14" i="1"/>
  <c r="CR14" i="1"/>
  <c r="CS14" i="1" s="1"/>
  <c r="CQ14" i="1"/>
  <c r="CP14" i="1"/>
  <c r="CH14" i="1" s="1"/>
  <c r="CN14" i="1"/>
  <c r="CG14" i="1"/>
  <c r="CL14" i="1" s="1"/>
  <c r="BZ14" i="1"/>
  <c r="BU14" i="1"/>
  <c r="BT14" i="1"/>
  <c r="BO14" i="1"/>
  <c r="BL14" i="1"/>
  <c r="DU12" i="1"/>
  <c r="DM12" i="1"/>
  <c r="DN12" i="1" s="1"/>
  <c r="CW12" i="1"/>
  <c r="CR12" i="1"/>
  <c r="CV12" i="1" s="1"/>
  <c r="CQ12" i="1"/>
  <c r="CP12" i="1"/>
  <c r="CN12" i="1"/>
  <c r="CH12" i="1"/>
  <c r="CG12" i="1"/>
  <c r="CK12" i="1" s="1"/>
  <c r="BZ12" i="1"/>
  <c r="BU12" i="1"/>
  <c r="BT12" i="1"/>
  <c r="BO12" i="1"/>
  <c r="BL12" i="1"/>
  <c r="E6" i="1"/>
  <c r="CF12" i="1" l="1"/>
  <c r="DV12" i="1" s="1"/>
  <c r="CS12" i="1"/>
  <c r="CL12" i="1"/>
  <c r="CI14" i="1"/>
  <c r="CJ14" i="1" s="1"/>
  <c r="CK14" i="1"/>
  <c r="CV14" i="1"/>
  <c r="CI12" i="1"/>
  <c r="CJ12" i="1" s="1"/>
  <c r="CF14" i="1"/>
  <c r="DV14" i="1" l="1"/>
  <c r="BN12" i="1" l="1"/>
  <c r="BM12" i="1" s="1"/>
  <c r="CM12" i="1"/>
  <c r="CE12" i="1" s="1"/>
  <c r="BN14" i="1"/>
  <c r="BM14" i="1" s="1"/>
  <c r="CM14" i="1"/>
  <c r="CE14" i="1" s="1"/>
</calcChain>
</file>

<file path=xl/sharedStrings.xml><?xml version="1.0" encoding="utf-8"?>
<sst xmlns="http://schemas.openxmlformats.org/spreadsheetml/2006/main" count="743" uniqueCount="192">
  <si>
    <t xml:space="preserve"> HỌC VIỆN HÀNH CHÍNH QUỐC GIA</t>
  </si>
  <si>
    <t>CỘNG HÒA XÃ HỘI CHỦ NGHĨA VIỆT NAM</t>
  </si>
  <si>
    <t>BAN TỔ CHỨC - CÁN BỘ</t>
  </si>
  <si>
    <t>Độc lập - Tự do - Hạnh phúc</t>
  </si>
  <si>
    <t>Tổng số:</t>
  </si>
  <si>
    <t>trường hợp</t>
  </si>
  <si>
    <t xml:space="preserve">           </t>
  </si>
  <si>
    <t>(người tiếp nhận: Đỗ Văn Huyên, ĐT: 0438 359 295/ 0976 652 966).</t>
  </si>
  <si>
    <t>Tổng số CC, VC và NLĐ:</t>
  </si>
  <si>
    <t>công chức, viên chức</t>
  </si>
  <si>
    <t>01</t>
  </si>
  <si>
    <t>/</t>
  </si>
  <si>
    <t>7</t>
  </si>
  <si>
    <t>SỐ
TT</t>
  </si>
  <si>
    <t>HỌ TÊN</t>
  </si>
  <si>
    <t>GIỚI TÍNH</t>
  </si>
  <si>
    <t>ĐƠN VỊ</t>
  </si>
  <si>
    <t>NGẠCH/
CHỨC DANH NGHỀ NGHIỆP
VÀ MÃ SỐ</t>
  </si>
  <si>
    <t>NGẠCH</t>
  </si>
  <si>
    <t>MÃ SỐ NGẠCH</t>
  </si>
  <si>
    <t>ĐỦ ĐIỀU KIỆN, TIÊU CHUẨN NÂNG LƯƠNG</t>
  </si>
  <si>
    <t>GHI CHÚ</t>
  </si>
  <si>
    <t>Ghi 
chú</t>
  </si>
  <si>
    <t>GHI 
CHÚ</t>
  </si>
  <si>
    <t>Từ 
bậc</t>
  </si>
  <si>
    <t xml:space="preserve">Hệ số </t>
  </si>
  <si>
    <t>Lên 
bậc</t>
  </si>
  <si>
    <t>Hệ 
số</t>
  </si>
  <si>
    <t>Kể 
từ ngày</t>
  </si>
  <si>
    <t>lao động hợp đồng</t>
  </si>
  <si>
    <t>Bộ môn Khoa học hành chính,</t>
  </si>
  <si>
    <t>8</t>
  </si>
  <si>
    <t>2011</t>
  </si>
  <si>
    <t>Nữ</t>
  </si>
  <si>
    <t>Khoa Văn bản và Công nghệ hành chính</t>
  </si>
  <si>
    <t>Chức danh nghề nghiệp</t>
  </si>
  <si>
    <t>Giảng viên (hạng III)</t>
  </si>
  <si>
    <t>V.07.01.03</t>
  </si>
  <si>
    <t>02</t>
  </si>
  <si>
    <t>%</t>
  </si>
  <si>
    <t>Nam</t>
  </si>
  <si>
    <t>11</t>
  </si>
  <si>
    <t>Ngạch</t>
  </si>
  <si>
    <t>Chuyên viên</t>
  </si>
  <si>
    <t>25</t>
  </si>
  <si>
    <t>2012</t>
  </si>
  <si>
    <t>19</t>
  </si>
  <si>
    <t>12</t>
  </si>
  <si>
    <t>Khoa Đào tạo, Bồi dưỡng công chức và Tại chức</t>
  </si>
  <si>
    <t>người lao động</t>
  </si>
  <si>
    <t>17</t>
  </si>
  <si>
    <t>21</t>
  </si>
  <si>
    <t>Giảng viên chính (hạng II)</t>
  </si>
  <si>
    <t>V.07.01.02</t>
  </si>
  <si>
    <t>10</t>
  </si>
  <si>
    <t>Bộ môn Văn bản hành chính,</t>
  </si>
  <si>
    <t>6</t>
  </si>
  <si>
    <t>Văn phòng Học viện</t>
  </si>
  <si>
    <t>Cơ sở Học viện Hành chính Quốc gia tại Thành phố Hồ Chí Minh</t>
  </si>
  <si>
    <t>26</t>
  </si>
  <si>
    <t>4</t>
  </si>
  <si>
    <t>Phó Trưởng bộ môn</t>
  </si>
  <si>
    <t>Phòng Quản trị,</t>
  </si>
  <si>
    <t xml:space="preserve">Nơi nhận: </t>
  </si>
  <si>
    <t>KT. TRƯỞNG BAN</t>
  </si>
  <si>
    <t>- Các cơ sở, phân viện thuộc Học viện;</t>
  </si>
  <si>
    <t xml:space="preserve">PHÓ TRƯỞNG BAN </t>
  </si>
  <si>
    <t>- Trung tâm THHC&amp;CNTT (để đăng Website Học viện);</t>
  </si>
  <si>
    <t>(Đã ký)</t>
  </si>
  <si>
    <t>- Lưu: TC-CB.</t>
  </si>
  <si>
    <t>Nguyễn Thị Thu Vân</t>
  </si>
  <si>
    <r>
      <t xml:space="preserve"> </t>
    </r>
    <r>
      <rPr>
        <b/>
        <sz val="11"/>
        <rFont val="Arial Narrow"/>
        <family val="2"/>
      </rPr>
      <t xml:space="preserve">* </t>
    </r>
    <r>
      <rPr>
        <b/>
        <u/>
        <sz val="11"/>
        <rFont val="Arial Narrow"/>
        <family val="2"/>
      </rPr>
      <t>Lưu ý:</t>
    </r>
    <r>
      <rPr>
        <b/>
        <sz val="11"/>
        <rFont val="Arial Narrow"/>
        <family val="2"/>
      </rPr>
      <t xml:space="preserve">   </t>
    </r>
    <r>
      <rPr>
        <sz val="11"/>
        <rFont val="Arial Narrow"/>
        <family val="2"/>
      </rPr>
      <t xml:space="preserve">- Danh sách này thay cho thông báo, được công khai trên bảng tin nhà A tại trụ sở Học viện ở Hà Nội, bảng tin tại các cơ sở, phân viện thuộc Học viện </t>
    </r>
  </si>
  <si>
    <t xml:space="preserve"> </t>
  </si>
  <si>
    <t xml:space="preserve">Tổng số: </t>
  </si>
  <si>
    <t>nhà giáo</t>
  </si>
  <si>
    <t>Tháng</t>
  </si>
  <si>
    <r>
      <t xml:space="preserve">* </t>
    </r>
    <r>
      <rPr>
        <b/>
        <u/>
        <sz val="11"/>
        <rFont val="Arial Narrow"/>
        <family val="2"/>
      </rPr>
      <t>Lưu ý:</t>
    </r>
    <r>
      <rPr>
        <sz val="11"/>
        <rFont val="Arial Narrow"/>
        <family val="2"/>
      </rPr>
      <t xml:space="preserve"> - Danh sách này thay cho thông báo, được công khai trên bảng tin nhà A tại trụ sở Học viện ở Hà Nội, bảng tin tại các  cơ sở, </t>
    </r>
  </si>
  <si>
    <t xml:space="preserve">                 phân viện thuộc Học viện và trên Website Học viện Hành chính Quốc gia;</t>
  </si>
  <si>
    <t xml:space="preserve">                  (người tiếp nhận: Đỗ Văn Huyên, ĐT: 0438 359 295/ 0976 652 966).</t>
  </si>
  <si>
    <t>Tổng số nhà giáo:</t>
  </si>
  <si>
    <t>HỌ TÊN 
NHÀ GIÁO</t>
  </si>
  <si>
    <t>Ngày sinh</t>
  </si>
  <si>
    <t>ĐƠN VỊ CÔNG TÁC</t>
  </si>
  <si>
    <t>NGẠCH/ 
CHỨC DANH NGHỀ NGHIỆP
VÀ MÃ SỐ</t>
  </si>
  <si>
    <t>ĐỦ ĐIỀU KIỆN 
NÂNG PCTN</t>
  </si>
  <si>
    <t>ĐỦ ĐIỀU KIỆN NÂNG PCTN</t>
  </si>
  <si>
    <t>GHI
CHÚ</t>
  </si>
  <si>
    <t>Từ mức</t>
  </si>
  <si>
    <t>Lên mức</t>
  </si>
  <si>
    <t>Kể từ</t>
  </si>
  <si>
    <t>Thời gian Ko đc tính</t>
  </si>
  <si>
    <t>Thời gian giữ mức Pc</t>
  </si>
  <si>
    <t>Ds đủ ĐK nâng PC</t>
  </si>
  <si>
    <t>Kể từ 
tháng</t>
  </si>
  <si>
    <t>TT</t>
  </si>
  <si>
    <t>TEN</t>
  </si>
  <si>
    <t>GT</t>
  </si>
  <si>
    <t>BP</t>
  </si>
  <si>
    <t>DV</t>
  </si>
  <si>
    <t>Ma Ngach</t>
  </si>
  <si>
    <t>Pc1</t>
  </si>
  <si>
    <t>Pc2</t>
  </si>
  <si>
    <t>m</t>
  </si>
  <si>
    <t>y</t>
  </si>
  <si>
    <t>1</t>
  </si>
  <si>
    <t>Trưởng phòng</t>
  </si>
  <si>
    <t>28</t>
  </si>
  <si>
    <t>Giảng viên cao cấp (hạng I)</t>
  </si>
  <si>
    <t>03</t>
  </si>
  <si>
    <t>PGS</t>
  </si>
  <si>
    <t>Khoa Quản lý nhà nước về Kinh tế</t>
  </si>
  <si>
    <t>3</t>
  </si>
  <si>
    <t>20</t>
  </si>
  <si>
    <t>Khoa Quản lý nhà nước về Xã hội</t>
  </si>
  <si>
    <t>Trung tâm Tin học - Thư viện</t>
  </si>
  <si>
    <t>5</t>
  </si>
  <si>
    <t xml:space="preserve">(Đã ký) </t>
  </si>
  <si>
    <t>Phó Trưởng khoa</t>
  </si>
  <si>
    <t>1970</t>
  </si>
  <si>
    <t>Bộ môn Lý luận chung quản lý nhà nước về Kinh tế,</t>
  </si>
  <si>
    <t>Trùng tên</t>
  </si>
  <si>
    <t>Khoa Tổ chức và Quản lý nhân sự</t>
  </si>
  <si>
    <t>13</t>
  </si>
  <si>
    <t>1961</t>
  </si>
  <si>
    <t>14</t>
  </si>
  <si>
    <t>Phó Trưởng phòng</t>
  </si>
  <si>
    <t>01.003</t>
  </si>
  <si>
    <t>30</t>
  </si>
  <si>
    <t>Phòng Đào tạo, bồi dưỡng theo chức danh,</t>
  </si>
  <si>
    <t>Thư viện,</t>
  </si>
  <si>
    <t>Thư viện viên</t>
  </si>
  <si>
    <t>Phòng Hành chính - Tổng hợp,</t>
  </si>
  <si>
    <t>Khoa Nhà nước và Pháp luật</t>
  </si>
  <si>
    <t>Nguyễn Thị Lê Thu</t>
  </si>
  <si>
    <t>07</t>
  </si>
  <si>
    <t>1977</t>
  </si>
  <si>
    <t>Bộ môn Lý luận nhà nước và pháp luật,</t>
  </si>
  <si>
    <t>Trương Thị Ngọc Lan</t>
  </si>
  <si>
    <t>Bộ môn Dân số - Lao động - Bảo trợ xã hội,</t>
  </si>
  <si>
    <t>Trần Thị Hương Huế</t>
  </si>
  <si>
    <t xml:space="preserve">Bộ môn Văn bản hành chính, </t>
  </si>
  <si>
    <t>Lê Thị Thu Hoài</t>
  </si>
  <si>
    <t>17.170</t>
  </si>
  <si>
    <t>1955</t>
  </si>
  <si>
    <t>Lê Thị Tuyết</t>
  </si>
  <si>
    <t>Phòng Kế hoạch - Tổng hợp,</t>
  </si>
  <si>
    <t>Ban Hợp tác quốc tế</t>
  </si>
  <si>
    <t>Lê Thị Tuyết 77</t>
  </si>
  <si>
    <t>Vương Thanh Thủy</t>
  </si>
  <si>
    <t>Phòng Bồi dưỡng cán bộ, công chức, viên chức,</t>
  </si>
  <si>
    <t>Cao Thị Tươi</t>
  </si>
  <si>
    <t>1982</t>
  </si>
  <si>
    <t>Phòng Đào tạo chuyển đổi để thi cao học,</t>
  </si>
  <si>
    <t>Nguyễn Thị Ngọc Lan</t>
  </si>
  <si>
    <t>Bộ môn Tổ chức bộ máy,</t>
  </si>
  <si>
    <t>Lương Văn Đăng</t>
  </si>
  <si>
    <t>Trần Thị Hải</t>
  </si>
  <si>
    <t>1972</t>
  </si>
  <si>
    <t>Phòng Kế hoạch - Tài chính</t>
  </si>
  <si>
    <t>Kế toán viên</t>
  </si>
  <si>
    <t>Lê Đình Thục</t>
  </si>
  <si>
    <t>Hoàng Thị Kim Chi</t>
  </si>
  <si>
    <t>Trung tâm Tin học hành chính và Công nghệ thông tin</t>
  </si>
  <si>
    <t>Nguyễn Thị Ngọc Duyên</t>
  </si>
  <si>
    <t>Nguyễn Thị Huyền</t>
  </si>
  <si>
    <t>Cán sự</t>
  </si>
  <si>
    <t>10/2010=85%; Tsu 6 thag=&gt;4/2011=&gt;4/2013</t>
  </si>
  <si>
    <t>Lưu Quỳnh Anh</t>
  </si>
  <si>
    <t>1973</t>
  </si>
  <si>
    <t>Bộ môn Văn bản và Công nghệ hành chính,</t>
  </si>
  <si>
    <t>Nguyễn Thị Phượng</t>
  </si>
  <si>
    <t>Bộ môn Thanh tra,</t>
  </si>
  <si>
    <t>Trần Thị Cúc</t>
  </si>
  <si>
    <t>Nguyễn Tất Thịnh</t>
  </si>
  <si>
    <t>Vũ Trọng Hách</t>
  </si>
  <si>
    <t>27</t>
  </si>
  <si>
    <t>1957</t>
  </si>
  <si>
    <t>Đặng Thị Minh</t>
  </si>
  <si>
    <t>1975</t>
  </si>
  <si>
    <t>Bộ môn Văn hóa - Giáo dục - Y tế,</t>
  </si>
  <si>
    <t>Nguyễn Thanh Hương</t>
  </si>
  <si>
    <t>2009</t>
  </si>
  <si>
    <t>Trần Trọng Đức</t>
  </si>
  <si>
    <t>Bộ môn Quản lý nhà nước về Xã hội,</t>
  </si>
  <si>
    <t xml:space="preserve">         </t>
  </si>
  <si>
    <t>Hà Quang Thanh</t>
  </si>
  <si>
    <r>
      <t>DANH SÁCH NHÀ GIÁO THUỘC HỌC VIỆN HÀNH CHÍNH QUỐC GIA ĐỦ ĐIỀU KIỆN NÂNG PHỤ CẤP THÂM NIÊN TRONG THÁNG 4</t>
    </r>
    <r>
      <rPr>
        <b/>
        <sz val="12"/>
        <color indexed="12"/>
        <rFont val="Arial Narrow"/>
        <family val="2"/>
      </rPr>
      <t xml:space="preserve"> NĂM 2015</t>
    </r>
  </si>
  <si>
    <t>Hà Nội, ngày 23 tháng 4 năm 2015</t>
  </si>
  <si>
    <r>
      <t>DANH SÁCH CÔNG CHỨC, VIÊN CHỨC VÀ NGƯỜI LAO ĐỘNG THUỘC HỌC VIỆN HÀNH CHÍNH QUỐC GIA TẠI HÀ NỘI
ĐỦ ĐIỀU KIỆN, TIÊU CHUẨN NÂNG LƯƠNG TRONG THÁNG</t>
    </r>
    <r>
      <rPr>
        <b/>
        <sz val="12"/>
        <color indexed="12"/>
        <rFont val="Arial Narrow"/>
        <family val="2"/>
      </rPr>
      <t xml:space="preserve"> 4</t>
    </r>
    <r>
      <rPr>
        <b/>
        <sz val="12"/>
        <rFont val="Arial Narrow"/>
        <family val="2"/>
      </rPr>
      <t xml:space="preserve"> NĂM </t>
    </r>
    <r>
      <rPr>
        <b/>
        <sz val="12"/>
        <color indexed="12"/>
        <rFont val="Arial Narrow"/>
        <family val="2"/>
      </rPr>
      <t>2015</t>
    </r>
  </si>
  <si>
    <r>
      <t xml:space="preserve">          - Các ý kiến thắc mắc liên quan (nếu có), đề nghị phản hồi tới Ban Tổ chức - Cán bộ trước ngày</t>
    </r>
    <r>
      <rPr>
        <b/>
        <sz val="11"/>
        <rFont val="Arial Narrow"/>
        <family val="2"/>
      </rPr>
      <t xml:space="preserve"> </t>
    </r>
    <r>
      <rPr>
        <b/>
        <sz val="11"/>
        <color indexed="12"/>
        <rFont val="Arial Narrow"/>
        <family val="2"/>
      </rPr>
      <t xml:space="preserve"> 06/5/2015</t>
    </r>
  </si>
  <si>
    <r>
      <t xml:space="preserve">                - Các ý kiến thắc mắc liên quan (nếu có), đề nghị phản hồi tới Ban Tổ chức - Cán bộ trước ngày</t>
    </r>
    <r>
      <rPr>
        <b/>
        <sz val="11"/>
        <rFont val="Arial Narrow"/>
        <family val="2"/>
      </rPr>
      <t xml:space="preserve"> 06/5</t>
    </r>
    <r>
      <rPr>
        <b/>
        <sz val="11"/>
        <color indexed="12"/>
        <rFont val="Arial Narrow"/>
        <family val="2"/>
      </rPr>
      <t>/2015</t>
    </r>
  </si>
  <si>
    <t>và trên Website Học viện Hành chính Quốc gia;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</si>
</sst>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i/>
      <sz val="11"/>
      <color indexed="12"/>
      <name val="Arial Narrow"/>
      <family val="2"/>
    </font>
    <font>
      <b/>
      <sz val="12"/>
      <color indexed="12"/>
      <name val="Arial Narrow"/>
      <family val="2"/>
    </font>
    <font>
      <sz val="12"/>
      <name val="Arial Narrow"/>
      <family val="2"/>
    </font>
    <font>
      <sz val="14"/>
      <color indexed="8"/>
      <name val="Times New Roman"/>
      <family val="1"/>
    </font>
    <font>
      <b/>
      <sz val="11"/>
      <color indexed="12"/>
      <name val="Arial Narrow"/>
      <family val="2"/>
    </font>
    <font>
      <b/>
      <sz val="11"/>
      <color indexed="8"/>
      <name val="Arial Narrow"/>
      <family val="2"/>
    </font>
    <font>
      <b/>
      <sz val="11"/>
      <color indexed="13"/>
      <name val="Arial Narrow"/>
      <family val="2"/>
    </font>
    <font>
      <b/>
      <sz val="11"/>
      <color indexed="58"/>
      <name val="Arial Narrow"/>
      <family val="2"/>
    </font>
    <font>
      <b/>
      <sz val="11"/>
      <color indexed="16"/>
      <name val="Arial Narrow"/>
      <family val="2"/>
    </font>
    <font>
      <b/>
      <sz val="10"/>
      <name val="Arial Narrow"/>
      <family val="2"/>
    </font>
    <font>
      <b/>
      <u/>
      <sz val="11"/>
      <name val="Arial Narrow"/>
      <family val="2"/>
    </font>
    <font>
      <sz val="11"/>
      <color indexed="12"/>
      <name val="Arial Narrow"/>
      <family val="2"/>
    </font>
    <font>
      <sz val="11"/>
      <color indexed="8"/>
      <name val="Arial Narrow"/>
      <family val="2"/>
    </font>
    <font>
      <sz val="11"/>
      <color indexed="13"/>
      <name val="Arial Narrow"/>
      <family val="2"/>
    </font>
    <font>
      <sz val="11"/>
      <color indexed="58"/>
      <name val="Arial Narrow"/>
      <family val="2"/>
    </font>
    <font>
      <sz val="11"/>
      <color indexed="16"/>
      <name val="Arial Narrow"/>
      <family val="2"/>
    </font>
    <font>
      <sz val="11"/>
      <color indexed="10"/>
      <name val="Arial Narrow"/>
      <family val="2"/>
    </font>
    <font>
      <b/>
      <sz val="11"/>
      <color indexed="9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10"/>
      <name val="Arial Narrow"/>
      <family val="2"/>
    </font>
    <font>
      <b/>
      <i/>
      <sz val="11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  <font>
      <b/>
      <sz val="12"/>
      <color indexed="8"/>
      <name val="Arial Narrow"/>
      <family val="2"/>
    </font>
    <font>
      <b/>
      <sz val="8"/>
      <color indexed="12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  <font>
      <b/>
      <i/>
      <sz val="12"/>
      <color indexed="9"/>
      <name val="Arial Narrow"/>
      <family val="2"/>
    </font>
    <font>
      <b/>
      <sz val="13"/>
      <name val="Arial"/>
      <family val="2"/>
    </font>
    <font>
      <b/>
      <sz val="13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i/>
      <sz val="10"/>
      <color theme="0"/>
      <name val="Arial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sz val="8"/>
      <color theme="0"/>
      <name val="Arial Narrow"/>
      <family val="2"/>
    </font>
    <font>
      <sz val="9"/>
      <color theme="0"/>
      <name val="Arial Narrow"/>
      <family val="2"/>
    </font>
    <font>
      <b/>
      <sz val="8"/>
      <color theme="0"/>
      <name val="Arial Narrow"/>
      <family val="2"/>
    </font>
    <font>
      <b/>
      <i/>
      <sz val="11"/>
      <color indexed="12"/>
      <name val="Arial Narrow"/>
      <family val="2"/>
    </font>
    <font>
      <b/>
      <i/>
      <sz val="12"/>
      <name val="Arial"/>
      <family val="2"/>
    </font>
    <font>
      <sz val="10"/>
      <name val="Arial"/>
      <family val="2"/>
    </font>
    <font>
      <b/>
      <i/>
      <sz val="12"/>
      <color rgb="FF0000FF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4">
    <xf numFmtId="0" fontId="0" fillId="0" borderId="0" xfId="0"/>
    <xf numFmtId="0" fontId="1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/>
    <xf numFmtId="49" fontId="1" fillId="2" borderId="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/>
    <xf numFmtId="0" fontId="2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left" wrapText="1"/>
    </xf>
    <xf numFmtId="49" fontId="1" fillId="2" borderId="0" xfId="0" applyNumberFormat="1" applyFont="1" applyFill="1" applyBorder="1" applyAlignment="1">
      <alignment horizontal="left" wrapText="1"/>
    </xf>
    <xf numFmtId="49" fontId="1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Alignment="1"/>
    <xf numFmtId="2" fontId="2" fillId="2" borderId="0" xfId="0" applyNumberFormat="1" applyFont="1" applyFill="1" applyAlignment="1"/>
    <xf numFmtId="2" fontId="7" fillId="2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2" fontId="9" fillId="2" borderId="0" xfId="0" applyNumberFormat="1" applyFont="1" applyFill="1" applyBorder="1" applyAlignment="1">
      <alignment horizontal="right"/>
    </xf>
    <xf numFmtId="2" fontId="9" fillId="2" borderId="0" xfId="0" applyNumberFormat="1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/>
    <xf numFmtId="0" fontId="9" fillId="0" borderId="0" xfId="0" applyNumberFormat="1" applyFont="1" applyBorder="1" applyAlignment="1"/>
    <xf numFmtId="0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/>
    <xf numFmtId="1" fontId="10" fillId="0" borderId="0" xfId="0" applyNumberFormat="1" applyFont="1" applyBorder="1" applyAlignment="1">
      <alignment horizontal="center" wrapText="1"/>
    </xf>
    <xf numFmtId="0" fontId="11" fillId="2" borderId="0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/>
    <xf numFmtId="1" fontId="1" fillId="2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9" fillId="2" borderId="0" xfId="0" applyNumberFormat="1" applyFont="1" applyFill="1" applyBorder="1" applyAlignment="1"/>
    <xf numFmtId="2" fontId="1" fillId="0" borderId="0" xfId="0" applyNumberFormat="1" applyFont="1" applyBorder="1" applyAlignment="1"/>
    <xf numFmtId="0" fontId="9" fillId="0" borderId="0" xfId="0" applyFont="1" applyBorder="1" applyAlignment="1">
      <alignment horizontal="center"/>
    </xf>
    <xf numFmtId="2" fontId="13" fillId="2" borderId="0" xfId="0" applyNumberFormat="1" applyFont="1" applyFill="1" applyBorder="1" applyAlignment="1"/>
    <xf numFmtId="2" fontId="13" fillId="2" borderId="0" xfId="0" applyNumberFormat="1" applyFont="1" applyFill="1" applyBorder="1" applyAlignment="1">
      <alignment horizontal="right"/>
    </xf>
    <xf numFmtId="0" fontId="9" fillId="0" borderId="0" xfId="0" applyFont="1" applyBorder="1" applyAlignment="1"/>
    <xf numFmtId="0" fontId="13" fillId="0" borderId="0" xfId="0" applyFont="1" applyBorder="1" applyAlignment="1"/>
    <xf numFmtId="2" fontId="9" fillId="0" borderId="0" xfId="0" applyNumberFormat="1" applyFont="1" applyBorder="1" applyAlignment="1">
      <alignment horizontal="right"/>
    </xf>
    <xf numFmtId="1" fontId="14" fillId="2" borderId="0" xfId="0" applyNumberFormat="1" applyFont="1" applyFill="1" applyAlignment="1"/>
    <xf numFmtId="2" fontId="1" fillId="2" borderId="0" xfId="0" applyNumberFormat="1" applyFont="1" applyFill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2" borderId="0" xfId="0" applyFont="1" applyFill="1" applyAlignment="1"/>
    <xf numFmtId="0" fontId="2" fillId="2" borderId="0" xfId="0" applyNumberFormat="1" applyFont="1" applyFill="1" applyBorder="1" applyAlignment="1">
      <alignment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vertical="top"/>
    </xf>
    <xf numFmtId="0" fontId="2" fillId="2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left" vertical="top"/>
    </xf>
    <xf numFmtId="0" fontId="16" fillId="2" borderId="0" xfId="0" applyNumberFormat="1" applyFont="1" applyFill="1" applyBorder="1" applyAlignment="1">
      <alignment horizontal="right" vertical="top"/>
    </xf>
    <xf numFmtId="0" fontId="16" fillId="2" borderId="0" xfId="0" applyNumberFormat="1" applyFont="1" applyFill="1" applyBorder="1" applyAlignment="1">
      <alignment horizontal="left" vertical="top" wrapText="1"/>
    </xf>
    <xf numFmtId="0" fontId="16" fillId="2" borderId="0" xfId="0" applyNumberFormat="1" applyFont="1" applyFill="1" applyBorder="1" applyAlignment="1">
      <alignment horizontal="center" vertical="top"/>
    </xf>
    <xf numFmtId="0" fontId="16" fillId="2" borderId="0" xfId="0" applyNumberFormat="1" applyFont="1" applyFill="1" applyBorder="1" applyAlignment="1">
      <alignment horizontal="left" vertical="top"/>
    </xf>
    <xf numFmtId="0" fontId="16" fillId="0" borderId="0" xfId="0" applyNumberFormat="1" applyFont="1" applyBorder="1" applyAlignment="1">
      <alignment vertical="top"/>
    </xf>
    <xf numFmtId="0" fontId="16" fillId="0" borderId="0" xfId="0" applyNumberFormat="1" applyFont="1" applyBorder="1" applyAlignment="1">
      <alignment horizontal="left" vertical="top"/>
    </xf>
    <xf numFmtId="0" fontId="16" fillId="0" borderId="0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center" vertical="top" wrapText="1"/>
    </xf>
    <xf numFmtId="0" fontId="18" fillId="2" borderId="0" xfId="0" applyNumberFormat="1" applyFont="1" applyFill="1" applyBorder="1" applyAlignment="1">
      <alignment horizontal="center" vertical="top"/>
    </xf>
    <xf numFmtId="0" fontId="19" fillId="0" borderId="0" xfId="0" applyNumberFormat="1" applyFont="1" applyBorder="1" applyAlignment="1">
      <alignment vertical="top"/>
    </xf>
    <xf numFmtId="0" fontId="1" fillId="2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16" fillId="2" borderId="0" xfId="0" applyNumberFormat="1" applyFont="1" applyFill="1" applyBorder="1" applyAlignment="1">
      <alignment vertical="top"/>
    </xf>
    <xf numFmtId="0" fontId="9" fillId="0" borderId="0" xfId="0" applyNumberFormat="1" applyFont="1" applyBorder="1" applyAlignment="1">
      <alignment horizontal="center" vertical="top"/>
    </xf>
    <xf numFmtId="0" fontId="9" fillId="2" borderId="0" xfId="0" applyNumberFormat="1" applyFont="1" applyFill="1" applyBorder="1" applyAlignment="1">
      <alignment vertical="top"/>
    </xf>
    <xf numFmtId="0" fontId="20" fillId="2" borderId="0" xfId="0" applyNumberFormat="1" applyFont="1" applyFill="1" applyBorder="1" applyAlignment="1">
      <alignment vertical="top"/>
    </xf>
    <xf numFmtId="0" fontId="20" fillId="2" borderId="0" xfId="0" applyNumberFormat="1" applyFont="1" applyFill="1" applyBorder="1" applyAlignment="1">
      <alignment horizontal="right" vertical="top"/>
    </xf>
    <xf numFmtId="0" fontId="20" fillId="0" borderId="0" xfId="0" applyNumberFormat="1" applyFont="1" applyBorder="1" applyAlignment="1">
      <alignment vertical="top"/>
    </xf>
    <xf numFmtId="0" fontId="2" fillId="2" borderId="0" xfId="0" applyNumberFormat="1" applyFont="1" applyFill="1" applyAlignment="1">
      <alignment vertical="top"/>
    </xf>
    <xf numFmtId="0" fontId="2" fillId="0" borderId="0" xfId="0" applyNumberFormat="1" applyFont="1" applyAlignment="1">
      <alignment horizontal="center" vertical="top"/>
    </xf>
    <xf numFmtId="0" fontId="17" fillId="2" borderId="0" xfId="0" applyNumberFormat="1" applyFont="1" applyFill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2" fillId="3" borderId="0" xfId="0" applyNumberFormat="1" applyFont="1" applyFill="1" applyAlignment="1">
      <alignment vertical="top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right" vertical="top"/>
    </xf>
    <xf numFmtId="0" fontId="1" fillId="2" borderId="0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horizontal="center" vertical="top"/>
    </xf>
    <xf numFmtId="0" fontId="2" fillId="4" borderId="3" xfId="0" applyNumberFormat="1" applyFont="1" applyFill="1" applyBorder="1" applyAlignment="1">
      <alignment horizontal="center" vertical="top" wrapText="1"/>
    </xf>
    <xf numFmtId="0" fontId="2" fillId="4" borderId="0" xfId="0" applyNumberFormat="1" applyFont="1" applyFill="1" applyBorder="1" applyAlignment="1">
      <alignment horizontal="center" vertical="top" wrapText="1"/>
    </xf>
    <xf numFmtId="0" fontId="2" fillId="4" borderId="0" xfId="0" applyNumberFormat="1" applyFont="1" applyFill="1" applyBorder="1" applyAlignment="1">
      <alignment horizontal="center" vertical="top"/>
    </xf>
    <xf numFmtId="0" fontId="2" fillId="4" borderId="2" xfId="0" applyNumberFormat="1" applyFont="1" applyFill="1" applyBorder="1" applyAlignment="1">
      <alignment horizontal="center" vertical="top"/>
    </xf>
    <xf numFmtId="0" fontId="1" fillId="5" borderId="2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1" fillId="5" borderId="0" xfId="0" applyFont="1" applyFill="1" applyAlignment="1">
      <alignment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Alignment="1">
      <alignment horizontal="center" vertical="center"/>
    </xf>
    <xf numFmtId="0" fontId="23" fillId="2" borderId="0" xfId="0" applyNumberFormat="1" applyFont="1" applyFill="1" applyAlignment="1">
      <alignment horizontal="left" vertical="center" wrapText="1"/>
    </xf>
    <xf numFmtId="0" fontId="23" fillId="2" borderId="0" xfId="0" applyNumberFormat="1" applyFont="1" applyFill="1" applyAlignment="1">
      <alignment horizontal="center" vertical="center" wrapText="1"/>
    </xf>
    <xf numFmtId="0" fontId="23" fillId="2" borderId="0" xfId="0" applyNumberFormat="1" applyFont="1" applyFill="1" applyAlignment="1">
      <alignment vertical="center" wrapText="1"/>
    </xf>
    <xf numFmtId="0" fontId="23" fillId="2" borderId="0" xfId="0" applyNumberFormat="1" applyFont="1" applyFill="1" applyAlignment="1">
      <alignment vertical="center"/>
    </xf>
    <xf numFmtId="1" fontId="23" fillId="2" borderId="0" xfId="0" applyNumberFormat="1" applyFont="1" applyFill="1" applyBorder="1" applyAlignment="1">
      <alignment horizontal="left" vertical="center"/>
    </xf>
    <xf numFmtId="1" fontId="23" fillId="2" borderId="0" xfId="0" applyNumberFormat="1" applyFont="1" applyFill="1" applyBorder="1" applyAlignment="1">
      <alignment horizontal="left" vertical="center" wrapText="1"/>
    </xf>
    <xf numFmtId="1" fontId="23" fillId="2" borderId="0" xfId="0" applyNumberFormat="1" applyFont="1" applyFill="1" applyBorder="1" applyAlignment="1">
      <alignment horizontal="center" vertical="center"/>
    </xf>
    <xf numFmtId="2" fontId="23" fillId="2" borderId="0" xfId="0" applyNumberFormat="1" applyFont="1" applyFill="1" applyAlignment="1">
      <alignment horizontal="left" vertical="center"/>
    </xf>
    <xf numFmtId="49" fontId="23" fillId="2" borderId="0" xfId="0" applyNumberFormat="1" applyFont="1" applyFill="1" applyBorder="1" applyAlignment="1">
      <alignment horizontal="center" vertical="center"/>
    </xf>
    <xf numFmtId="49" fontId="23" fillId="2" borderId="0" xfId="0" applyNumberFormat="1" applyFont="1" applyFill="1" applyBorder="1" applyAlignment="1">
      <alignment vertical="center"/>
    </xf>
    <xf numFmtId="2" fontId="23" fillId="2" borderId="0" xfId="0" applyNumberFormat="1" applyFont="1" applyFill="1" applyBorder="1" applyAlignment="1">
      <alignment horizontal="center" vertical="center"/>
    </xf>
    <xf numFmtId="49" fontId="23" fillId="2" borderId="0" xfId="0" applyNumberFormat="1" applyFont="1" applyFill="1" applyBorder="1" applyAlignment="1">
      <alignment horizontal="right" vertical="center"/>
    </xf>
    <xf numFmtId="49" fontId="23" fillId="2" borderId="0" xfId="0" applyNumberFormat="1" applyFont="1" applyFill="1" applyBorder="1" applyAlignment="1">
      <alignment horizontal="left" vertical="center"/>
    </xf>
    <xf numFmtId="49" fontId="23" fillId="2" borderId="0" xfId="0" applyNumberFormat="1" applyFont="1" applyFill="1" applyBorder="1" applyAlignment="1">
      <alignment horizontal="right" vertical="center" wrapText="1"/>
    </xf>
    <xf numFmtId="2" fontId="23" fillId="2" borderId="0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vertical="center" wrapText="1"/>
    </xf>
    <xf numFmtId="0" fontId="23" fillId="2" borderId="0" xfId="0" applyNumberFormat="1" applyFont="1" applyFill="1" applyBorder="1" applyAlignment="1">
      <alignment horizontal="left" vertical="center" wrapText="1"/>
    </xf>
    <xf numFmtId="1" fontId="24" fillId="2" borderId="0" xfId="0" applyNumberFormat="1" applyFont="1" applyFill="1" applyAlignment="1">
      <alignment horizontal="center" vertical="center" wrapText="1"/>
    </xf>
    <xf numFmtId="2" fontId="23" fillId="2" borderId="0" xfId="0" applyNumberFormat="1" applyFont="1" applyFill="1" applyAlignment="1">
      <alignment vertical="center"/>
    </xf>
    <xf numFmtId="2" fontId="23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" fontId="1" fillId="2" borderId="4" xfId="0" applyNumberFormat="1" applyFont="1" applyFill="1" applyBorder="1" applyAlignment="1">
      <alignment horizontal="right" vertical="center"/>
    </xf>
    <xf numFmtId="2" fontId="9" fillId="2" borderId="5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2" fontId="2" fillId="2" borderId="8" xfId="0" applyNumberFormat="1" applyFont="1" applyFill="1" applyBorder="1" applyAlignment="1">
      <alignment horizontal="left" vertical="center"/>
    </xf>
    <xf numFmtId="1" fontId="1" fillId="2" borderId="8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right" vertical="center"/>
    </xf>
    <xf numFmtId="2" fontId="9" fillId="2" borderId="8" xfId="0" applyNumberFormat="1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right" vertical="center"/>
    </xf>
    <xf numFmtId="2" fontId="2" fillId="2" borderId="11" xfId="0" applyNumberFormat="1" applyFont="1" applyFill="1" applyBorder="1" applyAlignment="1">
      <alignment horizontal="right" vertical="center"/>
    </xf>
    <xf numFmtId="2" fontId="2" fillId="2" borderId="13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left" vertical="center" wrapText="1"/>
    </xf>
    <xf numFmtId="2" fontId="2" fillId="2" borderId="11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vertical="center" wrapText="1"/>
    </xf>
    <xf numFmtId="0" fontId="2" fillId="2" borderId="14" xfId="0" applyNumberFormat="1" applyFont="1" applyFill="1" applyBorder="1" applyAlignment="1">
      <alignment vertical="center" wrapText="1"/>
    </xf>
    <xf numFmtId="0" fontId="2" fillId="2" borderId="15" xfId="0" applyNumberFormat="1" applyFont="1" applyFill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right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left" vertical="center"/>
    </xf>
    <xf numFmtId="1" fontId="2" fillId="2" borderId="19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right" vertical="center"/>
    </xf>
    <xf numFmtId="2" fontId="1" fillId="2" borderId="8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28" fillId="0" borderId="0" xfId="0" applyNumberFormat="1" applyFont="1" applyBorder="1" applyAlignment="1">
      <alignment horizontal="left"/>
    </xf>
    <xf numFmtId="2" fontId="23" fillId="0" borderId="0" xfId="0" applyNumberFormat="1" applyFont="1" applyAlignment="1"/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7" fillId="0" borderId="0" xfId="0" applyNumberFormat="1" applyFont="1" applyAlignment="1">
      <alignment wrapText="1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 wrapText="1"/>
    </xf>
    <xf numFmtId="2" fontId="7" fillId="2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/>
    <xf numFmtId="0" fontId="30" fillId="2" borderId="11" xfId="0" applyNumberFormat="1" applyFont="1" applyFill="1" applyBorder="1" applyAlignment="1">
      <alignment horizontal="center" vertical="center" wrapText="1"/>
    </xf>
    <xf numFmtId="0" fontId="23" fillId="0" borderId="0" xfId="0" quotePrefix="1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1" fontId="31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1" fontId="33" fillId="2" borderId="11" xfId="0" applyNumberFormat="1" applyFont="1" applyFill="1" applyBorder="1" applyAlignment="1">
      <alignment horizontal="right" vertical="center"/>
    </xf>
    <xf numFmtId="2" fontId="32" fillId="2" borderId="8" xfId="0" applyNumberFormat="1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 wrapText="1"/>
    </xf>
    <xf numFmtId="0" fontId="35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>
      <alignment horizontal="center" wrapText="1"/>
    </xf>
    <xf numFmtId="0" fontId="7" fillId="0" borderId="0" xfId="0" quotePrefix="1" applyNumberFormat="1" applyFont="1" applyBorder="1" applyAlignment="1">
      <alignment horizontal="left"/>
    </xf>
    <xf numFmtId="0" fontId="38" fillId="7" borderId="0" xfId="0" applyFont="1" applyFill="1" applyAlignment="1">
      <alignment vertical="center"/>
    </xf>
    <xf numFmtId="1" fontId="38" fillId="7" borderId="4" xfId="0" applyNumberFormat="1" applyFont="1" applyFill="1" applyBorder="1" applyAlignment="1">
      <alignment horizontal="center" vertical="center"/>
    </xf>
    <xf numFmtId="1" fontId="39" fillId="7" borderId="5" xfId="0" applyNumberFormat="1" applyFont="1" applyFill="1" applyBorder="1" applyAlignment="1">
      <alignment horizontal="center" vertical="center" wrapText="1"/>
    </xf>
    <xf numFmtId="1" fontId="39" fillId="7" borderId="5" xfId="0" applyNumberFormat="1" applyFont="1" applyFill="1" applyBorder="1" applyAlignment="1">
      <alignment horizontal="center" vertical="center"/>
    </xf>
    <xf numFmtId="1" fontId="38" fillId="7" borderId="6" xfId="0" applyNumberFormat="1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horizontal="center" vertical="center"/>
    </xf>
    <xf numFmtId="2" fontId="39" fillId="7" borderId="5" xfId="0" applyNumberFormat="1" applyFont="1" applyFill="1" applyBorder="1" applyAlignment="1">
      <alignment horizontal="center" vertical="center"/>
    </xf>
    <xf numFmtId="1" fontId="39" fillId="7" borderId="8" xfId="0" applyNumberFormat="1" applyFont="1" applyFill="1" applyBorder="1" applyAlignment="1">
      <alignment horizontal="center" vertical="center"/>
    </xf>
    <xf numFmtId="2" fontId="39" fillId="7" borderId="8" xfId="0" applyNumberFormat="1" applyFont="1" applyFill="1" applyBorder="1" applyAlignment="1">
      <alignment horizontal="center" vertical="center"/>
    </xf>
    <xf numFmtId="0" fontId="40" fillId="7" borderId="0" xfId="0" applyFont="1" applyFill="1" applyAlignment="1">
      <alignment horizontal="center" vertical="center"/>
    </xf>
    <xf numFmtId="2" fontId="41" fillId="7" borderId="0" xfId="0" applyNumberFormat="1" applyFont="1" applyFill="1" applyAlignment="1"/>
    <xf numFmtId="2" fontId="42" fillId="7" borderId="0" xfId="0" applyNumberFormat="1" applyFont="1" applyFill="1" applyAlignment="1"/>
    <xf numFmtId="0" fontId="43" fillId="7" borderId="8" xfId="0" applyNumberFormat="1" applyFont="1" applyFill="1" applyBorder="1" applyAlignment="1">
      <alignment horizontal="center" vertical="center" wrapText="1"/>
    </xf>
    <xf numFmtId="0" fontId="43" fillId="7" borderId="0" xfId="0" applyFont="1" applyFill="1" applyAlignment="1">
      <alignment vertical="center" wrapText="1"/>
    </xf>
    <xf numFmtId="0" fontId="43" fillId="7" borderId="12" xfId="0" applyNumberFormat="1" applyFont="1" applyFill="1" applyBorder="1" applyAlignment="1">
      <alignment horizontal="left" vertical="center"/>
    </xf>
    <xf numFmtId="0" fontId="43" fillId="7" borderId="13" xfId="0" applyNumberFormat="1" applyFont="1" applyFill="1" applyBorder="1" applyAlignment="1">
      <alignment horizontal="center" vertical="center"/>
    </xf>
    <xf numFmtId="0" fontId="43" fillId="7" borderId="12" xfId="0" applyNumberFormat="1" applyFont="1" applyFill="1" applyBorder="1" applyAlignment="1">
      <alignment vertical="center"/>
    </xf>
    <xf numFmtId="0" fontId="43" fillId="7" borderId="14" xfId="0" applyNumberFormat="1" applyFont="1" applyFill="1" applyBorder="1" applyAlignment="1">
      <alignment vertical="center"/>
    </xf>
    <xf numFmtId="0" fontId="43" fillId="7" borderId="8" xfId="0" applyNumberFormat="1" applyFont="1" applyFill="1" applyBorder="1" applyAlignment="1">
      <alignment horizontal="left" vertical="center"/>
    </xf>
    <xf numFmtId="0" fontId="43" fillId="7" borderId="0" xfId="0" applyFont="1" applyFill="1" applyAlignment="1">
      <alignment vertical="center"/>
    </xf>
    <xf numFmtId="49" fontId="43" fillId="7" borderId="15" xfId="0" applyNumberFormat="1" applyFont="1" applyFill="1" applyBorder="1" applyAlignment="1">
      <alignment horizontal="left" vertical="center"/>
    </xf>
    <xf numFmtId="0" fontId="44" fillId="7" borderId="0" xfId="0" applyNumberFormat="1" applyFont="1" applyFill="1" applyAlignment="1">
      <alignment horizontal="center" vertical="center"/>
    </xf>
    <xf numFmtId="2" fontId="43" fillId="7" borderId="8" xfId="0" applyNumberFormat="1" applyFont="1" applyFill="1" applyBorder="1" applyAlignment="1">
      <alignment horizontal="left" vertical="center"/>
    </xf>
    <xf numFmtId="0" fontId="45" fillId="7" borderId="8" xfId="0" applyNumberFormat="1" applyFont="1" applyFill="1" applyBorder="1" applyAlignment="1">
      <alignment horizontal="center" vertical="center" wrapText="1"/>
    </xf>
    <xf numFmtId="1" fontId="45" fillId="7" borderId="11" xfId="0" applyNumberFormat="1" applyFont="1" applyFill="1" applyBorder="1" applyAlignment="1">
      <alignment horizontal="center" vertical="center"/>
    </xf>
    <xf numFmtId="1" fontId="43" fillId="7" borderId="8" xfId="0" applyNumberFormat="1" applyFont="1" applyFill="1" applyBorder="1" applyAlignment="1">
      <alignment horizontal="center" vertical="center" wrapText="1"/>
    </xf>
    <xf numFmtId="1" fontId="43" fillId="7" borderId="8" xfId="0" applyNumberFormat="1" applyFont="1" applyFill="1" applyBorder="1" applyAlignment="1">
      <alignment horizontal="center" vertical="center"/>
    </xf>
    <xf numFmtId="1" fontId="45" fillId="7" borderId="12" xfId="0" applyNumberFormat="1" applyFont="1" applyFill="1" applyBorder="1" applyAlignment="1">
      <alignment horizontal="center" vertical="center"/>
    </xf>
    <xf numFmtId="0" fontId="45" fillId="7" borderId="8" xfId="0" applyFont="1" applyFill="1" applyBorder="1" applyAlignment="1">
      <alignment horizontal="center" vertical="center"/>
    </xf>
    <xf numFmtId="2" fontId="43" fillId="7" borderId="8" xfId="0" applyNumberFormat="1" applyFont="1" applyFill="1" applyBorder="1" applyAlignment="1">
      <alignment horizontal="center" vertical="center"/>
    </xf>
    <xf numFmtId="2" fontId="39" fillId="7" borderId="15" xfId="0" applyNumberFormat="1" applyFont="1" applyFill="1" applyBorder="1" applyAlignment="1">
      <alignment horizontal="center" vertical="center"/>
    </xf>
    <xf numFmtId="0" fontId="39" fillId="7" borderId="0" xfId="0" applyFont="1" applyFill="1" applyBorder="1" applyAlignment="1">
      <alignment horizontal="center" vertical="center"/>
    </xf>
    <xf numFmtId="0" fontId="39" fillId="7" borderId="0" xfId="0" applyNumberFormat="1" applyFont="1" applyFill="1" applyBorder="1" applyAlignment="1">
      <alignment horizontal="center" vertical="center" wrapText="1"/>
    </xf>
    <xf numFmtId="49" fontId="39" fillId="7" borderId="0" xfId="0" applyNumberFormat="1" applyFont="1" applyFill="1" applyBorder="1" applyAlignment="1">
      <alignment vertical="center"/>
    </xf>
    <xf numFmtId="0" fontId="39" fillId="7" borderId="0" xfId="0" applyFont="1" applyFill="1" applyBorder="1" applyAlignment="1">
      <alignment vertical="center" wrapText="1"/>
    </xf>
    <xf numFmtId="0" fontId="39" fillId="7" borderId="0" xfId="0" applyNumberFormat="1" applyFont="1" applyFill="1" applyBorder="1" applyAlignment="1">
      <alignment horizontal="left" vertical="center"/>
    </xf>
    <xf numFmtId="0" fontId="39" fillId="7" borderId="0" xfId="0" applyNumberFormat="1" applyFont="1" applyFill="1" applyBorder="1" applyAlignment="1">
      <alignment horizontal="center" vertical="center"/>
    </xf>
    <xf numFmtId="0" fontId="39" fillId="7" borderId="0" xfId="0" applyNumberFormat="1" applyFont="1" applyFill="1" applyBorder="1" applyAlignment="1">
      <alignment vertical="center"/>
    </xf>
    <xf numFmtId="0" fontId="39" fillId="7" borderId="0" xfId="0" applyFont="1" applyFill="1" applyBorder="1" applyAlignment="1">
      <alignment vertical="center"/>
    </xf>
    <xf numFmtId="49" fontId="39" fillId="7" borderId="0" xfId="0" applyNumberFormat="1" applyFont="1" applyFill="1" applyBorder="1" applyAlignment="1">
      <alignment horizontal="left" vertical="center"/>
    </xf>
    <xf numFmtId="2" fontId="39" fillId="7" borderId="0" xfId="0" applyNumberFormat="1" applyFont="1" applyFill="1" applyBorder="1" applyAlignment="1">
      <alignment horizontal="left" vertical="center"/>
    </xf>
    <xf numFmtId="0" fontId="38" fillId="7" borderId="0" xfId="0" applyNumberFormat="1" applyFont="1" applyFill="1" applyBorder="1" applyAlignment="1">
      <alignment horizontal="center" vertical="center" wrapText="1"/>
    </xf>
    <xf numFmtId="1" fontId="38" fillId="7" borderId="0" xfId="0" applyNumberFormat="1" applyFont="1" applyFill="1" applyBorder="1" applyAlignment="1">
      <alignment horizontal="center" vertical="center"/>
    </xf>
    <xf numFmtId="1" fontId="39" fillId="7" borderId="0" xfId="0" applyNumberFormat="1" applyFont="1" applyFill="1" applyBorder="1" applyAlignment="1">
      <alignment horizontal="center" vertical="center" wrapText="1"/>
    </xf>
    <xf numFmtId="1" fontId="39" fillId="7" borderId="0" xfId="0" applyNumberFormat="1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center" vertical="center"/>
    </xf>
    <xf numFmtId="1" fontId="30" fillId="2" borderId="0" xfId="0" applyNumberFormat="1" applyFont="1" applyFill="1" applyBorder="1" applyAlignment="1">
      <alignment horizontal="center" vertical="center"/>
    </xf>
    <xf numFmtId="0" fontId="43" fillId="7" borderId="0" xfId="0" applyFont="1" applyFill="1" applyBorder="1" applyAlignment="1">
      <alignment horizontal="center" vertical="center"/>
    </xf>
    <xf numFmtId="0" fontId="43" fillId="7" borderId="0" xfId="0" applyNumberFormat="1" applyFont="1" applyFill="1" applyBorder="1" applyAlignment="1">
      <alignment horizontal="center" vertical="center" wrapText="1"/>
    </xf>
    <xf numFmtId="49" fontId="43" fillId="7" borderId="0" xfId="0" applyNumberFormat="1" applyFont="1" applyFill="1" applyBorder="1" applyAlignment="1">
      <alignment vertical="center"/>
    </xf>
    <xf numFmtId="0" fontId="37" fillId="0" borderId="0" xfId="0" applyNumberFormat="1" applyFont="1" applyBorder="1" applyAlignment="1"/>
    <xf numFmtId="0" fontId="1" fillId="0" borderId="0" xfId="0" applyFont="1" applyAlignment="1">
      <alignment vertical="center"/>
    </xf>
    <xf numFmtId="1" fontId="1" fillId="2" borderId="0" xfId="0" applyNumberFormat="1" applyFont="1" applyFill="1" applyBorder="1" applyAlignment="1">
      <alignment horizontal="right" vertical="center"/>
    </xf>
    <xf numFmtId="1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46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1" fillId="2" borderId="0" xfId="0" applyFont="1" applyFill="1" applyBorder="1" applyAlignment="1">
      <alignment horizontal="right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2" fontId="16" fillId="2" borderId="0" xfId="0" applyNumberFormat="1" applyFont="1" applyFill="1" applyBorder="1" applyAlignment="1">
      <alignment horizontal="right" vertical="center"/>
    </xf>
    <xf numFmtId="1" fontId="27" fillId="8" borderId="0" xfId="0" applyNumberFormat="1" applyFont="1" applyFill="1" applyBorder="1" applyAlignment="1">
      <alignment horizontal="center" vertical="center" wrapText="1"/>
    </xf>
    <xf numFmtId="1" fontId="11" fillId="8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2" fontId="20" fillId="2" borderId="0" xfId="0" applyNumberFormat="1" applyFont="1" applyFill="1" applyBorder="1" applyAlignment="1">
      <alignment horizontal="left" vertical="center"/>
    </xf>
    <xf numFmtId="2" fontId="20" fillId="2" borderId="0" xfId="0" applyNumberFormat="1" applyFont="1" applyFill="1" applyBorder="1" applyAlignment="1">
      <alignment vertical="center"/>
    </xf>
    <xf numFmtId="2" fontId="16" fillId="0" borderId="0" xfId="0" applyNumberFormat="1" applyFont="1" applyBorder="1" applyAlignment="1">
      <alignment horizontal="right" vertical="center"/>
    </xf>
    <xf numFmtId="2" fontId="16" fillId="2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9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2" fontId="9" fillId="2" borderId="0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1" fontId="22" fillId="2" borderId="8" xfId="0" applyNumberFormat="1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47" fillId="0" borderId="0" xfId="0" applyFont="1"/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left" vertical="center" wrapText="1"/>
    </xf>
    <xf numFmtId="0" fontId="48" fillId="0" borderId="0" xfId="0" quotePrefix="1" applyFont="1"/>
    <xf numFmtId="0" fontId="2" fillId="2" borderId="0" xfId="0" applyNumberFormat="1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2" fontId="2" fillId="2" borderId="0" xfId="0" applyNumberFormat="1" applyFont="1" applyFill="1" applyAlignment="1">
      <alignment horizontal="center" vertical="center"/>
    </xf>
    <xf numFmtId="0" fontId="2" fillId="7" borderId="8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39" fillId="7" borderId="12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/>
    </xf>
    <xf numFmtId="0" fontId="2" fillId="7" borderId="8" xfId="0" applyFont="1" applyFill="1" applyBorder="1" applyAlignment="1">
      <alignment horizontal="left" vertical="center" wrapText="1"/>
    </xf>
    <xf numFmtId="1" fontId="2" fillId="2" borderId="15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left" vertical="center" wrapText="1"/>
    </xf>
    <xf numFmtId="2" fontId="2" fillId="2" borderId="12" xfId="0" applyNumberFormat="1" applyFont="1" applyFill="1" applyBorder="1" applyAlignment="1">
      <alignment horizontal="left" vertical="center" wrapText="1"/>
    </xf>
    <xf numFmtId="0" fontId="38" fillId="7" borderId="7" xfId="0" applyNumberFormat="1" applyFont="1" applyFill="1" applyBorder="1" applyAlignment="1">
      <alignment horizontal="center" vertical="center" wrapText="1"/>
    </xf>
    <xf numFmtId="0" fontId="2" fillId="4" borderId="22" xfId="0" applyNumberFormat="1" applyFont="1" applyFill="1" applyBorder="1" applyAlignment="1">
      <alignment horizontal="center" vertical="top"/>
    </xf>
    <xf numFmtId="0" fontId="2" fillId="4" borderId="22" xfId="0" applyNumberFormat="1" applyFont="1" applyFill="1" applyBorder="1" applyAlignment="1">
      <alignment horizontal="center" vertical="top" wrapText="1"/>
    </xf>
    <xf numFmtId="0" fontId="2" fillId="4" borderId="10" xfId="0" applyNumberFormat="1" applyFont="1" applyFill="1" applyBorder="1" applyAlignment="1">
      <alignment horizontal="center" vertical="top"/>
    </xf>
    <xf numFmtId="0" fontId="38" fillId="7" borderId="0" xfId="0" applyFont="1" applyFill="1" applyBorder="1" applyAlignment="1">
      <alignment vertical="center"/>
    </xf>
    <xf numFmtId="0" fontId="38" fillId="7" borderId="0" xfId="0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Alignment="1">
      <alignment horizontal="center" vertical="center"/>
    </xf>
    <xf numFmtId="0" fontId="26" fillId="6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12" xfId="0" applyNumberFormat="1" applyFont="1" applyFill="1" applyBorder="1" applyAlignment="1">
      <alignment horizontal="left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vertical="center"/>
    </xf>
    <xf numFmtId="0" fontId="2" fillId="2" borderId="14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7" borderId="8" xfId="0" applyNumberFormat="1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/>
    </xf>
    <xf numFmtId="49" fontId="2" fillId="7" borderId="8" xfId="0" applyNumberFormat="1" applyFont="1" applyFill="1" applyBorder="1" applyAlignment="1">
      <alignment horizontal="center" vertical="center" wrapText="1"/>
    </xf>
    <xf numFmtId="0" fontId="2" fillId="7" borderId="8" xfId="0" applyNumberFormat="1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vertical="center" wrapText="1"/>
    </xf>
    <xf numFmtId="0" fontId="2" fillId="7" borderId="13" xfId="0" applyFont="1" applyFill="1" applyBorder="1" applyAlignment="1">
      <alignment vertical="center" wrapText="1"/>
    </xf>
    <xf numFmtId="2" fontId="2" fillId="7" borderId="8" xfId="0" applyNumberFormat="1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2" fontId="2" fillId="7" borderId="8" xfId="0" applyNumberFormat="1" applyFont="1" applyFill="1" applyBorder="1" applyAlignment="1">
      <alignment horizontal="center" vertical="center"/>
    </xf>
    <xf numFmtId="1" fontId="2" fillId="7" borderId="8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vertical="center"/>
    </xf>
    <xf numFmtId="1" fontId="2" fillId="7" borderId="8" xfId="0" applyNumberFormat="1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right" vertical="center" wrapText="1"/>
    </xf>
    <xf numFmtId="0" fontId="2" fillId="7" borderId="15" xfId="0" applyFont="1" applyFill="1" applyBorder="1" applyAlignment="1">
      <alignment horizontal="left" vertical="center" wrapText="1"/>
    </xf>
    <xf numFmtId="0" fontId="2" fillId="7" borderId="15" xfId="0" applyFont="1" applyFill="1" applyBorder="1" applyAlignment="1">
      <alignment horizontal="left" vertical="center"/>
    </xf>
    <xf numFmtId="0" fontId="2" fillId="7" borderId="11" xfId="0" applyFont="1" applyFill="1" applyBorder="1" applyAlignment="1">
      <alignment horizontal="right" vertical="center"/>
    </xf>
    <xf numFmtId="49" fontId="2" fillId="7" borderId="14" xfId="0" applyNumberFormat="1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left" vertical="center"/>
    </xf>
    <xf numFmtId="0" fontId="2" fillId="7" borderId="0" xfId="0" applyFont="1" applyFill="1" applyAlignment="1">
      <alignment vertical="center"/>
    </xf>
    <xf numFmtId="0" fontId="1" fillId="7" borderId="8" xfId="0" applyNumberFormat="1" applyFont="1" applyFill="1" applyBorder="1" applyAlignment="1">
      <alignment horizontal="center" vertical="center" wrapText="1"/>
    </xf>
    <xf numFmtId="1" fontId="1" fillId="7" borderId="8" xfId="0" applyNumberFormat="1" applyFont="1" applyFill="1" applyBorder="1" applyAlignment="1">
      <alignment horizontal="center" vertical="center"/>
    </xf>
    <xf numFmtId="2" fontId="1" fillId="7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25" fillId="0" borderId="8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9" fillId="2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1">
    <cellStyle name="Normal" xfId="0" builtinId="0"/>
  </cellStyles>
  <dxfs count="356">
    <dxf>
      <fill>
        <patternFill>
          <bgColor indexed="15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15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1</xdr:row>
      <xdr:rowOff>485775</xdr:rowOff>
    </xdr:from>
    <xdr:to>
      <xdr:col>1</xdr:col>
      <xdr:colOff>295275</xdr:colOff>
      <xdr:row>1</xdr:row>
      <xdr:rowOff>485775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95275" y="41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876300</xdr:colOff>
      <xdr:row>2</xdr:row>
      <xdr:rowOff>9525</xdr:rowOff>
    </xdr:from>
    <xdr:to>
      <xdr:col>27</xdr:col>
      <xdr:colOff>47625</xdr:colOff>
      <xdr:row>2</xdr:row>
      <xdr:rowOff>9525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V="1">
          <a:off x="5591175" y="428625"/>
          <a:ext cx="1581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828675</xdr:colOff>
      <xdr:row>2</xdr:row>
      <xdr:rowOff>19050</xdr:rowOff>
    </xdr:from>
    <xdr:to>
      <xdr:col>4</xdr:col>
      <xdr:colOff>152400</xdr:colOff>
      <xdr:row>2</xdr:row>
      <xdr:rowOff>19050</xdr:rowOff>
    </xdr:to>
    <xdr:cxnSp macro="">
      <xdr:nvCxnSpPr>
        <xdr:cNvPr id="4" name="Straight Connector 3"/>
        <xdr:cNvCxnSpPr/>
      </xdr:nvCxnSpPr>
      <xdr:spPr>
        <a:xfrm>
          <a:off x="1123950" y="438150"/>
          <a:ext cx="638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2</xdr:row>
      <xdr:rowOff>28575</xdr:rowOff>
    </xdr:from>
    <xdr:to>
      <xdr:col>3</xdr:col>
      <xdr:colOff>1390650</xdr:colOff>
      <xdr:row>2</xdr:row>
      <xdr:rowOff>28575</xdr:rowOff>
    </xdr:to>
    <xdr:sp macro="" textlink="">
      <xdr:nvSpPr>
        <xdr:cNvPr id="2" name="Line 33"/>
        <xdr:cNvSpPr>
          <a:spLocks noChangeShapeType="1"/>
        </xdr:cNvSpPr>
      </xdr:nvSpPr>
      <xdr:spPr bwMode="auto">
        <a:xfrm>
          <a:off x="904875" y="447675"/>
          <a:ext cx="85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419100</xdr:colOff>
      <xdr:row>2</xdr:row>
      <xdr:rowOff>19049</xdr:rowOff>
    </xdr:from>
    <xdr:to>
      <xdr:col>19</xdr:col>
      <xdr:colOff>219075</xdr:colOff>
      <xdr:row>2</xdr:row>
      <xdr:rowOff>19050</xdr:rowOff>
    </xdr:to>
    <xdr:sp macro="" textlink="">
      <xdr:nvSpPr>
        <xdr:cNvPr id="3" name="Line 47"/>
        <xdr:cNvSpPr>
          <a:spLocks noChangeShapeType="1"/>
        </xdr:cNvSpPr>
      </xdr:nvSpPr>
      <xdr:spPr bwMode="auto">
        <a:xfrm>
          <a:off x="4791075" y="438149"/>
          <a:ext cx="1600200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1</xdr:row>
      <xdr:rowOff>485775</xdr:rowOff>
    </xdr:from>
    <xdr:to>
      <xdr:col>1</xdr:col>
      <xdr:colOff>304800</xdr:colOff>
      <xdr:row>1</xdr:row>
      <xdr:rowOff>485775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04800" y="41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@.Lg%20+PC%204-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@.Lg%20+PC%203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GiaoQĐ-$"/>
      <sheetName val="Ds QĐ=$"/>
      <sheetName val="TTr=$"/>
      <sheetName val="TB=$ "/>
      <sheetName val="@@ DL"/>
      <sheetName val="TB--%"/>
      <sheetName val="TTr--%"/>
      <sheetName val="Ds QĐ - %"/>
      <sheetName val="Giao QĐ - %"/>
      <sheetName val="Ds Huu+Thoi.."/>
      <sheetName val="TH số liệu"/>
      <sheetName val="- DLiêu Gốc -"/>
      <sheetName val="Sheet2"/>
      <sheetName val="CƠ CẤ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 t="str">
            <v>NGẠCH</v>
          </cell>
          <cell r="C1" t="str">
            <v>MÃ SỐ</v>
          </cell>
          <cell r="D1" t="str">
            <v>HS bậc 1</v>
          </cell>
          <cell r="E1" t="str">
            <v>BƯỚC</v>
          </cell>
          <cell r="F1" t="str">
            <v>LOẠI</v>
          </cell>
          <cell r="G1" t="str">
            <v>NHÓM</v>
          </cell>
        </row>
        <row r="2">
          <cell r="B2" t="str">
            <v>Giảng viên cao cấp (hạng I)</v>
          </cell>
          <cell r="C2" t="str">
            <v>V.07.01.01</v>
          </cell>
          <cell r="D2">
            <v>6.2</v>
          </cell>
          <cell r="E2">
            <v>0.36</v>
          </cell>
          <cell r="F2" t="str">
            <v>A3</v>
          </cell>
          <cell r="G2" t="str">
            <v>A3.1</v>
          </cell>
        </row>
        <row r="3">
          <cell r="B3" t="str">
            <v>Giảng viên chính (hạng II)</v>
          </cell>
          <cell r="C3" t="str">
            <v>V.07.01.02</v>
          </cell>
          <cell r="D3">
            <v>4.4000000000000004</v>
          </cell>
          <cell r="E3">
            <v>0.34</v>
          </cell>
          <cell r="F3" t="str">
            <v>A2</v>
          </cell>
          <cell r="G3" t="str">
            <v>A2.1</v>
          </cell>
        </row>
        <row r="4">
          <cell r="B4" t="str">
            <v>Giảng viên (hạng III)</v>
          </cell>
          <cell r="C4" t="str">
            <v>V.07.01.03</v>
          </cell>
          <cell r="D4">
            <v>2.34</v>
          </cell>
          <cell r="E4">
            <v>0.33</v>
          </cell>
          <cell r="F4" t="str">
            <v>A1</v>
          </cell>
          <cell r="G4" t="str">
            <v>- - -</v>
          </cell>
        </row>
        <row r="5">
          <cell r="B5" t="str">
            <v>Giáo viên trung học cao cấp</v>
          </cell>
          <cell r="C5" t="str">
            <v>15.112</v>
          </cell>
          <cell r="D5">
            <v>4</v>
          </cell>
          <cell r="E5">
            <v>0.34</v>
          </cell>
          <cell r="F5" t="str">
            <v>A2</v>
          </cell>
          <cell r="G5" t="str">
            <v>A2.2</v>
          </cell>
        </row>
        <row r="6">
          <cell r="B6" t="str">
            <v>Giáo viên trung học</v>
          </cell>
          <cell r="C6" t="str">
            <v>15.113</v>
          </cell>
          <cell r="D6">
            <v>2.34</v>
          </cell>
          <cell r="E6">
            <v>0.33</v>
          </cell>
          <cell r="F6" t="str">
            <v>A1</v>
          </cell>
          <cell r="G6" t="str">
            <v>- - -</v>
          </cell>
        </row>
        <row r="7">
          <cell r="B7" t="str">
            <v>Giáo viên trung học cơ sở chính</v>
          </cell>
          <cell r="C7" t="str">
            <v>15a.201</v>
          </cell>
          <cell r="D7">
            <v>2.34</v>
          </cell>
          <cell r="E7">
            <v>0.33</v>
          </cell>
          <cell r="F7" t="str">
            <v>A1</v>
          </cell>
          <cell r="G7" t="str">
            <v>- - -</v>
          </cell>
        </row>
        <row r="8">
          <cell r="B8" t="str">
            <v>Giáo viên trung học cơ sở</v>
          </cell>
          <cell r="C8" t="str">
            <v>15a.202</v>
          </cell>
          <cell r="D8">
            <v>2.1</v>
          </cell>
          <cell r="E8">
            <v>0.31</v>
          </cell>
          <cell r="F8" t="str">
            <v>A0</v>
          </cell>
          <cell r="G8" t="str">
            <v>- - -</v>
          </cell>
        </row>
        <row r="9">
          <cell r="B9" t="str">
            <v>Nghiên cứu viên cao cấp</v>
          </cell>
          <cell r="C9" t="str">
            <v>13.090</v>
          </cell>
          <cell r="D9">
            <v>6.2</v>
          </cell>
          <cell r="E9">
            <v>0.36</v>
          </cell>
          <cell r="F9" t="str">
            <v>A3</v>
          </cell>
          <cell r="G9" t="str">
            <v>A3.1</v>
          </cell>
        </row>
        <row r="10">
          <cell r="B10" t="str">
            <v>Nghiên cứu viên chính</v>
          </cell>
          <cell r="C10" t="str">
            <v>13.091</v>
          </cell>
          <cell r="D10">
            <v>4.4000000000000004</v>
          </cell>
          <cell r="E10">
            <v>0.34</v>
          </cell>
          <cell r="F10" t="str">
            <v>A2</v>
          </cell>
          <cell r="G10" t="str">
            <v>A2.1</v>
          </cell>
        </row>
        <row r="11">
          <cell r="B11" t="str">
            <v>Nghiên cứu viên</v>
          </cell>
          <cell r="C11" t="str">
            <v>13.092</v>
          </cell>
          <cell r="D11">
            <v>2.34</v>
          </cell>
          <cell r="E11">
            <v>0.33</v>
          </cell>
          <cell r="F11" t="str">
            <v>A1</v>
          </cell>
          <cell r="G11" t="str">
            <v>- - -</v>
          </cell>
        </row>
        <row r="12">
          <cell r="B12" t="str">
            <v>Chuyên viên cao cấp</v>
          </cell>
          <cell r="C12" t="str">
            <v>01.001</v>
          </cell>
          <cell r="D12">
            <v>6.2</v>
          </cell>
          <cell r="E12">
            <v>0.36</v>
          </cell>
          <cell r="F12" t="str">
            <v>A3</v>
          </cell>
          <cell r="G12" t="str">
            <v>A3.1</v>
          </cell>
        </row>
        <row r="13">
          <cell r="B13" t="str">
            <v>Chuyên viên chính</v>
          </cell>
          <cell r="C13" t="str">
            <v>01.002</v>
          </cell>
          <cell r="D13">
            <v>4.4000000000000004</v>
          </cell>
          <cell r="E13">
            <v>0.34</v>
          </cell>
          <cell r="F13" t="str">
            <v>A2</v>
          </cell>
          <cell r="G13" t="str">
            <v>A2.1</v>
          </cell>
        </row>
        <row r="14">
          <cell r="B14" t="str">
            <v>Chuyên viên</v>
          </cell>
          <cell r="C14" t="str">
            <v>01.003</v>
          </cell>
          <cell r="D14">
            <v>2.34</v>
          </cell>
          <cell r="E14">
            <v>0.33</v>
          </cell>
          <cell r="F14" t="str">
            <v>A1</v>
          </cell>
          <cell r="G14" t="str">
            <v>- - -</v>
          </cell>
        </row>
        <row r="15">
          <cell r="B15" t="str">
            <v>Chuyên viên (cao đẳng)</v>
          </cell>
          <cell r="C15" t="str">
            <v>01a.003</v>
          </cell>
          <cell r="D15">
            <v>2.1</v>
          </cell>
          <cell r="E15">
            <v>0.31</v>
          </cell>
          <cell r="F15" t="str">
            <v>A0</v>
          </cell>
          <cell r="G15" t="str">
            <v>- - -</v>
          </cell>
        </row>
        <row r="16">
          <cell r="B16" t="str">
            <v>Cán sự</v>
          </cell>
          <cell r="C16" t="str">
            <v>01.004</v>
          </cell>
          <cell r="D16">
            <v>1.86</v>
          </cell>
          <cell r="E16">
            <v>0.2</v>
          </cell>
          <cell r="F16" t="str">
            <v>B</v>
          </cell>
          <cell r="G16" t="str">
            <v>- - -</v>
          </cell>
        </row>
        <row r="17">
          <cell r="B17" t="str">
            <v>Thanh tra viên cao cấp</v>
          </cell>
          <cell r="C17" t="str">
            <v>04.023</v>
          </cell>
          <cell r="D17">
            <v>6.2</v>
          </cell>
          <cell r="E17">
            <v>0.36</v>
          </cell>
          <cell r="F17" t="str">
            <v>A3</v>
          </cell>
          <cell r="G17" t="str">
            <v>A3.1</v>
          </cell>
        </row>
        <row r="18">
          <cell r="B18" t="str">
            <v>Thanh tra viên chính</v>
          </cell>
          <cell r="C18" t="str">
            <v>04.024</v>
          </cell>
          <cell r="D18">
            <v>4.4000000000000004</v>
          </cell>
          <cell r="E18">
            <v>0.34</v>
          </cell>
          <cell r="F18" t="str">
            <v>A2</v>
          </cell>
          <cell r="G18" t="str">
            <v>A2.1</v>
          </cell>
        </row>
        <row r="19">
          <cell r="B19" t="str">
            <v>Thanh tra viên</v>
          </cell>
          <cell r="C19" t="str">
            <v>04.025</v>
          </cell>
          <cell r="D19">
            <v>2.34</v>
          </cell>
          <cell r="E19">
            <v>0.33</v>
          </cell>
          <cell r="F19" t="str">
            <v>A1</v>
          </cell>
          <cell r="G19" t="str">
            <v>- - -</v>
          </cell>
        </row>
        <row r="20">
          <cell r="B20" t="str">
            <v>Thẩm tra viên</v>
          </cell>
          <cell r="C20" t="str">
            <v>03.230</v>
          </cell>
          <cell r="D20">
            <v>2.34</v>
          </cell>
          <cell r="E20">
            <v>0.33</v>
          </cell>
          <cell r="F20" t="str">
            <v>A1</v>
          </cell>
          <cell r="G20" t="str">
            <v>- - -</v>
          </cell>
        </row>
        <row r="21">
          <cell r="B21" t="str">
            <v>Thư viện viên cao cấp</v>
          </cell>
          <cell r="C21" t="str">
            <v>17.168</v>
          </cell>
          <cell r="D21">
            <v>5.75</v>
          </cell>
          <cell r="E21">
            <v>0.36</v>
          </cell>
          <cell r="F21" t="str">
            <v>A3</v>
          </cell>
          <cell r="G21" t="str">
            <v>A3.2</v>
          </cell>
        </row>
        <row r="22">
          <cell r="B22" t="str">
            <v>Thư viện viên chính</v>
          </cell>
          <cell r="C22" t="str">
            <v>17.169</v>
          </cell>
          <cell r="D22">
            <v>4</v>
          </cell>
          <cell r="E22">
            <v>0.34</v>
          </cell>
          <cell r="F22" t="str">
            <v>A2</v>
          </cell>
          <cell r="G22" t="str">
            <v>A2.2</v>
          </cell>
        </row>
        <row r="23">
          <cell r="B23" t="str">
            <v>Thư viện viên</v>
          </cell>
          <cell r="C23" t="str">
            <v>17.170</v>
          </cell>
          <cell r="D23">
            <v>2.34</v>
          </cell>
          <cell r="E23">
            <v>0.33</v>
          </cell>
          <cell r="F23" t="str">
            <v>A1</v>
          </cell>
          <cell r="G23" t="str">
            <v>- - -</v>
          </cell>
        </row>
        <row r="24">
          <cell r="B24" t="str">
            <v>Thư viện viên (cao đẳng)</v>
          </cell>
          <cell r="C24" t="str">
            <v>17a.170</v>
          </cell>
          <cell r="D24">
            <v>2.1</v>
          </cell>
          <cell r="E24">
            <v>0.31</v>
          </cell>
          <cell r="F24" t="str">
            <v>A0</v>
          </cell>
          <cell r="G24" t="str">
            <v>- - -</v>
          </cell>
        </row>
        <row r="25">
          <cell r="B25" t="str">
            <v>Thư viện viên trung cấp</v>
          </cell>
          <cell r="C25" t="str">
            <v>17.171</v>
          </cell>
          <cell r="D25">
            <v>1.86</v>
          </cell>
          <cell r="E25">
            <v>0.2</v>
          </cell>
          <cell r="F25" t="str">
            <v>B</v>
          </cell>
          <cell r="G25" t="str">
            <v>- - -</v>
          </cell>
        </row>
        <row r="26">
          <cell r="B26" t="str">
            <v>Kỹ sư cao cấp</v>
          </cell>
          <cell r="C26" t="str">
            <v>13.093</v>
          </cell>
          <cell r="D26">
            <v>6.2</v>
          </cell>
          <cell r="E26">
            <v>0.36</v>
          </cell>
          <cell r="F26" t="str">
            <v>A3</v>
          </cell>
          <cell r="G26" t="str">
            <v>A3.1</v>
          </cell>
        </row>
        <row r="27">
          <cell r="B27" t="str">
            <v>Kỹ sư chính</v>
          </cell>
          <cell r="C27" t="str">
            <v>13.094</v>
          </cell>
          <cell r="D27">
            <v>4.4000000000000004</v>
          </cell>
          <cell r="E27">
            <v>0.34</v>
          </cell>
          <cell r="F27" t="str">
            <v>A2</v>
          </cell>
          <cell r="G27" t="str">
            <v>A2.1</v>
          </cell>
        </row>
        <row r="28">
          <cell r="B28" t="str">
            <v>Kỹ sư</v>
          </cell>
          <cell r="C28" t="str">
            <v>13.095</v>
          </cell>
          <cell r="D28">
            <v>2.34</v>
          </cell>
          <cell r="E28">
            <v>0.33</v>
          </cell>
          <cell r="F28" t="str">
            <v>A1</v>
          </cell>
          <cell r="G28" t="str">
            <v>- - -</v>
          </cell>
        </row>
        <row r="29">
          <cell r="B29" t="str">
            <v>Kỹ thuật viên</v>
          </cell>
          <cell r="C29" t="str">
            <v>13.096</v>
          </cell>
          <cell r="D29">
            <v>1.86</v>
          </cell>
          <cell r="E29">
            <v>0.2</v>
          </cell>
          <cell r="F29" t="str">
            <v>B</v>
          </cell>
          <cell r="G29" t="str">
            <v>- - -</v>
          </cell>
        </row>
        <row r="30">
          <cell r="B30" t="str">
            <v>Bác sỹ cao cấp</v>
          </cell>
          <cell r="C30" t="str">
            <v>16.116</v>
          </cell>
          <cell r="D30">
            <v>6.2</v>
          </cell>
          <cell r="E30">
            <v>0.36</v>
          </cell>
          <cell r="F30" t="str">
            <v>A3</v>
          </cell>
          <cell r="G30" t="str">
            <v>A3.1</v>
          </cell>
        </row>
        <row r="31">
          <cell r="B31" t="str">
            <v>Bác sỹ chính</v>
          </cell>
          <cell r="C31" t="str">
            <v>16.117</v>
          </cell>
          <cell r="D31">
            <v>4.4000000000000004</v>
          </cell>
          <cell r="E31">
            <v>0.34</v>
          </cell>
          <cell r="F31" t="str">
            <v>A2</v>
          </cell>
          <cell r="G31" t="str">
            <v>A2.1</v>
          </cell>
        </row>
        <row r="32">
          <cell r="B32" t="str">
            <v>Bác sỹ</v>
          </cell>
          <cell r="C32" t="str">
            <v>16.118</v>
          </cell>
          <cell r="D32">
            <v>2.34</v>
          </cell>
          <cell r="E32">
            <v>0.33</v>
          </cell>
          <cell r="F32" t="str">
            <v>A1</v>
          </cell>
          <cell r="G32" t="str">
            <v>- - -</v>
          </cell>
        </row>
        <row r="33">
          <cell r="B33" t="str">
            <v>Y sỹ</v>
          </cell>
          <cell r="C33" t="str">
            <v>16.119</v>
          </cell>
          <cell r="D33">
            <v>1.86</v>
          </cell>
          <cell r="E33">
            <v>0.2</v>
          </cell>
          <cell r="F33" t="str">
            <v>B</v>
          </cell>
          <cell r="G33" t="str">
            <v>- - -</v>
          </cell>
        </row>
        <row r="34">
          <cell r="B34" t="str">
            <v>Biên tập viên cao cấp</v>
          </cell>
          <cell r="C34" t="str">
            <v>17.139</v>
          </cell>
          <cell r="D34">
            <v>6.2</v>
          </cell>
          <cell r="E34">
            <v>0.36</v>
          </cell>
          <cell r="F34" t="str">
            <v>A3</v>
          </cell>
          <cell r="G34" t="str">
            <v>A3.1</v>
          </cell>
        </row>
        <row r="35">
          <cell r="B35" t="str">
            <v>Biên tập viên chính</v>
          </cell>
          <cell r="C35" t="str">
            <v>17.140</v>
          </cell>
          <cell r="D35">
            <v>4.4000000000000004</v>
          </cell>
          <cell r="E35">
            <v>0.34</v>
          </cell>
          <cell r="F35" t="str">
            <v>A2</v>
          </cell>
          <cell r="G35" t="str">
            <v>A2.1</v>
          </cell>
        </row>
        <row r="36">
          <cell r="B36" t="str">
            <v>Biên tập viên</v>
          </cell>
          <cell r="C36" t="str">
            <v>17.141</v>
          </cell>
          <cell r="D36">
            <v>2.34</v>
          </cell>
          <cell r="E36">
            <v>0.33</v>
          </cell>
          <cell r="F36" t="str">
            <v>A1</v>
          </cell>
          <cell r="G36" t="str">
            <v>- - -</v>
          </cell>
        </row>
        <row r="37">
          <cell r="B37" t="str">
            <v>Phóng viên cao cấp</v>
          </cell>
          <cell r="C37" t="str">
            <v>17.142</v>
          </cell>
          <cell r="D37">
            <v>6.2</v>
          </cell>
          <cell r="E37">
            <v>0.36</v>
          </cell>
          <cell r="F37" t="str">
            <v>A3</v>
          </cell>
          <cell r="G37" t="str">
            <v>A3.1</v>
          </cell>
        </row>
        <row r="38">
          <cell r="B38" t="str">
            <v>Phóng viên chính</v>
          </cell>
          <cell r="C38" t="str">
            <v>17.143</v>
          </cell>
          <cell r="D38">
            <v>4.4000000000000004</v>
          </cell>
          <cell r="E38">
            <v>0.34</v>
          </cell>
          <cell r="F38" t="str">
            <v>A2</v>
          </cell>
          <cell r="G38" t="str">
            <v>A2.1</v>
          </cell>
        </row>
        <row r="39">
          <cell r="B39" t="str">
            <v>Phóng viên</v>
          </cell>
          <cell r="C39" t="str">
            <v>17.144</v>
          </cell>
          <cell r="D39">
            <v>2.34</v>
          </cell>
          <cell r="E39">
            <v>0.33</v>
          </cell>
          <cell r="F39" t="str">
            <v>A1</v>
          </cell>
          <cell r="G39" t="str">
            <v>- - -</v>
          </cell>
        </row>
        <row r="40">
          <cell r="B40" t="str">
            <v>Kế toán viên cao cấp</v>
          </cell>
          <cell r="C40" t="str">
            <v>06.029</v>
          </cell>
          <cell r="D40">
            <v>5.75</v>
          </cell>
          <cell r="E40">
            <v>0.36</v>
          </cell>
          <cell r="F40" t="str">
            <v>A3</v>
          </cell>
          <cell r="G40" t="str">
            <v>A3.2</v>
          </cell>
        </row>
        <row r="41">
          <cell r="B41" t="str">
            <v>Kế toán viên chính</v>
          </cell>
          <cell r="C41" t="str">
            <v>06.030</v>
          </cell>
          <cell r="D41">
            <v>4</v>
          </cell>
          <cell r="E41">
            <v>0.34</v>
          </cell>
          <cell r="F41" t="str">
            <v>A2</v>
          </cell>
          <cell r="G41" t="str">
            <v>A2.2</v>
          </cell>
        </row>
        <row r="42">
          <cell r="B42" t="str">
            <v>Kế toán viên</v>
          </cell>
          <cell r="C42" t="str">
            <v>06.031</v>
          </cell>
          <cell r="D42">
            <v>2.34</v>
          </cell>
          <cell r="E42">
            <v>0.33</v>
          </cell>
          <cell r="F42" t="str">
            <v>A1</v>
          </cell>
          <cell r="G42" t="str">
            <v>- - -</v>
          </cell>
        </row>
        <row r="43">
          <cell r="B43" t="str">
            <v>Kế toán viên (cao đẳng)</v>
          </cell>
          <cell r="C43" t="str">
            <v>06a.031</v>
          </cell>
          <cell r="D43">
            <v>2.1</v>
          </cell>
          <cell r="E43">
            <v>0.31</v>
          </cell>
          <cell r="F43" t="str">
            <v>A0</v>
          </cell>
          <cell r="G43" t="str">
            <v>- - -</v>
          </cell>
        </row>
        <row r="44">
          <cell r="B44" t="str">
            <v>Kế toán viên trung cấp</v>
          </cell>
          <cell r="C44" t="str">
            <v>06.032</v>
          </cell>
          <cell r="D44">
            <v>1.86</v>
          </cell>
          <cell r="E44">
            <v>0.2</v>
          </cell>
          <cell r="F44" t="str">
            <v>B</v>
          </cell>
          <cell r="G44" t="str">
            <v>- - -</v>
          </cell>
        </row>
        <row r="45">
          <cell r="B45" t="str">
            <v>Lưu trữ viên</v>
          </cell>
          <cell r="C45" t="str">
            <v>02.014</v>
          </cell>
          <cell r="D45">
            <v>2.34</v>
          </cell>
          <cell r="E45">
            <v>0.33</v>
          </cell>
          <cell r="F45" t="str">
            <v>A1</v>
          </cell>
          <cell r="G45" t="str">
            <v>- - -</v>
          </cell>
        </row>
        <row r="46">
          <cell r="B46" t="str">
            <v>Lưu trữ viên (cao đẳng)</v>
          </cell>
          <cell r="C46" t="str">
            <v>02a.014</v>
          </cell>
          <cell r="D46">
            <v>2.1</v>
          </cell>
          <cell r="E46">
            <v>0.31</v>
          </cell>
          <cell r="F46" t="str">
            <v>A0</v>
          </cell>
          <cell r="G46" t="str">
            <v>- - -</v>
          </cell>
        </row>
        <row r="47">
          <cell r="B47" t="str">
            <v>Lưu trữ viên trung cấp</v>
          </cell>
          <cell r="C47" t="str">
            <v>02.015</v>
          </cell>
          <cell r="D47">
            <v>1.86</v>
          </cell>
          <cell r="E47">
            <v>0.2</v>
          </cell>
          <cell r="F47" t="str">
            <v>B</v>
          </cell>
          <cell r="G47" t="str">
            <v>- - -</v>
          </cell>
        </row>
        <row r="48">
          <cell r="B48" t="str">
            <v>Kỹ Thuật viên đánh máy</v>
          </cell>
          <cell r="C48" t="str">
            <v>01.005</v>
          </cell>
          <cell r="D48">
            <v>1.5</v>
          </cell>
          <cell r="E48">
            <v>0.18</v>
          </cell>
          <cell r="F48" t="str">
            <v>C</v>
          </cell>
          <cell r="G48" t="str">
            <v>Nhân viên</v>
          </cell>
        </row>
        <row r="49">
          <cell r="B49" t="str">
            <v>Nhân viên đánh máy</v>
          </cell>
          <cell r="C49" t="str">
            <v>01.006</v>
          </cell>
          <cell r="D49">
            <v>1.5</v>
          </cell>
          <cell r="E49">
            <v>0.18</v>
          </cell>
          <cell r="F49" t="str">
            <v>C</v>
          </cell>
          <cell r="G49" t="str">
            <v>Nhân viên</v>
          </cell>
        </row>
        <row r="50">
          <cell r="B50" t="str">
            <v>Nhân viên kỹ thuật</v>
          </cell>
          <cell r="C50" t="str">
            <v>01.007</v>
          </cell>
          <cell r="D50">
            <v>1.65</v>
          </cell>
          <cell r="E50">
            <v>0.18</v>
          </cell>
          <cell r="F50" t="str">
            <v>C</v>
          </cell>
          <cell r="G50" t="str">
            <v>Nhân viên</v>
          </cell>
        </row>
        <row r="51">
          <cell r="B51" t="str">
            <v>Nhân viên văn thư</v>
          </cell>
          <cell r="C51" t="str">
            <v>01.008</v>
          </cell>
          <cell r="D51">
            <v>1.35</v>
          </cell>
          <cell r="E51">
            <v>0.18</v>
          </cell>
          <cell r="F51" t="str">
            <v>C</v>
          </cell>
          <cell r="G51" t="str">
            <v>Nhân viên</v>
          </cell>
        </row>
        <row r="52">
          <cell r="B52" t="str">
            <v>Nhân viên phục vụ</v>
          </cell>
          <cell r="C52" t="str">
            <v>01.009</v>
          </cell>
          <cell r="D52">
            <v>1</v>
          </cell>
          <cell r="E52">
            <v>0.18</v>
          </cell>
          <cell r="F52" t="str">
            <v>C</v>
          </cell>
          <cell r="G52" t="str">
            <v>Nhân viên</v>
          </cell>
        </row>
        <row r="53">
          <cell r="B53" t="str">
            <v>Lái xe cơ quan</v>
          </cell>
          <cell r="C53" t="str">
            <v>01.010</v>
          </cell>
          <cell r="D53">
            <v>2.0499999999999998</v>
          </cell>
          <cell r="E53">
            <v>0.18</v>
          </cell>
          <cell r="F53" t="str">
            <v>C</v>
          </cell>
          <cell r="G53" t="str">
            <v>Nhân viên</v>
          </cell>
        </row>
        <row r="54">
          <cell r="B54" t="str">
            <v>Nhân viên bảo vệ</v>
          </cell>
          <cell r="C54" t="str">
            <v>01.011</v>
          </cell>
          <cell r="D54">
            <v>1.5</v>
          </cell>
          <cell r="E54">
            <v>0.18</v>
          </cell>
          <cell r="F54" t="str">
            <v>C</v>
          </cell>
          <cell r="G54" t="str">
            <v>Nhân viên</v>
          </cell>
        </row>
        <row r="55">
          <cell r="B55" t="str">
            <v>Thủ kho bảo quản</v>
          </cell>
          <cell r="C55" t="str">
            <v>19.185</v>
          </cell>
          <cell r="D55">
            <v>1.65</v>
          </cell>
          <cell r="E55">
            <v>0.18</v>
          </cell>
          <cell r="F55" t="str">
            <v>C</v>
          </cell>
          <cell r="G55" t="str">
            <v>Nhân viên</v>
          </cell>
        </row>
        <row r="56">
          <cell r="B56" t="str">
            <v>Thủ quỹ</v>
          </cell>
          <cell r="C56" t="str">
            <v>06.035</v>
          </cell>
          <cell r="D56">
            <v>1.5</v>
          </cell>
          <cell r="E56">
            <v>0.18</v>
          </cell>
          <cell r="F56" t="str">
            <v>C</v>
          </cell>
          <cell r="G56" t="str">
            <v>Nhân viên</v>
          </cell>
        </row>
        <row r="71">
          <cell r="B71" t="str">
            <v>CHỨC VỤ</v>
          </cell>
          <cell r="C71" t="str">
            <v>PC CV</v>
          </cell>
        </row>
        <row r="72">
          <cell r="B72" t="str">
            <v>Giám đốc Học viện</v>
          </cell>
          <cell r="C72">
            <v>1.3</v>
          </cell>
        </row>
        <row r="73">
          <cell r="B73" t="str">
            <v>Nguyên giám đốc Học viện</v>
          </cell>
          <cell r="C73">
            <v>1.3</v>
          </cell>
        </row>
        <row r="74">
          <cell r="B74" t="str">
            <v>Phó Giám đốc Học viện</v>
          </cell>
          <cell r="C74">
            <v>1.1000000000000001</v>
          </cell>
        </row>
        <row r="75">
          <cell r="B75" t="str">
            <v>Nguyên Phó giám đốc Học viện</v>
          </cell>
          <cell r="C75">
            <v>1.1000000000000001</v>
          </cell>
        </row>
        <row r="76">
          <cell r="B76" t="str">
            <v>Giám đốc phân viện</v>
          </cell>
          <cell r="C76" t="str">
            <v>1,2</v>
          </cell>
        </row>
        <row r="77">
          <cell r="B77" t="str">
            <v>Trưởng khoa</v>
          </cell>
          <cell r="C77" t="str">
            <v>1,0</v>
          </cell>
        </row>
        <row r="78">
          <cell r="B78" t="str">
            <v>Nguyên Trưởng khoa</v>
          </cell>
          <cell r="C78" t="str">
            <v>1,0</v>
          </cell>
        </row>
        <row r="79">
          <cell r="B79" t="str">
            <v>Phó Trưởng khoa</v>
          </cell>
          <cell r="C79" t="str">
            <v>0,8</v>
          </cell>
        </row>
        <row r="80">
          <cell r="B80" t="str">
            <v>Nguyên Phó trưởng khoa</v>
          </cell>
          <cell r="C80" t="str">
            <v>0,8</v>
          </cell>
        </row>
        <row r="81">
          <cell r="B81" t="str">
            <v>Trưởng ban</v>
          </cell>
          <cell r="C81" t="str">
            <v>1,0</v>
          </cell>
        </row>
        <row r="82">
          <cell r="B82" t="str">
            <v>Nguyên Trưởng ban</v>
          </cell>
          <cell r="C82" t="str">
            <v>1,0</v>
          </cell>
        </row>
        <row r="83">
          <cell r="B83" t="str">
            <v>Phó Trưởng ban</v>
          </cell>
          <cell r="C83" t="str">
            <v>0,8</v>
          </cell>
        </row>
        <row r="84">
          <cell r="B84" t="str">
            <v>Phó Trưởng ban (PT)</v>
          </cell>
          <cell r="C84" t="str">
            <v>0,8</v>
          </cell>
        </row>
        <row r="85">
          <cell r="B85" t="str">
            <v>Nguyên Phó trưởng ban</v>
          </cell>
          <cell r="C85" t="str">
            <v>0,8</v>
          </cell>
        </row>
        <row r="86">
          <cell r="B86" t="str">
            <v>Trưởng phòng</v>
          </cell>
          <cell r="C86" t="str">
            <v>0,6</v>
          </cell>
        </row>
        <row r="87">
          <cell r="B87" t="str">
            <v>Q. Trưởng phòng</v>
          </cell>
          <cell r="C87" t="str">
            <v>0,6</v>
          </cell>
        </row>
        <row r="88">
          <cell r="B88" t="str">
            <v>Phó Trưởng phòng</v>
          </cell>
          <cell r="C88" t="str">
            <v>0,4</v>
          </cell>
        </row>
        <row r="89">
          <cell r="B89" t="str">
            <v>Phó Trưởng phòng (PT)</v>
          </cell>
          <cell r="C89" t="str">
            <v>0,4</v>
          </cell>
        </row>
        <row r="90">
          <cell r="B90" t="str">
            <v>Trưởng bộ môn</v>
          </cell>
          <cell r="C90" t="str">
            <v>0,6</v>
          </cell>
        </row>
        <row r="91">
          <cell r="B91" t="str">
            <v>Phó Trưởng bộ môn</v>
          </cell>
          <cell r="C91" t="str">
            <v>0,4</v>
          </cell>
        </row>
        <row r="92">
          <cell r="B92" t="str">
            <v>Tổng Biên tập</v>
          </cell>
          <cell r="C92" t="str">
            <v>1,0</v>
          </cell>
        </row>
        <row r="93">
          <cell r="B93" t="str">
            <v>Phó Tổng biên tập</v>
          </cell>
          <cell r="C93" t="str">
            <v>0,8</v>
          </cell>
        </row>
        <row r="94">
          <cell r="B94" t="str">
            <v>Trưởng ban (TC QLNN)</v>
          </cell>
          <cell r="C94" t="str">
            <v>0,6</v>
          </cell>
        </row>
        <row r="95">
          <cell r="B95" t="str">
            <v>Trưởng Ban Biên tập</v>
          </cell>
          <cell r="C95" t="str">
            <v>0,6</v>
          </cell>
        </row>
        <row r="96">
          <cell r="B96" t="str">
            <v>Phó Trưởng ban (TC QLNN)</v>
          </cell>
          <cell r="C96" t="str">
            <v>0,4</v>
          </cell>
        </row>
        <row r="97">
          <cell r="B97" t="str">
            <v>Phó Trưởng ban (TC QLNN)</v>
          </cell>
          <cell r="C97" t="str">
            <v>0,4</v>
          </cell>
        </row>
        <row r="98">
          <cell r="B98" t="str">
            <v>Viện Trưởng</v>
          </cell>
          <cell r="C98" t="str">
            <v>1,0</v>
          </cell>
        </row>
        <row r="99">
          <cell r="B99" t="str">
            <v>Nguyên Viện Trưởng</v>
          </cell>
          <cell r="C99" t="str">
            <v>1,0</v>
          </cell>
        </row>
        <row r="100">
          <cell r="B100" t="str">
            <v>Phó Viện Trưởng</v>
          </cell>
          <cell r="C100" t="str">
            <v>0,8</v>
          </cell>
        </row>
        <row r="101">
          <cell r="B101" t="str">
            <v>Nguyên Phó Viện Trưởng</v>
          </cell>
          <cell r="C101" t="str">
            <v>0,8</v>
          </cell>
        </row>
        <row r="102">
          <cell r="B102" t="str">
            <v>Chủ nhiệm TV</v>
          </cell>
          <cell r="C102" t="str">
            <v>0,6</v>
          </cell>
        </row>
        <row r="103">
          <cell r="B103" t="str">
            <v>Phó Chủ nhiệm TV</v>
          </cell>
          <cell r="C103" t="str">
            <v>0,4</v>
          </cell>
        </row>
        <row r="104">
          <cell r="B104" t="str">
            <v>Giám đốc (cấp vụ)</v>
          </cell>
          <cell r="C104" t="str">
            <v>1,0</v>
          </cell>
        </row>
        <row r="105">
          <cell r="B105" t="str">
            <v>Phó Giám đốc (cấp vụ)</v>
          </cell>
          <cell r="C105" t="str">
            <v>0,8</v>
          </cell>
        </row>
        <row r="106">
          <cell r="B106" t="str">
            <v>Giám đốc (cấp phòng)</v>
          </cell>
          <cell r="C106">
            <v>0.6</v>
          </cell>
        </row>
        <row r="107">
          <cell r="B107" t="str">
            <v>Phó Giám đốc (cấp phòng)</v>
          </cell>
          <cell r="C107" t="str">
            <v>0,4</v>
          </cell>
        </row>
        <row r="108">
          <cell r="B108" t="str">
            <v>Chánh văn phòng</v>
          </cell>
          <cell r="C108" t="str">
            <v>1,0</v>
          </cell>
        </row>
        <row r="109">
          <cell r="B109" t="str">
            <v>Phó Chánh văn phòng</v>
          </cell>
          <cell r="C109" t="str">
            <v>0,8</v>
          </cell>
        </row>
        <row r="110">
          <cell r="B110" t="str">
            <v>Đội Trưởng</v>
          </cell>
          <cell r="C110" t="str">
            <v>0,6</v>
          </cell>
        </row>
        <row r="111">
          <cell r="B111" t="str">
            <v>Đội Phó</v>
          </cell>
          <cell r="C111" t="str">
            <v>0,4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GiaoQĐ-$"/>
      <sheetName val="Ds QĐ=$"/>
      <sheetName val="TTr=$"/>
      <sheetName val="TB=$ "/>
      <sheetName val="@@ DL"/>
      <sheetName val="TB--%"/>
      <sheetName val="TTr--%"/>
      <sheetName val="Ds QĐ - %"/>
      <sheetName val="Giao QĐ - %"/>
      <sheetName val="Ds Huu+Thoi.."/>
      <sheetName val="TH số liệu"/>
      <sheetName val="- DLiêu Gốc -"/>
      <sheetName val="Sheet2"/>
      <sheetName val="CƠ CẤ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 t="str">
            <v>NGẠCH</v>
          </cell>
          <cell r="C1" t="str">
            <v>MÃ SỐ</v>
          </cell>
          <cell r="D1" t="str">
            <v>HS bậc 1</v>
          </cell>
          <cell r="E1" t="str">
            <v>BƯỚC</v>
          </cell>
          <cell r="F1" t="str">
            <v>LOẠI</v>
          </cell>
          <cell r="G1" t="str">
            <v>NHÓM</v>
          </cell>
        </row>
        <row r="2">
          <cell r="B2" t="str">
            <v>Giảng viên cao cấp (hạng I)</v>
          </cell>
          <cell r="C2" t="str">
            <v>V.07.01.01</v>
          </cell>
          <cell r="D2">
            <v>6.2</v>
          </cell>
          <cell r="E2">
            <v>0.36</v>
          </cell>
          <cell r="F2" t="str">
            <v>A3</v>
          </cell>
          <cell r="G2" t="str">
            <v>A3.1</v>
          </cell>
        </row>
        <row r="3">
          <cell r="B3" t="str">
            <v>Giảng viên chính (hạng II)</v>
          </cell>
          <cell r="C3" t="str">
            <v>V.07.01.02</v>
          </cell>
          <cell r="D3">
            <v>4.4000000000000004</v>
          </cell>
          <cell r="E3">
            <v>0.34</v>
          </cell>
          <cell r="F3" t="str">
            <v>A2</v>
          </cell>
          <cell r="G3" t="str">
            <v>A2.1</v>
          </cell>
        </row>
        <row r="4">
          <cell r="B4" t="str">
            <v>Giảng viên (hạng III)</v>
          </cell>
          <cell r="C4" t="str">
            <v>V.07.01.03</v>
          </cell>
          <cell r="D4">
            <v>2.34</v>
          </cell>
          <cell r="E4">
            <v>0.33</v>
          </cell>
          <cell r="F4" t="str">
            <v>A1</v>
          </cell>
          <cell r="G4" t="str">
            <v>- - -</v>
          </cell>
        </row>
        <row r="5">
          <cell r="B5" t="str">
            <v>Giáo viên trung học cao cấp</v>
          </cell>
          <cell r="C5" t="str">
            <v>15.112</v>
          </cell>
          <cell r="D5">
            <v>4</v>
          </cell>
          <cell r="E5">
            <v>0.34</v>
          </cell>
          <cell r="F5" t="str">
            <v>A2</v>
          </cell>
          <cell r="G5" t="str">
            <v>A2.2</v>
          </cell>
        </row>
        <row r="6">
          <cell r="B6" t="str">
            <v>Giáo viên trung học</v>
          </cell>
          <cell r="C6" t="str">
            <v>15.113</v>
          </cell>
          <cell r="D6">
            <v>2.34</v>
          </cell>
          <cell r="E6">
            <v>0.33</v>
          </cell>
          <cell r="F6" t="str">
            <v>A1</v>
          </cell>
          <cell r="G6" t="str">
            <v>- - -</v>
          </cell>
        </row>
        <row r="7">
          <cell r="B7" t="str">
            <v>Giáo viên trung học cơ sở chính</v>
          </cell>
          <cell r="C7" t="str">
            <v>15a.201</v>
          </cell>
          <cell r="D7">
            <v>2.34</v>
          </cell>
          <cell r="E7">
            <v>0.33</v>
          </cell>
          <cell r="F7" t="str">
            <v>A1</v>
          </cell>
          <cell r="G7" t="str">
            <v>- - -</v>
          </cell>
        </row>
        <row r="8">
          <cell r="B8" t="str">
            <v>Giáo viên trung học cơ sở</v>
          </cell>
          <cell r="C8" t="str">
            <v>15a.202</v>
          </cell>
          <cell r="D8">
            <v>2.1</v>
          </cell>
          <cell r="E8">
            <v>0.31</v>
          </cell>
          <cell r="F8" t="str">
            <v>A0</v>
          </cell>
          <cell r="G8" t="str">
            <v>- - -</v>
          </cell>
        </row>
        <row r="9">
          <cell r="B9" t="str">
            <v>Nghiên cứu viên cao cấp</v>
          </cell>
          <cell r="C9" t="str">
            <v>13.090</v>
          </cell>
          <cell r="D9">
            <v>6.2</v>
          </cell>
          <cell r="E9">
            <v>0.36</v>
          </cell>
          <cell r="F9" t="str">
            <v>A3</v>
          </cell>
          <cell r="G9" t="str">
            <v>A3.1</v>
          </cell>
        </row>
        <row r="10">
          <cell r="B10" t="str">
            <v>Nghiên cứu viên chính</v>
          </cell>
          <cell r="C10" t="str">
            <v>13.091</v>
          </cell>
          <cell r="D10">
            <v>4.4000000000000004</v>
          </cell>
          <cell r="E10">
            <v>0.34</v>
          </cell>
          <cell r="F10" t="str">
            <v>A2</v>
          </cell>
          <cell r="G10" t="str">
            <v>A2.1</v>
          </cell>
        </row>
        <row r="11">
          <cell r="B11" t="str">
            <v>Nghiên cứu viên</v>
          </cell>
          <cell r="C11" t="str">
            <v>13.092</v>
          </cell>
          <cell r="D11">
            <v>2.34</v>
          </cell>
          <cell r="E11">
            <v>0.33</v>
          </cell>
          <cell r="F11" t="str">
            <v>A1</v>
          </cell>
          <cell r="G11" t="str">
            <v>- - -</v>
          </cell>
        </row>
        <row r="12">
          <cell r="B12" t="str">
            <v>Chuyên viên cao cấp</v>
          </cell>
          <cell r="C12" t="str">
            <v>01.001</v>
          </cell>
          <cell r="D12">
            <v>6.2</v>
          </cell>
          <cell r="E12">
            <v>0.36</v>
          </cell>
          <cell r="F12" t="str">
            <v>A3</v>
          </cell>
          <cell r="G12" t="str">
            <v>A3.1</v>
          </cell>
        </row>
        <row r="13">
          <cell r="B13" t="str">
            <v>Chuyên viên chính</v>
          </cell>
          <cell r="C13" t="str">
            <v>01.002</v>
          </cell>
          <cell r="D13">
            <v>4.4000000000000004</v>
          </cell>
          <cell r="E13">
            <v>0.34</v>
          </cell>
          <cell r="F13" t="str">
            <v>A2</v>
          </cell>
          <cell r="G13" t="str">
            <v>A2.1</v>
          </cell>
        </row>
        <row r="14">
          <cell r="B14" t="str">
            <v>Chuyên viên</v>
          </cell>
          <cell r="C14" t="str">
            <v>01.003</v>
          </cell>
          <cell r="D14">
            <v>2.34</v>
          </cell>
          <cell r="E14">
            <v>0.33</v>
          </cell>
          <cell r="F14" t="str">
            <v>A1</v>
          </cell>
          <cell r="G14" t="str">
            <v>- - -</v>
          </cell>
        </row>
        <row r="15">
          <cell r="B15" t="str">
            <v>Chuyên viên (cao đẳng)</v>
          </cell>
          <cell r="C15" t="str">
            <v>01a.003</v>
          </cell>
          <cell r="D15">
            <v>2.1</v>
          </cell>
          <cell r="E15">
            <v>0.31</v>
          </cell>
          <cell r="F15" t="str">
            <v>A0</v>
          </cell>
          <cell r="G15" t="str">
            <v>- - -</v>
          </cell>
        </row>
        <row r="16">
          <cell r="B16" t="str">
            <v>Cán sự</v>
          </cell>
          <cell r="C16" t="str">
            <v>01.004</v>
          </cell>
          <cell r="D16">
            <v>1.86</v>
          </cell>
          <cell r="E16">
            <v>0.2</v>
          </cell>
          <cell r="F16" t="str">
            <v>B</v>
          </cell>
          <cell r="G16" t="str">
            <v>- - -</v>
          </cell>
        </row>
        <row r="17">
          <cell r="B17" t="str">
            <v>Thanh tra viên cao cấp</v>
          </cell>
          <cell r="C17" t="str">
            <v>04.023</v>
          </cell>
          <cell r="D17">
            <v>6.2</v>
          </cell>
          <cell r="E17">
            <v>0.36</v>
          </cell>
          <cell r="F17" t="str">
            <v>A3</v>
          </cell>
          <cell r="G17" t="str">
            <v>A3.1</v>
          </cell>
        </row>
        <row r="18">
          <cell r="B18" t="str">
            <v>Thanh tra viên chính</v>
          </cell>
          <cell r="C18" t="str">
            <v>04.024</v>
          </cell>
          <cell r="D18">
            <v>4.4000000000000004</v>
          </cell>
          <cell r="E18">
            <v>0.34</v>
          </cell>
          <cell r="F18" t="str">
            <v>A2</v>
          </cell>
          <cell r="G18" t="str">
            <v>A2.1</v>
          </cell>
        </row>
        <row r="19">
          <cell r="B19" t="str">
            <v>Thanh tra viên</v>
          </cell>
          <cell r="C19" t="str">
            <v>04.025</v>
          </cell>
          <cell r="D19">
            <v>2.34</v>
          </cell>
          <cell r="E19">
            <v>0.33</v>
          </cell>
          <cell r="F19" t="str">
            <v>A1</v>
          </cell>
          <cell r="G19" t="str">
            <v>- - -</v>
          </cell>
        </row>
        <row r="20">
          <cell r="B20" t="str">
            <v>Thẩm tra viên</v>
          </cell>
          <cell r="C20" t="str">
            <v>03.230</v>
          </cell>
          <cell r="D20">
            <v>2.34</v>
          </cell>
          <cell r="E20">
            <v>0.33</v>
          </cell>
          <cell r="F20" t="str">
            <v>A1</v>
          </cell>
          <cell r="G20" t="str">
            <v>- - -</v>
          </cell>
        </row>
        <row r="21">
          <cell r="B21" t="str">
            <v>Thư viện viên cao cấp</v>
          </cell>
          <cell r="C21" t="str">
            <v>17.168</v>
          </cell>
          <cell r="D21">
            <v>5.75</v>
          </cell>
          <cell r="E21">
            <v>0.36</v>
          </cell>
          <cell r="F21" t="str">
            <v>A3</v>
          </cell>
          <cell r="G21" t="str">
            <v>A3.2</v>
          </cell>
        </row>
        <row r="22">
          <cell r="B22" t="str">
            <v>Thư viện viên chính</v>
          </cell>
          <cell r="C22" t="str">
            <v>17.169</v>
          </cell>
          <cell r="D22">
            <v>4</v>
          </cell>
          <cell r="E22">
            <v>0.34</v>
          </cell>
          <cell r="F22" t="str">
            <v>A2</v>
          </cell>
          <cell r="G22" t="str">
            <v>A2.2</v>
          </cell>
        </row>
        <row r="23">
          <cell r="B23" t="str">
            <v>Thư viện viên</v>
          </cell>
          <cell r="C23" t="str">
            <v>17.170</v>
          </cell>
          <cell r="D23">
            <v>2.34</v>
          </cell>
          <cell r="E23">
            <v>0.33</v>
          </cell>
          <cell r="F23" t="str">
            <v>A1</v>
          </cell>
          <cell r="G23" t="str">
            <v>- - -</v>
          </cell>
        </row>
        <row r="24">
          <cell r="B24" t="str">
            <v>Thư viện viên (cao đẳng)</v>
          </cell>
          <cell r="C24" t="str">
            <v>17a.170</v>
          </cell>
          <cell r="D24">
            <v>2.1</v>
          </cell>
          <cell r="E24">
            <v>0.31</v>
          </cell>
          <cell r="F24" t="str">
            <v>A0</v>
          </cell>
          <cell r="G24" t="str">
            <v>- - -</v>
          </cell>
        </row>
        <row r="25">
          <cell r="B25" t="str">
            <v>Thư viện viên trung cấp</v>
          </cell>
          <cell r="C25" t="str">
            <v>17.171</v>
          </cell>
          <cell r="D25">
            <v>1.86</v>
          </cell>
          <cell r="E25">
            <v>0.2</v>
          </cell>
          <cell r="F25" t="str">
            <v>B</v>
          </cell>
          <cell r="G25" t="str">
            <v>- - -</v>
          </cell>
        </row>
        <row r="26">
          <cell r="B26" t="str">
            <v>Kỹ sư cao cấp</v>
          </cell>
          <cell r="C26" t="str">
            <v>13.093</v>
          </cell>
          <cell r="D26">
            <v>6.2</v>
          </cell>
          <cell r="E26">
            <v>0.36</v>
          </cell>
          <cell r="F26" t="str">
            <v>A3</v>
          </cell>
          <cell r="G26" t="str">
            <v>A3.1</v>
          </cell>
        </row>
        <row r="27">
          <cell r="B27" t="str">
            <v>Kỹ sư chính</v>
          </cell>
          <cell r="C27" t="str">
            <v>13.094</v>
          </cell>
          <cell r="D27">
            <v>4.4000000000000004</v>
          </cell>
          <cell r="E27">
            <v>0.34</v>
          </cell>
          <cell r="F27" t="str">
            <v>A2</v>
          </cell>
          <cell r="G27" t="str">
            <v>A2.1</v>
          </cell>
        </row>
        <row r="28">
          <cell r="B28" t="str">
            <v>Kỹ sư</v>
          </cell>
          <cell r="C28" t="str">
            <v>13.095</v>
          </cell>
          <cell r="D28">
            <v>2.34</v>
          </cell>
          <cell r="E28">
            <v>0.33</v>
          </cell>
          <cell r="F28" t="str">
            <v>A1</v>
          </cell>
          <cell r="G28" t="str">
            <v>- - -</v>
          </cell>
        </row>
        <row r="29">
          <cell r="B29" t="str">
            <v>Kỹ thuật viên</v>
          </cell>
          <cell r="C29" t="str">
            <v>13.096</v>
          </cell>
          <cell r="D29">
            <v>1.86</v>
          </cell>
          <cell r="E29">
            <v>0.2</v>
          </cell>
          <cell r="F29" t="str">
            <v>B</v>
          </cell>
          <cell r="G29" t="str">
            <v>- - -</v>
          </cell>
        </row>
        <row r="30">
          <cell r="B30" t="str">
            <v>Bác sỹ cao cấp</v>
          </cell>
          <cell r="C30" t="str">
            <v>16.116</v>
          </cell>
          <cell r="D30">
            <v>6.2</v>
          </cell>
          <cell r="E30">
            <v>0.36</v>
          </cell>
          <cell r="F30" t="str">
            <v>A3</v>
          </cell>
          <cell r="G30" t="str">
            <v>A3.1</v>
          </cell>
        </row>
        <row r="31">
          <cell r="B31" t="str">
            <v>Bác sỹ chính</v>
          </cell>
          <cell r="C31" t="str">
            <v>16.117</v>
          </cell>
          <cell r="D31">
            <v>4.4000000000000004</v>
          </cell>
          <cell r="E31">
            <v>0.34</v>
          </cell>
          <cell r="F31" t="str">
            <v>A2</v>
          </cell>
          <cell r="G31" t="str">
            <v>A2.1</v>
          </cell>
        </row>
        <row r="32">
          <cell r="B32" t="str">
            <v>Bác sỹ</v>
          </cell>
          <cell r="C32" t="str">
            <v>16.118</v>
          </cell>
          <cell r="D32">
            <v>2.34</v>
          </cell>
          <cell r="E32">
            <v>0.33</v>
          </cell>
          <cell r="F32" t="str">
            <v>A1</v>
          </cell>
          <cell r="G32" t="str">
            <v>- - -</v>
          </cell>
        </row>
        <row r="33">
          <cell r="B33" t="str">
            <v>Y sỹ</v>
          </cell>
          <cell r="C33" t="str">
            <v>16.119</v>
          </cell>
          <cell r="D33">
            <v>1.86</v>
          </cell>
          <cell r="E33">
            <v>0.2</v>
          </cell>
          <cell r="F33" t="str">
            <v>B</v>
          </cell>
          <cell r="G33" t="str">
            <v>- - -</v>
          </cell>
        </row>
        <row r="34">
          <cell r="B34" t="str">
            <v>Biên tập viên cao cấp</v>
          </cell>
          <cell r="C34" t="str">
            <v>17.139</v>
          </cell>
          <cell r="D34">
            <v>6.2</v>
          </cell>
          <cell r="E34">
            <v>0.36</v>
          </cell>
          <cell r="F34" t="str">
            <v>A3</v>
          </cell>
          <cell r="G34" t="str">
            <v>A3.1</v>
          </cell>
        </row>
        <row r="35">
          <cell r="B35" t="str">
            <v>Biên tập viên chính</v>
          </cell>
          <cell r="C35" t="str">
            <v>17.140</v>
          </cell>
          <cell r="D35">
            <v>4.4000000000000004</v>
          </cell>
          <cell r="E35">
            <v>0.34</v>
          </cell>
          <cell r="F35" t="str">
            <v>A2</v>
          </cell>
          <cell r="G35" t="str">
            <v>A2.1</v>
          </cell>
        </row>
        <row r="36">
          <cell r="B36" t="str">
            <v>Biên tập viên</v>
          </cell>
          <cell r="C36" t="str">
            <v>17.141</v>
          </cell>
          <cell r="D36">
            <v>2.34</v>
          </cell>
          <cell r="E36">
            <v>0.33</v>
          </cell>
          <cell r="F36" t="str">
            <v>A1</v>
          </cell>
          <cell r="G36" t="str">
            <v>- - -</v>
          </cell>
        </row>
        <row r="37">
          <cell r="B37" t="str">
            <v>Phóng viên cao cấp</v>
          </cell>
          <cell r="C37" t="str">
            <v>17.142</v>
          </cell>
          <cell r="D37">
            <v>6.2</v>
          </cell>
          <cell r="E37">
            <v>0.36</v>
          </cell>
          <cell r="F37" t="str">
            <v>A3</v>
          </cell>
          <cell r="G37" t="str">
            <v>A3.1</v>
          </cell>
        </row>
        <row r="38">
          <cell r="B38" t="str">
            <v>Phóng viên chính</v>
          </cell>
          <cell r="C38" t="str">
            <v>17.143</v>
          </cell>
          <cell r="D38">
            <v>4.4000000000000004</v>
          </cell>
          <cell r="E38">
            <v>0.34</v>
          </cell>
          <cell r="F38" t="str">
            <v>A2</v>
          </cell>
          <cell r="G38" t="str">
            <v>A2.1</v>
          </cell>
        </row>
        <row r="39">
          <cell r="B39" t="str">
            <v>Phóng viên</v>
          </cell>
          <cell r="C39" t="str">
            <v>17.144</v>
          </cell>
          <cell r="D39">
            <v>2.34</v>
          </cell>
          <cell r="E39">
            <v>0.33</v>
          </cell>
          <cell r="F39" t="str">
            <v>A1</v>
          </cell>
          <cell r="G39" t="str">
            <v>- - -</v>
          </cell>
        </row>
        <row r="40">
          <cell r="B40" t="str">
            <v>Kế toán viên cao cấp</v>
          </cell>
          <cell r="C40" t="str">
            <v>06.029</v>
          </cell>
          <cell r="D40">
            <v>5.75</v>
          </cell>
          <cell r="E40">
            <v>0.36</v>
          </cell>
          <cell r="F40" t="str">
            <v>A3</v>
          </cell>
          <cell r="G40" t="str">
            <v>A3.2</v>
          </cell>
        </row>
        <row r="41">
          <cell r="B41" t="str">
            <v>Kế toán viên chính</v>
          </cell>
          <cell r="C41" t="str">
            <v>06.030</v>
          </cell>
          <cell r="D41">
            <v>4</v>
          </cell>
          <cell r="E41">
            <v>0.34</v>
          </cell>
          <cell r="F41" t="str">
            <v>A2</v>
          </cell>
          <cell r="G41" t="str">
            <v>A2.2</v>
          </cell>
        </row>
        <row r="42">
          <cell r="B42" t="str">
            <v>Kế toán viên</v>
          </cell>
          <cell r="C42" t="str">
            <v>06.031</v>
          </cell>
          <cell r="D42">
            <v>2.34</v>
          </cell>
          <cell r="E42">
            <v>0.33</v>
          </cell>
          <cell r="F42" t="str">
            <v>A1</v>
          </cell>
          <cell r="G42" t="str">
            <v>- - -</v>
          </cell>
        </row>
        <row r="43">
          <cell r="B43" t="str">
            <v>Kế toán viên (cao đẳng)</v>
          </cell>
          <cell r="C43" t="str">
            <v>06a.031</v>
          </cell>
          <cell r="D43">
            <v>2.1</v>
          </cell>
          <cell r="E43">
            <v>0.31</v>
          </cell>
          <cell r="F43" t="str">
            <v>A0</v>
          </cell>
          <cell r="G43" t="str">
            <v>- - -</v>
          </cell>
        </row>
        <row r="44">
          <cell r="B44" t="str">
            <v>Kế toán viên trung cấp</v>
          </cell>
          <cell r="C44" t="str">
            <v>06.032</v>
          </cell>
          <cell r="D44">
            <v>1.86</v>
          </cell>
          <cell r="E44">
            <v>0.2</v>
          </cell>
          <cell r="F44" t="str">
            <v>B</v>
          </cell>
          <cell r="G44" t="str">
            <v>- - -</v>
          </cell>
        </row>
        <row r="45">
          <cell r="B45" t="str">
            <v>Lưu trữ viên</v>
          </cell>
          <cell r="C45" t="str">
            <v>02.014</v>
          </cell>
          <cell r="D45">
            <v>2.34</v>
          </cell>
          <cell r="E45">
            <v>0.33</v>
          </cell>
          <cell r="F45" t="str">
            <v>A1</v>
          </cell>
          <cell r="G45" t="str">
            <v>- - -</v>
          </cell>
        </row>
        <row r="46">
          <cell r="B46" t="str">
            <v>Lưu trữ viên (cao đẳng)</v>
          </cell>
          <cell r="C46" t="str">
            <v>02a.014</v>
          </cell>
          <cell r="D46">
            <v>2.1</v>
          </cell>
          <cell r="E46">
            <v>0.31</v>
          </cell>
          <cell r="F46" t="str">
            <v>A0</v>
          </cell>
          <cell r="G46" t="str">
            <v>- - -</v>
          </cell>
        </row>
        <row r="47">
          <cell r="B47" t="str">
            <v>Lưu trữ viên trung cấp</v>
          </cell>
          <cell r="C47" t="str">
            <v>02.015</v>
          </cell>
          <cell r="D47">
            <v>1.86</v>
          </cell>
          <cell r="E47">
            <v>0.2</v>
          </cell>
          <cell r="F47" t="str">
            <v>B</v>
          </cell>
          <cell r="G47" t="str">
            <v>- - -</v>
          </cell>
        </row>
        <row r="48">
          <cell r="B48" t="str">
            <v>Kỹ Thuật viên đánh máy</v>
          </cell>
          <cell r="C48" t="str">
            <v>01.005</v>
          </cell>
          <cell r="D48">
            <v>1.5</v>
          </cell>
          <cell r="E48">
            <v>0.18</v>
          </cell>
          <cell r="F48" t="str">
            <v>C</v>
          </cell>
          <cell r="G48" t="str">
            <v>Nhân viên</v>
          </cell>
        </row>
        <row r="49">
          <cell r="B49" t="str">
            <v>Nhân viên đánh máy</v>
          </cell>
          <cell r="C49" t="str">
            <v>01.006</v>
          </cell>
          <cell r="D49">
            <v>1.5</v>
          </cell>
          <cell r="E49">
            <v>0.18</v>
          </cell>
          <cell r="F49" t="str">
            <v>C</v>
          </cell>
          <cell r="G49" t="str">
            <v>Nhân viên</v>
          </cell>
        </row>
        <row r="50">
          <cell r="B50" t="str">
            <v>Nhân viên kỹ thuật</v>
          </cell>
          <cell r="C50" t="str">
            <v>01.007</v>
          </cell>
          <cell r="D50">
            <v>1.65</v>
          </cell>
          <cell r="E50">
            <v>0.18</v>
          </cell>
          <cell r="F50" t="str">
            <v>C</v>
          </cell>
          <cell r="G50" t="str">
            <v>Nhân viên</v>
          </cell>
        </row>
        <row r="51">
          <cell r="B51" t="str">
            <v>Nhân viên văn thư</v>
          </cell>
          <cell r="C51" t="str">
            <v>01.008</v>
          </cell>
          <cell r="D51">
            <v>1.35</v>
          </cell>
          <cell r="E51">
            <v>0.18</v>
          </cell>
          <cell r="F51" t="str">
            <v>C</v>
          </cell>
          <cell r="G51" t="str">
            <v>Nhân viên</v>
          </cell>
        </row>
        <row r="52">
          <cell r="B52" t="str">
            <v>Nhân viên phục vụ</v>
          </cell>
          <cell r="C52" t="str">
            <v>01.009</v>
          </cell>
          <cell r="D52">
            <v>1</v>
          </cell>
          <cell r="E52">
            <v>0.18</v>
          </cell>
          <cell r="F52" t="str">
            <v>C</v>
          </cell>
          <cell r="G52" t="str">
            <v>Nhân viên</v>
          </cell>
        </row>
        <row r="53">
          <cell r="B53" t="str">
            <v>Lái xe cơ quan</v>
          </cell>
          <cell r="C53" t="str">
            <v>01.010</v>
          </cell>
          <cell r="D53">
            <v>2.0499999999999998</v>
          </cell>
          <cell r="E53">
            <v>0.18</v>
          </cell>
          <cell r="F53" t="str">
            <v>C</v>
          </cell>
          <cell r="G53" t="str">
            <v>Nhân viên</v>
          </cell>
        </row>
        <row r="54">
          <cell r="B54" t="str">
            <v>Nhân viên bảo vệ</v>
          </cell>
          <cell r="C54" t="str">
            <v>01.011</v>
          </cell>
          <cell r="D54">
            <v>1.5</v>
          </cell>
          <cell r="E54">
            <v>0.18</v>
          </cell>
          <cell r="F54" t="str">
            <v>C</v>
          </cell>
          <cell r="G54" t="str">
            <v>Nhân viên</v>
          </cell>
        </row>
        <row r="55">
          <cell r="B55" t="str">
            <v>Thủ kho bảo quản</v>
          </cell>
          <cell r="C55" t="str">
            <v>19.185</v>
          </cell>
          <cell r="D55">
            <v>1.65</v>
          </cell>
          <cell r="E55">
            <v>0.18</v>
          </cell>
          <cell r="F55" t="str">
            <v>C</v>
          </cell>
          <cell r="G55" t="str">
            <v>Nhân viên</v>
          </cell>
        </row>
        <row r="56">
          <cell r="B56" t="str">
            <v>Thủ quỹ</v>
          </cell>
          <cell r="C56" t="str">
            <v>06.035</v>
          </cell>
          <cell r="D56">
            <v>1.5</v>
          </cell>
          <cell r="E56">
            <v>0.18</v>
          </cell>
          <cell r="F56" t="str">
            <v>C</v>
          </cell>
          <cell r="G56" t="str">
            <v>Nhân viên</v>
          </cell>
        </row>
        <row r="71">
          <cell r="B71" t="str">
            <v>CHỨC VỤ</v>
          </cell>
          <cell r="C71" t="str">
            <v>PC CV</v>
          </cell>
        </row>
        <row r="72">
          <cell r="B72" t="str">
            <v>Giám đốc Học viện</v>
          </cell>
          <cell r="C72">
            <v>1.3</v>
          </cell>
        </row>
        <row r="73">
          <cell r="B73" t="str">
            <v>Nguyên giám đốc Học viện</v>
          </cell>
          <cell r="C73">
            <v>1.3</v>
          </cell>
        </row>
        <row r="74">
          <cell r="B74" t="str">
            <v>Phó Giám đốc Học viện</v>
          </cell>
          <cell r="C74">
            <v>1.1000000000000001</v>
          </cell>
        </row>
        <row r="75">
          <cell r="B75" t="str">
            <v>Nguyên Phó giám đốc Học viện</v>
          </cell>
          <cell r="C75">
            <v>1.1000000000000001</v>
          </cell>
        </row>
        <row r="76">
          <cell r="B76" t="str">
            <v>Giám đốc phân viện</v>
          </cell>
          <cell r="C76" t="str">
            <v>1,2</v>
          </cell>
        </row>
        <row r="77">
          <cell r="B77" t="str">
            <v>Trưởng khoa</v>
          </cell>
          <cell r="C77" t="str">
            <v>1,0</v>
          </cell>
        </row>
        <row r="78">
          <cell r="B78" t="str">
            <v>Nguyên Trưởng khoa</v>
          </cell>
          <cell r="C78" t="str">
            <v>1,0</v>
          </cell>
        </row>
        <row r="79">
          <cell r="B79" t="str">
            <v>Phó Trưởng khoa</v>
          </cell>
          <cell r="C79" t="str">
            <v>0,8</v>
          </cell>
        </row>
        <row r="80">
          <cell r="B80" t="str">
            <v>Nguyên Phó trưởng khoa</v>
          </cell>
          <cell r="C80" t="str">
            <v>0,8</v>
          </cell>
        </row>
        <row r="81">
          <cell r="B81" t="str">
            <v>Trưởng ban</v>
          </cell>
          <cell r="C81" t="str">
            <v>1,0</v>
          </cell>
        </row>
        <row r="82">
          <cell r="B82" t="str">
            <v>Nguyên Trưởng ban</v>
          </cell>
          <cell r="C82" t="str">
            <v>1,0</v>
          </cell>
        </row>
        <row r="83">
          <cell r="B83" t="str">
            <v>Phó Trưởng ban</v>
          </cell>
          <cell r="C83" t="str">
            <v>0,8</v>
          </cell>
        </row>
        <row r="84">
          <cell r="B84" t="str">
            <v>Phó Trưởng ban (PT)</v>
          </cell>
          <cell r="C84" t="str">
            <v>0,8</v>
          </cell>
        </row>
        <row r="85">
          <cell r="B85" t="str">
            <v>Nguyên Phó trưởng ban</v>
          </cell>
          <cell r="C85" t="str">
            <v>0,8</v>
          </cell>
        </row>
        <row r="86">
          <cell r="B86" t="str">
            <v>Trưởng phòng</v>
          </cell>
          <cell r="C86" t="str">
            <v>0,6</v>
          </cell>
        </row>
        <row r="87">
          <cell r="B87" t="str">
            <v>Q. Trưởng phòng</v>
          </cell>
          <cell r="C87" t="str">
            <v>0,6</v>
          </cell>
        </row>
        <row r="88">
          <cell r="B88" t="str">
            <v>Phó Trưởng phòng</v>
          </cell>
          <cell r="C88" t="str">
            <v>0,4</v>
          </cell>
        </row>
        <row r="89">
          <cell r="B89" t="str">
            <v>Phó Trưởng phòng (PT)</v>
          </cell>
          <cell r="C89" t="str">
            <v>0,4</v>
          </cell>
        </row>
        <row r="90">
          <cell r="B90" t="str">
            <v>Trưởng bộ môn</v>
          </cell>
          <cell r="C90" t="str">
            <v>0,6</v>
          </cell>
        </row>
        <row r="91">
          <cell r="B91" t="str">
            <v>Phó Trưởng bộ môn</v>
          </cell>
          <cell r="C91" t="str">
            <v>0,4</v>
          </cell>
        </row>
        <row r="92">
          <cell r="B92" t="str">
            <v>Tổng Biên tập</v>
          </cell>
          <cell r="C92" t="str">
            <v>1,0</v>
          </cell>
        </row>
        <row r="93">
          <cell r="B93" t="str">
            <v>Phó Tổng biên tập</v>
          </cell>
          <cell r="C93" t="str">
            <v>0,8</v>
          </cell>
        </row>
        <row r="94">
          <cell r="B94" t="str">
            <v>Trưởng ban (TC QLNN)</v>
          </cell>
          <cell r="C94" t="str">
            <v>0,6</v>
          </cell>
        </row>
        <row r="95">
          <cell r="B95" t="str">
            <v>Trưởng Ban Biên tập</v>
          </cell>
          <cell r="C95" t="str">
            <v>0,6</v>
          </cell>
        </row>
        <row r="96">
          <cell r="B96" t="str">
            <v>Phó Trưởng ban (TC QLNN)</v>
          </cell>
          <cell r="C96" t="str">
            <v>0,4</v>
          </cell>
        </row>
        <row r="97">
          <cell r="B97" t="str">
            <v>Phó Trưởng ban (TC QLNN)</v>
          </cell>
          <cell r="C97" t="str">
            <v>0,4</v>
          </cell>
        </row>
        <row r="98">
          <cell r="B98" t="str">
            <v>Viện Trưởng</v>
          </cell>
          <cell r="C98" t="str">
            <v>1,0</v>
          </cell>
        </row>
        <row r="99">
          <cell r="B99" t="str">
            <v>Nguyên Viện Trưởng</v>
          </cell>
          <cell r="C99" t="str">
            <v>1,0</v>
          </cell>
        </row>
        <row r="100">
          <cell r="B100" t="str">
            <v>Phó Viện Trưởng</v>
          </cell>
          <cell r="C100" t="str">
            <v>0,8</v>
          </cell>
        </row>
        <row r="101">
          <cell r="B101" t="str">
            <v>Nguyên Phó Viện Trưởng</v>
          </cell>
          <cell r="C101" t="str">
            <v>0,8</v>
          </cell>
        </row>
        <row r="102">
          <cell r="B102" t="str">
            <v>Chủ nhiệm TV</v>
          </cell>
          <cell r="C102" t="str">
            <v>0,6</v>
          </cell>
        </row>
        <row r="103">
          <cell r="B103" t="str">
            <v>Phó Chủ nhiệm TV</v>
          </cell>
          <cell r="C103" t="str">
            <v>0,4</v>
          </cell>
        </row>
        <row r="104">
          <cell r="B104" t="str">
            <v>Giám đốc (cấp vụ)</v>
          </cell>
          <cell r="C104" t="str">
            <v>1,0</v>
          </cell>
        </row>
        <row r="105">
          <cell r="B105" t="str">
            <v>Phó Giám đốc (cấp vụ)</v>
          </cell>
          <cell r="C105" t="str">
            <v>0,8</v>
          </cell>
        </row>
        <row r="106">
          <cell r="B106" t="str">
            <v>Giám đốc (cấp phòng)</v>
          </cell>
          <cell r="C106">
            <v>0.6</v>
          </cell>
        </row>
        <row r="107">
          <cell r="B107" t="str">
            <v>Phó Giám đốc (cấp phòng)</v>
          </cell>
          <cell r="C107" t="str">
            <v>0,4</v>
          </cell>
        </row>
        <row r="108">
          <cell r="B108" t="str">
            <v>Chánh văn phòng</v>
          </cell>
          <cell r="C108" t="str">
            <v>1,0</v>
          </cell>
        </row>
        <row r="109">
          <cell r="B109" t="str">
            <v>Phó Chánh văn phòng</v>
          </cell>
          <cell r="C109" t="str">
            <v>0,8</v>
          </cell>
        </row>
        <row r="110">
          <cell r="B110" t="str">
            <v>Đội Trưởng</v>
          </cell>
          <cell r="C110" t="str">
            <v>0,6</v>
          </cell>
        </row>
        <row r="111">
          <cell r="B111" t="str">
            <v>Đội Phó</v>
          </cell>
          <cell r="C111" t="str">
            <v>0,4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6"/>
  <sheetViews>
    <sheetView topLeftCell="B31" workbookViewId="0">
      <selection activeCell="N19" sqref="N19"/>
    </sheetView>
  </sheetViews>
  <sheetFormatPr defaultRowHeight="15" x14ac:dyDescent="0.25"/>
  <cols>
    <col min="1" max="1" width="9.140625" hidden="1" customWidth="1"/>
    <col min="2" max="2" width="5" customWidth="1"/>
    <col min="3" max="3" width="9.140625" hidden="1" customWidth="1"/>
    <col min="4" max="4" width="21.28515625" customWidth="1"/>
    <col min="5" max="5" width="6.28515625" customWidth="1"/>
    <col min="6" max="13" width="9.140625" hidden="1" customWidth="1"/>
    <col min="14" max="14" width="16.28515625" customWidth="1"/>
    <col min="15" max="15" width="21.140625" customWidth="1"/>
    <col min="16" max="18" width="9.140625" hidden="1" customWidth="1"/>
    <col min="19" max="19" width="13.7109375" customWidth="1"/>
    <col min="20" max="20" width="9.85546875" customWidth="1"/>
    <col min="21" max="22" width="9.140625" hidden="1" customWidth="1"/>
    <col min="23" max="23" width="1.7109375" hidden="1" customWidth="1"/>
    <col min="24" max="24" width="3.28515625" customWidth="1"/>
    <col min="25" max="25" width="1.28515625" customWidth="1"/>
    <col min="26" max="26" width="3.42578125" customWidth="1"/>
    <col min="27" max="27" width="5.42578125" customWidth="1"/>
    <col min="28" max="28" width="3" customWidth="1"/>
    <col min="29" max="29" width="2.140625" customWidth="1"/>
    <col min="30" max="30" width="3" customWidth="1"/>
    <col min="31" max="31" width="5.85546875" customWidth="1"/>
    <col min="32" max="32" width="3" customWidth="1"/>
    <col min="33" max="33" width="1.7109375" customWidth="1"/>
    <col min="34" max="34" width="2.42578125" customWidth="1"/>
    <col min="35" max="35" width="0.85546875" customWidth="1"/>
    <col min="36" max="36" width="4.85546875" customWidth="1"/>
    <col min="37" max="37" width="0.140625" hidden="1" customWidth="1"/>
    <col min="38" max="50" width="9.140625" hidden="1" customWidth="1"/>
    <col min="51" max="51" width="0.140625" hidden="1" customWidth="1"/>
    <col min="52" max="59" width="9.140625" hidden="1" customWidth="1"/>
    <col min="60" max="60" width="6.42578125" customWidth="1"/>
    <col min="61" max="61" width="10.140625" customWidth="1"/>
    <col min="62" max="62" width="7.28515625" customWidth="1"/>
    <col min="63" max="63" width="7.42578125" customWidth="1"/>
    <col min="64" max="64" width="7.85546875" customWidth="1"/>
    <col min="65" max="70" width="9.140625" customWidth="1"/>
    <col min="71" max="71" width="16.42578125" customWidth="1"/>
  </cols>
  <sheetData>
    <row r="1" spans="1:126" s="4" customFormat="1" ht="16.5" x14ac:dyDescent="0.3">
      <c r="A1" s="1"/>
      <c r="B1" s="403" t="s">
        <v>0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2"/>
      <c r="P1" s="3"/>
      <c r="Q1" s="3"/>
      <c r="R1" s="3"/>
      <c r="S1" s="404" t="s">
        <v>1</v>
      </c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3"/>
      <c r="AG1" s="3"/>
      <c r="AH1" s="3"/>
      <c r="AI1" s="3"/>
      <c r="AJ1" s="3"/>
      <c r="AK1" s="3"/>
    </row>
    <row r="2" spans="1:126" s="4" customFormat="1" ht="16.5" x14ac:dyDescent="0.3">
      <c r="A2" s="1"/>
      <c r="B2" s="404" t="s">
        <v>2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5"/>
      <c r="P2" s="3"/>
      <c r="Q2" s="3"/>
      <c r="R2" s="3"/>
      <c r="S2" s="405" t="s">
        <v>3</v>
      </c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3"/>
      <c r="AG2" s="3"/>
      <c r="AH2" s="3"/>
      <c r="AI2" s="3"/>
      <c r="AJ2" s="3"/>
      <c r="AK2" s="3"/>
    </row>
    <row r="3" spans="1:126" s="11" customFormat="1" ht="22.5" customHeight="1" x14ac:dyDescent="0.3">
      <c r="A3" s="6"/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7"/>
      <c r="O3" s="8"/>
      <c r="P3" s="9"/>
      <c r="Q3" s="9"/>
      <c r="R3" s="9"/>
      <c r="S3" s="406" t="s">
        <v>187</v>
      </c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I3" s="10"/>
    </row>
    <row r="4" spans="1:126" s="11" customFormat="1" ht="35.25" customHeight="1" x14ac:dyDescent="0.3">
      <c r="A4" s="402" t="s">
        <v>188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  <c r="AQ4" s="402"/>
      <c r="AR4" s="402"/>
      <c r="AS4" s="402"/>
      <c r="AT4" s="402"/>
      <c r="AU4" s="402"/>
      <c r="AV4" s="402"/>
      <c r="AW4" s="402"/>
      <c r="AX4" s="402"/>
      <c r="AY4" s="402"/>
      <c r="AZ4" s="402"/>
      <c r="BA4" s="402"/>
      <c r="BB4" s="402"/>
      <c r="BC4" s="402"/>
      <c r="BD4" s="402"/>
      <c r="BE4" s="402"/>
      <c r="BF4" s="402"/>
      <c r="BG4" s="402"/>
      <c r="BH4" s="402"/>
    </row>
    <row r="5" spans="1:126" s="17" customFormat="1" ht="4.5" customHeight="1" x14ac:dyDescent="0.25">
      <c r="A5" s="402"/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2"/>
      <c r="AM5" s="402"/>
      <c r="AN5" s="402"/>
      <c r="AO5" s="402"/>
      <c r="AP5" s="402"/>
      <c r="AQ5" s="402"/>
      <c r="AR5" s="402"/>
      <c r="AS5" s="402"/>
      <c r="AT5" s="402"/>
      <c r="AU5" s="402"/>
      <c r="AV5" s="402"/>
      <c r="AW5" s="402"/>
      <c r="AX5" s="402"/>
      <c r="AY5" s="402"/>
      <c r="AZ5" s="402"/>
      <c r="BA5" s="402"/>
      <c r="BB5" s="402"/>
      <c r="BC5" s="402"/>
      <c r="BD5" s="402"/>
      <c r="BE5" s="402"/>
      <c r="BF5" s="402"/>
      <c r="BG5" s="402"/>
      <c r="BH5" s="402"/>
      <c r="BI5" s="12"/>
      <c r="BJ5" s="13"/>
      <c r="BK5" s="14"/>
      <c r="BL5" s="14"/>
      <c r="BM5" s="15"/>
      <c r="BN5" s="16"/>
      <c r="BP5" s="13"/>
      <c r="BQ5" s="13"/>
      <c r="BR5" s="13"/>
      <c r="BS5" s="13"/>
      <c r="BU5" s="18"/>
      <c r="BV5" s="19"/>
      <c r="BW5" s="20"/>
    </row>
    <row r="6" spans="1:126" s="5" customFormat="1" ht="5.25" hidden="1" customHeight="1" x14ac:dyDescent="0.3">
      <c r="A6" s="21"/>
      <c r="B6" s="22"/>
      <c r="C6" s="21"/>
      <c r="D6" s="23" t="s">
        <v>4</v>
      </c>
      <c r="E6" s="22" t="e">
        <f>#REF!+#REF!</f>
        <v>#REF!</v>
      </c>
      <c r="F6" s="23"/>
      <c r="G6" s="24"/>
      <c r="H6" s="24"/>
      <c r="I6" s="24"/>
      <c r="J6" s="25"/>
      <c r="K6" s="25" t="s">
        <v>5</v>
      </c>
      <c r="L6" s="25"/>
      <c r="M6" s="25"/>
      <c r="N6" s="26" t="s">
        <v>5</v>
      </c>
      <c r="O6" s="26"/>
      <c r="P6" s="27"/>
      <c r="Q6" s="27"/>
      <c r="R6" s="27"/>
      <c r="S6" s="28"/>
      <c r="T6" s="29"/>
      <c r="U6" s="30"/>
      <c r="V6" s="31"/>
      <c r="W6" s="31"/>
      <c r="X6" s="32"/>
      <c r="Y6" s="33"/>
      <c r="Z6" s="34"/>
      <c r="AA6" s="35"/>
      <c r="AB6" s="36"/>
      <c r="AC6" s="37"/>
      <c r="AD6" s="34"/>
      <c r="AE6" s="35"/>
      <c r="AF6" s="407"/>
      <c r="AG6" s="407"/>
      <c r="AH6" s="407"/>
      <c r="AI6" s="407"/>
      <c r="AJ6" s="407"/>
      <c r="AK6" s="38"/>
      <c r="AL6" s="39"/>
      <c r="AM6" s="40"/>
      <c r="AN6" s="24"/>
      <c r="AO6" s="33"/>
      <c r="AP6" s="41"/>
      <c r="AQ6" s="42"/>
      <c r="AR6" s="43"/>
      <c r="AS6" s="44"/>
      <c r="AT6" s="45"/>
      <c r="AU6" s="35"/>
      <c r="AV6" s="37"/>
      <c r="AW6" s="43"/>
      <c r="AX6" s="35"/>
      <c r="AY6" s="43"/>
      <c r="AZ6" s="46"/>
      <c r="BA6" s="47"/>
      <c r="BB6" s="48"/>
      <c r="BC6" s="48"/>
      <c r="BD6" s="49"/>
      <c r="BE6" s="49"/>
      <c r="BF6" s="35"/>
      <c r="BG6" s="50"/>
      <c r="BH6" s="51"/>
      <c r="BI6" s="52"/>
      <c r="BJ6" s="53"/>
      <c r="BK6" s="14"/>
      <c r="BL6" s="14"/>
      <c r="BM6" s="15"/>
      <c r="BN6" s="54"/>
      <c r="BP6" s="53"/>
      <c r="BQ6" s="53"/>
      <c r="BR6" s="53"/>
      <c r="BS6" s="53"/>
      <c r="BU6" s="55"/>
      <c r="BV6" s="56"/>
      <c r="BW6" s="57"/>
    </row>
    <row r="7" spans="1:126" s="90" customFormat="1" ht="16.5" x14ac:dyDescent="0.25">
      <c r="A7" s="58"/>
      <c r="B7" s="59" t="s">
        <v>71</v>
      </c>
      <c r="C7" s="58"/>
      <c r="D7" s="60"/>
      <c r="E7" s="61"/>
      <c r="F7" s="62"/>
      <c r="G7" s="60"/>
      <c r="H7" s="60"/>
      <c r="I7" s="60"/>
      <c r="J7" s="63"/>
      <c r="K7" s="63"/>
      <c r="L7" s="63"/>
      <c r="M7" s="63"/>
      <c r="N7" s="59"/>
      <c r="O7" s="59"/>
      <c r="P7" s="64"/>
      <c r="Q7" s="64"/>
      <c r="R7" s="64"/>
      <c r="S7" s="65"/>
      <c r="T7" s="66"/>
      <c r="U7" s="67"/>
      <c r="V7" s="66"/>
      <c r="W7" s="66"/>
      <c r="X7" s="60"/>
      <c r="Y7" s="68"/>
      <c r="Z7" s="69"/>
      <c r="AA7" s="70"/>
      <c r="AB7" s="71"/>
      <c r="AC7" s="68"/>
      <c r="AD7" s="69"/>
      <c r="AE7" s="70"/>
      <c r="AF7" s="72"/>
      <c r="AG7" s="61"/>
      <c r="AH7" s="61"/>
      <c r="AI7" s="73"/>
      <c r="AJ7" s="74"/>
      <c r="AK7" s="75"/>
      <c r="AL7" s="76"/>
      <c r="AM7" s="77"/>
      <c r="AN7" s="60"/>
      <c r="AO7" s="68"/>
      <c r="AP7" s="78"/>
      <c r="AQ7" s="79"/>
      <c r="AR7" s="80"/>
      <c r="AS7" s="60"/>
      <c r="AT7" s="81"/>
      <c r="AU7" s="70"/>
      <c r="AV7" s="68"/>
      <c r="AW7" s="80"/>
      <c r="AX7" s="70"/>
      <c r="AY7" s="82"/>
      <c r="AZ7" s="83"/>
      <c r="BA7" s="84"/>
      <c r="BB7" s="68"/>
      <c r="BC7" s="68"/>
      <c r="BD7" s="85"/>
      <c r="BE7" s="85"/>
      <c r="BF7" s="81"/>
      <c r="BG7" s="71"/>
      <c r="BH7" s="86"/>
      <c r="BI7" s="86"/>
      <c r="BJ7" s="87"/>
      <c r="BK7" s="88"/>
      <c r="BL7" s="88"/>
      <c r="BM7" s="88"/>
      <c r="BN7" s="89"/>
      <c r="BP7" s="87"/>
      <c r="BQ7" s="87"/>
      <c r="BR7" s="87"/>
      <c r="BS7" s="87"/>
      <c r="BV7" s="91"/>
      <c r="BW7" s="86"/>
    </row>
    <row r="8" spans="1:126" s="90" customFormat="1" ht="16.5" x14ac:dyDescent="0.25">
      <c r="A8" s="58"/>
      <c r="B8" s="59"/>
      <c r="C8" s="58"/>
      <c r="D8" s="63" t="s">
        <v>191</v>
      </c>
      <c r="E8" s="61"/>
      <c r="F8" s="62"/>
      <c r="G8" s="60"/>
      <c r="H8" s="60"/>
      <c r="I8" s="60"/>
      <c r="J8" s="63"/>
      <c r="K8" s="63"/>
      <c r="L8" s="63"/>
      <c r="M8" s="63"/>
      <c r="N8" s="59"/>
      <c r="O8" s="59"/>
      <c r="P8" s="64"/>
      <c r="Q8" s="64"/>
      <c r="R8" s="64"/>
      <c r="S8" s="65"/>
      <c r="T8" s="66"/>
      <c r="U8" s="67"/>
      <c r="V8" s="66"/>
      <c r="W8" s="66"/>
      <c r="X8" s="60"/>
      <c r="Y8" s="68"/>
      <c r="Z8" s="69"/>
      <c r="AA8" s="70"/>
      <c r="AB8" s="71"/>
      <c r="AC8" s="68"/>
      <c r="AD8" s="69"/>
      <c r="AE8" s="70"/>
      <c r="AF8" s="72"/>
      <c r="AG8" s="61"/>
      <c r="AH8" s="61"/>
      <c r="AI8" s="73"/>
      <c r="AJ8" s="74"/>
      <c r="AK8" s="75"/>
      <c r="AL8" s="76"/>
      <c r="AM8" s="77"/>
      <c r="AN8" s="60"/>
      <c r="AO8" s="68"/>
      <c r="AP8" s="78"/>
      <c r="AQ8" s="79"/>
      <c r="AR8" s="80"/>
      <c r="AS8" s="60"/>
      <c r="AT8" s="81"/>
      <c r="AU8" s="70"/>
      <c r="AV8" s="68"/>
      <c r="AW8" s="80"/>
      <c r="AX8" s="70"/>
      <c r="AY8" s="82"/>
      <c r="AZ8" s="83"/>
      <c r="BA8" s="84"/>
      <c r="BB8" s="68"/>
      <c r="BC8" s="68"/>
      <c r="BD8" s="85"/>
      <c r="BE8" s="85"/>
      <c r="BF8" s="81"/>
      <c r="BG8" s="71"/>
      <c r="BH8" s="86"/>
      <c r="BI8" s="86"/>
      <c r="BJ8" s="87"/>
      <c r="BK8" s="88"/>
      <c r="BL8" s="88"/>
      <c r="BM8" s="88"/>
      <c r="BN8" s="89"/>
      <c r="BP8" s="87"/>
      <c r="BQ8" s="87"/>
      <c r="BR8" s="87"/>
      <c r="BS8" s="87"/>
      <c r="BV8" s="91"/>
      <c r="BW8" s="86"/>
    </row>
    <row r="9" spans="1:126" s="86" customFormat="1" ht="17.25" thickBot="1" x14ac:dyDescent="0.3">
      <c r="A9" s="92"/>
      <c r="B9" s="61"/>
      <c r="C9" s="58"/>
      <c r="D9" s="59" t="s">
        <v>189</v>
      </c>
      <c r="E9" s="61"/>
      <c r="F9" s="62"/>
      <c r="G9" s="60"/>
      <c r="H9" s="60"/>
      <c r="I9" s="60"/>
      <c r="J9" s="63"/>
      <c r="K9" s="63"/>
      <c r="L9" s="63"/>
      <c r="M9" s="63"/>
      <c r="N9" s="59"/>
      <c r="O9" s="59"/>
      <c r="P9" s="64"/>
      <c r="Q9" s="64"/>
      <c r="R9" s="64"/>
      <c r="S9" s="65"/>
      <c r="T9" s="66"/>
      <c r="U9" s="67"/>
      <c r="V9" s="66"/>
      <c r="W9" s="66"/>
      <c r="X9" s="60"/>
      <c r="Y9" s="68"/>
      <c r="Z9" s="69"/>
      <c r="AA9" s="70"/>
      <c r="AB9" s="71"/>
      <c r="AC9" s="68"/>
      <c r="AD9" s="69"/>
      <c r="AE9" s="70"/>
      <c r="AF9" s="93"/>
      <c r="AG9" s="78"/>
      <c r="AH9" s="94"/>
      <c r="AI9" s="95"/>
      <c r="AJ9" s="96"/>
      <c r="AK9" s="75"/>
      <c r="AL9" s="76"/>
      <c r="AM9" s="77"/>
      <c r="AN9" s="60"/>
      <c r="AO9" s="68"/>
      <c r="AP9" s="61"/>
      <c r="AQ9" s="79"/>
      <c r="AR9" s="80"/>
      <c r="AS9" s="60"/>
      <c r="AT9" s="70"/>
      <c r="AU9" s="70"/>
      <c r="AV9" s="68"/>
      <c r="AW9" s="80"/>
      <c r="AX9" s="70"/>
      <c r="AY9" s="80"/>
      <c r="AZ9" s="83"/>
      <c r="BA9" s="84"/>
      <c r="BB9" s="68"/>
      <c r="BC9" s="68"/>
      <c r="BD9" s="85"/>
      <c r="BE9" s="85"/>
      <c r="BF9" s="70"/>
      <c r="BG9" s="71"/>
      <c r="BK9" s="88"/>
      <c r="BL9" s="88"/>
      <c r="BM9" s="88"/>
    </row>
    <row r="10" spans="1:126" s="103" customFormat="1" ht="15" customHeight="1" thickTop="1" x14ac:dyDescent="0.25">
      <c r="A10" s="97"/>
      <c r="B10" s="61" t="s">
        <v>6</v>
      </c>
      <c r="C10" s="58"/>
      <c r="D10" s="59" t="s">
        <v>7</v>
      </c>
      <c r="E10" s="61"/>
      <c r="F10" s="62"/>
      <c r="G10" s="60"/>
      <c r="H10" s="60"/>
      <c r="I10" s="60"/>
      <c r="J10" s="63"/>
      <c r="K10" s="63"/>
      <c r="L10" s="63"/>
      <c r="M10" s="63"/>
      <c r="N10" s="59"/>
      <c r="O10" s="59"/>
      <c r="P10" s="64"/>
      <c r="Q10" s="64"/>
      <c r="R10" s="64"/>
      <c r="S10" s="65"/>
      <c r="T10" s="66"/>
      <c r="U10" s="67"/>
      <c r="V10" s="66"/>
      <c r="W10" s="66"/>
      <c r="X10" s="60"/>
      <c r="Y10" s="68"/>
      <c r="Z10" s="69"/>
      <c r="AA10" s="70"/>
      <c r="AB10" s="71"/>
      <c r="AC10" s="68"/>
      <c r="AD10" s="69"/>
      <c r="AE10" s="70"/>
      <c r="AF10" s="98"/>
      <c r="AG10" s="73"/>
      <c r="AH10" s="73"/>
      <c r="AI10" s="99"/>
      <c r="AJ10" s="74"/>
      <c r="AK10" s="75"/>
      <c r="AL10" s="76"/>
      <c r="AM10" s="77"/>
      <c r="AN10" s="60"/>
      <c r="AO10" s="68"/>
      <c r="AP10" s="78"/>
      <c r="AQ10" s="79"/>
      <c r="AR10" s="80"/>
      <c r="AS10" s="60"/>
      <c r="AT10" s="81"/>
      <c r="AU10" s="70"/>
      <c r="AV10" s="68"/>
      <c r="AW10" s="80"/>
      <c r="AX10" s="70"/>
      <c r="AY10" s="82"/>
      <c r="AZ10" s="83"/>
      <c r="BA10" s="84"/>
      <c r="BB10" s="68"/>
      <c r="BC10" s="68"/>
      <c r="BD10" s="85"/>
      <c r="BE10" s="85"/>
      <c r="BF10" s="81"/>
      <c r="BG10" s="71"/>
      <c r="BH10" s="86"/>
      <c r="BI10" s="355"/>
      <c r="BJ10" s="355"/>
      <c r="BK10" s="355"/>
      <c r="BL10" s="356"/>
      <c r="BM10" s="355"/>
      <c r="BN10" s="102"/>
      <c r="BO10" s="102"/>
      <c r="BU10" s="357"/>
      <c r="BV10" s="355"/>
      <c r="BW10" s="356"/>
      <c r="BX10" s="102"/>
      <c r="CQ10" s="100"/>
      <c r="CR10" s="97"/>
      <c r="CS10" s="104"/>
      <c r="CT10" s="101"/>
      <c r="CU10" s="104"/>
      <c r="CV10" s="104"/>
      <c r="CW10" s="100"/>
      <c r="CX10" s="100"/>
      <c r="CY10" s="100"/>
      <c r="CZ10" s="104"/>
      <c r="DA10" s="104"/>
      <c r="DB10" s="100"/>
      <c r="DC10" s="100"/>
    </row>
    <row r="11" spans="1:126" s="118" customFormat="1" ht="16.5" customHeight="1" x14ac:dyDescent="0.3">
      <c r="A11" s="105"/>
      <c r="B11" s="106"/>
      <c r="C11" s="106"/>
      <c r="D11" s="23" t="s">
        <v>8</v>
      </c>
      <c r="E11" s="107">
        <v>15</v>
      </c>
      <c r="F11" s="108"/>
      <c r="G11" s="108"/>
      <c r="H11" s="108"/>
      <c r="I11" s="109"/>
      <c r="J11" s="110"/>
      <c r="K11" s="110"/>
      <c r="L11" s="110"/>
      <c r="M11" s="110"/>
      <c r="N11" s="110"/>
      <c r="O11" s="25"/>
      <c r="P11" s="25"/>
      <c r="Q11" s="25"/>
      <c r="R11" s="25"/>
      <c r="S11" s="111"/>
      <c r="T11" s="22"/>
      <c r="U11" s="22"/>
      <c r="V11" s="108"/>
      <c r="W11" s="108"/>
      <c r="X11" s="25"/>
      <c r="Y11" s="108"/>
      <c r="Z11" s="25"/>
      <c r="AA11" s="108"/>
      <c r="AB11" s="25"/>
      <c r="AC11" s="25"/>
      <c r="AD11" s="25"/>
      <c r="AE11" s="29"/>
      <c r="AF11" s="112"/>
      <c r="AG11" s="113"/>
      <c r="AH11" s="114"/>
      <c r="AI11" s="115"/>
      <c r="AJ11" s="116"/>
      <c r="AK11" s="110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358"/>
      <c r="BJ11" s="359"/>
      <c r="BK11" s="358"/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8"/>
      <c r="CB11" s="358"/>
      <c r="CC11" s="358"/>
      <c r="CD11" s="358"/>
      <c r="CE11" s="358"/>
      <c r="CF11" s="358"/>
      <c r="CG11" s="358"/>
      <c r="CH11" s="358"/>
      <c r="CI11" s="358"/>
      <c r="CJ11" s="358"/>
      <c r="CK11" s="358"/>
      <c r="CL11" s="358"/>
      <c r="CM11" s="358"/>
      <c r="CN11" s="358"/>
      <c r="CO11" s="358"/>
      <c r="CP11" s="358"/>
      <c r="CQ11" s="226"/>
      <c r="CR11" s="226"/>
      <c r="CS11" s="226"/>
      <c r="CT11" s="226"/>
      <c r="CU11" s="226"/>
      <c r="CV11" s="226"/>
      <c r="CW11" s="226"/>
      <c r="CX11" s="226"/>
      <c r="CY11" s="226"/>
    </row>
    <row r="12" spans="1:126" s="142" customFormat="1" ht="3" customHeight="1" x14ac:dyDescent="0.25">
      <c r="A12" s="119">
        <v>92</v>
      </c>
      <c r="B12" s="120"/>
      <c r="C12" s="120"/>
      <c r="D12" s="121"/>
      <c r="E12" s="122"/>
      <c r="F12" s="120"/>
      <c r="G12" s="120"/>
      <c r="H12" s="123"/>
      <c r="I12" s="124"/>
      <c r="J12" s="120"/>
      <c r="K12" s="120"/>
      <c r="L12" s="120"/>
      <c r="M12" s="120"/>
      <c r="N12" s="125"/>
      <c r="O12" s="125"/>
      <c r="P12" s="125"/>
      <c r="Q12" s="125"/>
      <c r="R12" s="125"/>
      <c r="S12" s="126"/>
      <c r="T12" s="127"/>
      <c r="U12" s="128"/>
      <c r="V12" s="127"/>
      <c r="W12" s="127"/>
      <c r="X12" s="129"/>
      <c r="Y12" s="130"/>
      <c r="Z12" s="128"/>
      <c r="AA12" s="131"/>
      <c r="AB12" s="132"/>
      <c r="AC12" s="129"/>
      <c r="AD12" s="133"/>
      <c r="AE12" s="129"/>
      <c r="AF12" s="134"/>
      <c r="AG12" s="135"/>
      <c r="AH12" s="136"/>
      <c r="AI12" s="137"/>
      <c r="AJ12" s="138"/>
      <c r="AK12" s="139"/>
      <c r="AL12" s="140"/>
      <c r="AM12" s="12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1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270"/>
      <c r="BJ12" s="257"/>
      <c r="BK12" s="258" t="s">
        <v>9</v>
      </c>
      <c r="BL12" s="259" t="e">
        <f>IF(#REF!="Cơ sở Học viện Hành chính khu vực miền Trung","B",IF(#REF!="Phân viện Khu vực Tây Nguyên","C",IF(#REF!="Cơ sở Học viện Hành chính tại thành phố Hồ Chí Minh","D","A")))</f>
        <v>#REF!</v>
      </c>
      <c r="BM12" s="258" t="e">
        <f>IF(AND(#REF!&gt;0,#REF!&lt;(#REF!-1),BN12&gt;0,BN12&lt;13,OR(AND(BT12="Cùg Ng",(#REF!-BP12)&gt;#REF!),BT12="- - -")),"Sớm TT","=&gt; s")</f>
        <v>#REF!</v>
      </c>
      <c r="BN12" s="260" t="e">
        <f>IF(#REF!=3,36-(12*(#REF!-#REF!)+(12-#REF!)-#REF!),IF(#REF!=2,24-(12*(#REF!-#REF!)+(12-#REF!)-#REF!),"---"))</f>
        <v>#REF!</v>
      </c>
      <c r="BO12" s="261" t="str">
        <f>IF(BP12&gt;1,"S","---")</f>
        <v>---</v>
      </c>
      <c r="BP12" s="262"/>
      <c r="BQ12" s="263"/>
      <c r="BR12" s="263"/>
      <c r="BS12" s="263"/>
      <c r="BT12" s="262" t="e">
        <f>IF(#REF!=BQ12,"Cùg Ng","- - -")</f>
        <v>#REF!</v>
      </c>
      <c r="BU12" s="261" t="str">
        <f>IF(BW12&gt;2000,"NN","- - -")</f>
        <v>- - -</v>
      </c>
      <c r="BV12" s="258"/>
      <c r="BW12" s="258"/>
      <c r="BX12" s="264"/>
      <c r="BY12" s="264"/>
      <c r="BZ12" s="264" t="str">
        <f>IF(CB12&gt;2000,"CN","- - -")</f>
        <v>- - -</v>
      </c>
      <c r="CA12" s="264"/>
      <c r="CB12" s="264"/>
      <c r="CC12" s="264"/>
      <c r="CD12" s="264"/>
      <c r="CE12" s="264" t="e">
        <f>IF(AND(CF12="Hưu",#REF!&lt;(#REF!-1),CM12&gt;0,CM12&lt;18,OR(#REF!&lt;4,AND(#REF!&gt;3,OR(#REF!&lt;3,#REF!&gt;5)))),"Lg Sớm",IF(AND(CF12="Hưu",#REF!&gt;(#REF!-2),OR(#REF!=0.33,#REF!=0.34),OR(#REF!&lt;4,AND(#REF!&gt;3,OR(#REF!&lt;3,#REF!&gt;5)))),"Nâng Ngạch",IF(AND(CF12="Hưu",#REF!=1,CM12&gt;2,CM12&lt;6,OR(#REF!&lt;4,AND(#REF!&gt;3,OR(#REF!&lt;3,#REF!&gt;5)))),"Nâng PcVK cùng QĐ",IF(AND(CF12="Hưu",#REF!&gt;3,#REF!&gt;2,#REF!&lt;6,#REF!&lt;(#REF!-1),CM12&gt;17,OR(#REF!&gt;1,AND(#REF!=1,OR(CM12&lt;3,CM12&gt;5)))),"Nâng PcNG cùng QĐ",IF(AND(CF12="Hưu",#REF!&lt;(#REF!-1),CM12&gt;0,CM12&lt;18,#REF!&gt;3,#REF!&gt;2,#REF!&lt;6),"Nâng Lg Sớm +(PcNG cùng QĐ)",IF(AND(CF12="Hưu",#REF!&gt;(#REF!-2),OR(#REF!=0.33,#REF!=0.34),#REF!&gt;3,#REF!&gt;2,#REF!&lt;6),"Nâng Ngạch +(PcNG cùng QĐ)",IF(AND(CF12="Hưu",#REF!=1,CM12&gt;2,CM12&lt;6,#REF!&gt;3,#REF!&gt;2,#REF!&lt;6),"Nâng (PcVK +PcNG) cùng QĐ",("---"))))))))</f>
        <v>#REF!</v>
      </c>
      <c r="CF12" s="264" t="e">
        <f>IF(AND(CQ12&gt;CP12,CQ12&lt;(CP12+13)),"Hưu",IF(AND(CQ12&gt;(CP12+12),CQ12&lt;1000),"Quá","/-/ /-/"))</f>
        <v>#REF!</v>
      </c>
      <c r="CG12" s="264" t="e">
        <f>IF((#REF!+0)&lt;12,(#REF!+0)+1,IF((#REF!+0)=12,1,IF((#REF!+0)&gt;12,(#REF!+0)-12)))</f>
        <v>#REF!</v>
      </c>
      <c r="CH12" s="264" t="e">
        <f>IF(OR((#REF!+0)=12,(#REF!+0)&gt;12),#REF!+CP12/12+1,IF(AND((#REF!+0)&gt;0,(#REF!+0)&lt;12),#REF!+CP12/12,"---"))</f>
        <v>#REF!</v>
      </c>
      <c r="CI12" s="264" t="e">
        <f>IF(AND(CG12&gt;3,CG12&lt;13),CG12-3,IF(CG12&lt;4,CG12-3+12))</f>
        <v>#REF!</v>
      </c>
      <c r="CJ12" s="264" t="e">
        <f>IF(CI12&lt;CG12,CH12,IF(CI12&gt;CG12,CH12-1))</f>
        <v>#REF!</v>
      </c>
      <c r="CK12" s="264" t="e">
        <f>IF(CG12&gt;6,CG12-6,IF(CG12=6,12,IF(CG12&lt;6,CG12+6)))</f>
        <v>#REF!</v>
      </c>
      <c r="CL12" s="264" t="e">
        <f>IF(CG12&gt;6,CH12,IF(CG12&lt;7,CH12-1))</f>
        <v>#REF!</v>
      </c>
      <c r="CM12" s="264" t="e">
        <f>IF(AND(CF12="Hưu",#REF!=3),36+#REF!-(12*(CL12-#REF!)+(CK12-#REF!)),IF(AND(CF12="Hưu",#REF!=2),24+#REF!-(12*(CL12-#REF!)+(CK12-#REF!)),IF(AND(CF12="Hưu",#REF!=1),12+#REF!-(12*(CL12-#REF!)+(CK12-#REF!)),"- - -")))</f>
        <v>#REF!</v>
      </c>
      <c r="CN12" s="265" t="str">
        <f>IF(CO12&gt;0,"K.Dài",". .")</f>
        <v>. .</v>
      </c>
      <c r="CO12" s="262"/>
      <c r="CP12" s="266" t="e">
        <f>IF(#REF!="Nam",(60+CO12)*12,IF(#REF!="Nữ",(55+CO12)*12,))</f>
        <v>#REF!</v>
      </c>
      <c r="CQ12" s="354" t="e">
        <f>12*(#REF!-#REF!)+(12-#REF!)</f>
        <v>#REF!</v>
      </c>
      <c r="CR12" s="227" t="e">
        <f>#REF!-#REF!</f>
        <v>#REF!</v>
      </c>
      <c r="CS12" s="228" t="e">
        <f>IF(AND(CR12&lt;35,#REF!="Nam"),"Nam dưới 35",IF(AND(CR12&lt;30,#REF!="Nữ"),"Nữ dưới 30",IF(AND(CR12&gt;34,CR12&lt;46,#REF!="Nam"),"Nam từ 35 - 45",IF(AND(CR12&gt;29,CR12&lt;41,#REF!="Nữ"),"Nữ từ 30 - 40",IF(AND(CR12&gt;45,CR12&lt;56,#REF!="Nam"),"Nam trên 45 - 55",IF(AND(CR12&gt;40,CR12&lt;51,#REF!="Nữ"),"Nữ trên 40 - 50",IF(AND(CR12&gt;55,#REF!="Nam"),"Nam trên 55","Nữ trên 50")))))))</f>
        <v>#REF!</v>
      </c>
      <c r="CT12" s="229"/>
      <c r="CU12" s="230"/>
      <c r="CV12" s="231" t="e">
        <f>IF(CR12&lt;31,"Đến 30",IF(AND(CR12&gt;30,CR12&lt;46),"31 - 45",IF(AND(CR12&gt;45,CR12&lt;70),"Trên 45")))</f>
        <v>#REF!</v>
      </c>
      <c r="CW12" s="232" t="str">
        <f>IF(CX12&gt;0,"TD","--")</f>
        <v>TD</v>
      </c>
      <c r="CX12" s="232">
        <v>2009</v>
      </c>
      <c r="CY12" s="229"/>
      <c r="CZ12" s="143"/>
      <c r="DA12" s="144"/>
      <c r="DB12" s="145"/>
      <c r="DC12" s="145"/>
      <c r="DH12" s="142" t="s">
        <v>10</v>
      </c>
      <c r="DI12" s="142" t="s">
        <v>11</v>
      </c>
      <c r="DJ12" s="142" t="s">
        <v>12</v>
      </c>
      <c r="DK12" s="142" t="s">
        <v>11</v>
      </c>
      <c r="DL12" s="142">
        <v>2009</v>
      </c>
      <c r="DM12" s="142">
        <f>(DH12+0)-(DO12+0)</f>
        <v>0</v>
      </c>
      <c r="DN12" s="142" t="str">
        <f>IF(DM12&gt;0,"Sửa","- - -")</f>
        <v>- - -</v>
      </c>
      <c r="DO12" s="142" t="s">
        <v>10</v>
      </c>
      <c r="DP12" s="142" t="s">
        <v>11</v>
      </c>
      <c r="DQ12" s="142" t="s">
        <v>12</v>
      </c>
      <c r="DR12" s="142" t="s">
        <v>11</v>
      </c>
      <c r="DS12" s="142">
        <v>2009</v>
      </c>
      <c r="DU12" s="142" t="e">
        <f>IF(AND(#REF!&gt;0.34,#REF!=1,OR(#REF!=6.2,#REF!=5.75)),((#REF!-DT12)-2*0.34),IF(AND(#REF!&gt;0.33,#REF!=1,OR(#REF!=4.4,#REF!=4)),((#REF!-DT12)-2*0.33),"- - -"))</f>
        <v>#REF!</v>
      </c>
      <c r="DV12" s="142" t="e">
        <f>IF(CF12="Hưu",12*(CL12-#REF!)+(CK12-#REF!),"---")</f>
        <v>#REF!</v>
      </c>
    </row>
    <row r="13" spans="1:126" s="151" customFormat="1" ht="24.75" customHeight="1" x14ac:dyDescent="0.25">
      <c r="A13" s="162"/>
      <c r="B13" s="408" t="s">
        <v>13</v>
      </c>
      <c r="C13" s="360"/>
      <c r="D13" s="408" t="s">
        <v>14</v>
      </c>
      <c r="E13" s="408" t="s">
        <v>15</v>
      </c>
      <c r="F13" s="147"/>
      <c r="G13" s="147"/>
      <c r="H13" s="147"/>
      <c r="I13" s="147"/>
      <c r="J13" s="147"/>
      <c r="K13" s="360"/>
      <c r="L13" s="360"/>
      <c r="M13" s="360"/>
      <c r="N13" s="408" t="s">
        <v>16</v>
      </c>
      <c r="O13" s="408"/>
      <c r="P13" s="362"/>
      <c r="Q13" s="362"/>
      <c r="R13" s="362"/>
      <c r="S13" s="410" t="s">
        <v>17</v>
      </c>
      <c r="T13" s="411"/>
      <c r="U13" s="408" t="s">
        <v>18</v>
      </c>
      <c r="V13" s="408" t="s">
        <v>19</v>
      </c>
      <c r="W13" s="360"/>
      <c r="X13" s="408" t="s">
        <v>20</v>
      </c>
      <c r="Y13" s="408"/>
      <c r="Z13" s="408"/>
      <c r="AA13" s="408"/>
      <c r="AB13" s="408"/>
      <c r="AC13" s="408"/>
      <c r="AD13" s="408"/>
      <c r="AE13" s="408"/>
      <c r="AF13" s="408"/>
      <c r="AG13" s="408"/>
      <c r="AH13" s="408"/>
      <c r="AI13" s="408"/>
      <c r="AJ13" s="408"/>
      <c r="AK13" s="408" t="s">
        <v>21</v>
      </c>
      <c r="AL13" s="360"/>
      <c r="AM13" s="408" t="s">
        <v>22</v>
      </c>
      <c r="AN13" s="360"/>
      <c r="AO13" s="360"/>
      <c r="AP13" s="360"/>
      <c r="AQ13" s="360"/>
      <c r="AR13" s="360"/>
      <c r="AS13" s="360"/>
      <c r="AT13" s="360"/>
      <c r="AU13" s="360"/>
      <c r="AV13" s="360"/>
      <c r="AW13" s="360"/>
      <c r="AX13" s="408" t="s">
        <v>23</v>
      </c>
      <c r="AY13" s="360"/>
      <c r="AZ13" s="360"/>
      <c r="BA13" s="360"/>
      <c r="BB13" s="360"/>
      <c r="BC13" s="360"/>
      <c r="BD13" s="360"/>
      <c r="BE13" s="360"/>
      <c r="BF13" s="360"/>
      <c r="BG13" s="360"/>
      <c r="BH13" s="409" t="s">
        <v>23</v>
      </c>
      <c r="BI13" s="270"/>
      <c r="BJ13" s="257"/>
      <c r="BK13" s="258"/>
      <c r="BL13" s="259"/>
      <c r="BM13" s="258"/>
      <c r="BN13" s="260"/>
      <c r="BO13" s="261"/>
      <c r="BP13" s="262"/>
      <c r="BQ13" s="263"/>
      <c r="BR13" s="263"/>
      <c r="BS13" s="263"/>
      <c r="BT13" s="262"/>
      <c r="BU13" s="261"/>
      <c r="BV13" s="258"/>
      <c r="BW13" s="258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5"/>
      <c r="CO13" s="262"/>
      <c r="CP13" s="266"/>
      <c r="CQ13" s="267"/>
      <c r="CR13" s="268"/>
      <c r="CS13" s="269"/>
      <c r="CT13" s="270"/>
      <c r="CU13" s="268"/>
      <c r="CV13" s="271"/>
      <c r="CW13" s="256"/>
      <c r="CX13" s="234"/>
      <c r="CY13" s="233"/>
      <c r="CZ13" s="155"/>
      <c r="DA13" s="156"/>
      <c r="DB13" s="157"/>
      <c r="DC13" s="157"/>
    </row>
    <row r="14" spans="1:126" s="151" customFormat="1" ht="28.5" customHeight="1" x14ac:dyDescent="0.25">
      <c r="A14" s="162">
        <v>163</v>
      </c>
      <c r="B14" s="409"/>
      <c r="C14" s="158"/>
      <c r="D14" s="409"/>
      <c r="E14" s="409"/>
      <c r="F14" s="159"/>
      <c r="G14" s="159"/>
      <c r="H14" s="159"/>
      <c r="I14" s="159"/>
      <c r="J14" s="159"/>
      <c r="K14" s="158"/>
      <c r="L14" s="158"/>
      <c r="M14" s="158"/>
      <c r="N14" s="409"/>
      <c r="O14" s="409"/>
      <c r="P14" s="363"/>
      <c r="Q14" s="363"/>
      <c r="R14" s="363"/>
      <c r="S14" s="412"/>
      <c r="T14" s="413"/>
      <c r="U14" s="409"/>
      <c r="V14" s="409"/>
      <c r="W14" s="158"/>
      <c r="X14" s="415" t="s">
        <v>24</v>
      </c>
      <c r="Y14" s="415"/>
      <c r="Z14" s="415"/>
      <c r="AA14" s="160" t="s">
        <v>25</v>
      </c>
      <c r="AB14" s="415" t="s">
        <v>26</v>
      </c>
      <c r="AC14" s="415"/>
      <c r="AD14" s="415"/>
      <c r="AE14" s="160" t="s">
        <v>27</v>
      </c>
      <c r="AF14" s="415" t="s">
        <v>28</v>
      </c>
      <c r="AG14" s="415"/>
      <c r="AH14" s="415"/>
      <c r="AI14" s="415"/>
      <c r="AJ14" s="415"/>
      <c r="AK14" s="409"/>
      <c r="AL14" s="158"/>
      <c r="AM14" s="409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409"/>
      <c r="AY14" s="158"/>
      <c r="AZ14" s="158"/>
      <c r="BA14" s="158"/>
      <c r="BB14" s="158"/>
      <c r="BC14" s="158"/>
      <c r="BD14" s="158"/>
      <c r="BE14" s="158"/>
      <c r="BF14" s="158"/>
      <c r="BG14" s="158"/>
      <c r="BH14" s="414"/>
      <c r="BI14" s="270"/>
      <c r="BJ14" s="257"/>
      <c r="BK14" s="258" t="s">
        <v>29</v>
      </c>
      <c r="BL14" s="259" t="e">
        <f>IF(#REF!="Cơ sở Học viện Hành chính khu vực miền Trung","B",IF(#REF!="Phân viện Khu vực Tây Nguyên","C",IF(#REF!="Cơ sở Học viện Hành chính tại thành phố Hồ Chí Minh","D","A")))</f>
        <v>#REF!</v>
      </c>
      <c r="BM14" s="258" t="e">
        <f>IF(AND(#REF!&gt;0,#REF!&lt;(#REF!-1),BN14&gt;0,BN14&lt;13,OR(AND(BT14="Cùg Ng",(#REF!-BP14)&gt;#REF!),BT14="- - -")),"Sớm TT","=&gt; s")</f>
        <v>#REF!</v>
      </c>
      <c r="BN14" s="260" t="e">
        <f>IF(#REF!=3,36-(12*(#REF!-#REF!)+(12-#REF!)-#REF!),IF(#REF!=2,24-(12*(#REF!-#REF!)+(12-#REF!)-#REF!),"---"))</f>
        <v>#REF!</v>
      </c>
      <c r="BO14" s="261" t="str">
        <f>IF(BP14&gt;1,"S","---")</f>
        <v>---</v>
      </c>
      <c r="BP14" s="262"/>
      <c r="BQ14" s="263"/>
      <c r="BR14" s="263"/>
      <c r="BS14" s="263"/>
      <c r="BT14" s="262" t="e">
        <f>IF(#REF!=BQ14,"Cùg Ng","- - -")</f>
        <v>#REF!</v>
      </c>
      <c r="BU14" s="261" t="str">
        <f>IF(BW14&gt;2000,"NN","- - -")</f>
        <v>- - -</v>
      </c>
      <c r="BV14" s="258"/>
      <c r="BW14" s="258"/>
      <c r="BX14" s="264"/>
      <c r="BY14" s="264"/>
      <c r="BZ14" s="264" t="str">
        <f>IF(CB14&gt;2000,"CN","- - -")</f>
        <v>- - -</v>
      </c>
      <c r="CA14" s="264"/>
      <c r="CB14" s="264"/>
      <c r="CC14" s="264"/>
      <c r="CD14" s="264"/>
      <c r="CE14" s="264" t="e">
        <f>IF(AND(CF14="Hưu",#REF!&lt;(#REF!-1),CM14&gt;0,CM14&lt;18,OR(#REF!&lt;4,AND(#REF!&gt;3,OR(#REF!&lt;3,#REF!&gt;5)))),"Lg Sớm",IF(AND(CF14="Hưu",#REF!&gt;(#REF!-2),OR(#REF!=0.33,#REF!=0.34),OR(#REF!&lt;4,AND(#REF!&gt;3,OR(#REF!&lt;3,#REF!&gt;5)))),"Nâng Ngạch",IF(AND(CF14="Hưu",#REF!=1,CM14&gt;2,CM14&lt;6,OR(#REF!&lt;4,AND(#REF!&gt;3,OR(#REF!&lt;3,#REF!&gt;5)))),"Nâng PcVK cùng QĐ",IF(AND(CF14="Hưu",#REF!&gt;3,#REF!&gt;2,#REF!&lt;6,#REF!&lt;(#REF!-1),CM14&gt;17,OR(#REF!&gt;1,AND(#REF!=1,OR(CM14&lt;3,CM14&gt;5)))),"Nâng PcNG cùng QĐ",IF(AND(CF14="Hưu",#REF!&lt;(#REF!-1),CM14&gt;0,CM14&lt;18,#REF!&gt;3,#REF!&gt;2,#REF!&lt;6),"Nâng Lg Sớm +(PcNG cùng QĐ)",IF(AND(CF14="Hưu",#REF!&gt;(#REF!-2),OR(#REF!=0.33,#REF!=0.34),#REF!&gt;3,#REF!&gt;2,#REF!&lt;6),"Nâng Ngạch +(PcNG cùng QĐ)",IF(AND(CF14="Hưu",#REF!=1,CM14&gt;2,CM14&lt;6,#REF!&gt;3,#REF!&gt;2,#REF!&lt;6),"Nâng (PcVK +PcNG) cùng QĐ",("---"))))))))</f>
        <v>#REF!</v>
      </c>
      <c r="CF14" s="264" t="e">
        <f>IF(AND(CQ14&gt;CP14,CQ14&lt;(CP14+13)),"Hưu",IF(AND(CQ14&gt;(CP14+12),CQ14&lt;1000),"Quá","/-/ /-/"))</f>
        <v>#REF!</v>
      </c>
      <c r="CG14" s="264" t="e">
        <f>IF((#REF!+0)&lt;12,(#REF!+0)+1,IF((#REF!+0)=12,1,IF((#REF!+0)&gt;12,(#REF!+0)-12)))</f>
        <v>#REF!</v>
      </c>
      <c r="CH14" s="264" t="e">
        <f>IF(OR((#REF!+0)=12,(#REF!+0)&gt;12),#REF!+CP14/12+1,IF(AND((#REF!+0)&gt;0,(#REF!+0)&lt;12),#REF!+CP14/12,"---"))</f>
        <v>#REF!</v>
      </c>
      <c r="CI14" s="264" t="e">
        <f>IF(AND(CG14&gt;3,CG14&lt;13),CG14-3,IF(CG14&lt;4,CG14-3+12))</f>
        <v>#REF!</v>
      </c>
      <c r="CJ14" s="264" t="e">
        <f>IF(CI14&lt;CG14,CH14,IF(CI14&gt;CG14,CH14-1))</f>
        <v>#REF!</v>
      </c>
      <c r="CK14" s="264" t="e">
        <f>IF(CG14&gt;6,CG14-6,IF(CG14=6,12,IF(CG14&lt;6,CG14+6)))</f>
        <v>#REF!</v>
      </c>
      <c r="CL14" s="264" t="e">
        <f>IF(CG14&gt;6,CH14,IF(CG14&lt;7,CH14-1))</f>
        <v>#REF!</v>
      </c>
      <c r="CM14" s="264" t="e">
        <f>IF(AND(CF14="Hưu",#REF!=3),36+#REF!-(12*(CL14-#REF!)+(CK14-#REF!)),IF(AND(CF14="Hưu",#REF!=2),24+#REF!-(12*(CL14-#REF!)+(CK14-#REF!)),IF(AND(CF14="Hưu",#REF!=1),12+#REF!-(12*(CL14-#REF!)+(CK14-#REF!)),"- - -")))</f>
        <v>#REF!</v>
      </c>
      <c r="CN14" s="265" t="str">
        <f>IF(CO14&gt;0,"K.Dài",". .")</f>
        <v>. .</v>
      </c>
      <c r="CO14" s="262"/>
      <c r="CP14" s="266" t="e">
        <f>IF(#REF!="Nam",(60+CO14)*12,IF(#REF!="Nữ",(55+CO14)*12,))</f>
        <v>#REF!</v>
      </c>
      <c r="CQ14" s="267" t="e">
        <f>12*(#REF!-#REF!)+(12-#REF!)</f>
        <v>#REF!</v>
      </c>
      <c r="CR14" s="268" t="e">
        <f>#REF!-#REF!</f>
        <v>#REF!</v>
      </c>
      <c r="CS14" s="269" t="e">
        <f>IF(AND(CR14&lt;35,#REF!="Nam"),"Nam dưới 35",IF(AND(CR14&lt;30,#REF!="Nữ"),"Nữ dưới 30",IF(AND(CR14&gt;34,CR14&lt;46,#REF!="Nam"),"Nam từ 35 - 45",IF(AND(CR14&gt;29,CR14&lt;41,#REF!="Nữ"),"Nữ từ 30 - 40",IF(AND(CR14&gt;45,CR14&lt;56,#REF!="Nam"),"Nam trên 45 - 55",IF(AND(CR14&gt;40,CR14&lt;51,#REF!="Nữ"),"Nữ trên 40 - 50",IF(AND(CR14&gt;55,#REF!="Nam"),"Nam trên 55","Nữ trên 50")))))))</f>
        <v>#REF!</v>
      </c>
      <c r="CT14" s="270"/>
      <c r="CU14" s="268"/>
      <c r="CV14" s="271" t="e">
        <f>IF(CR14&lt;31,"Đến 30",IF(AND(CR14&gt;30,CR14&lt;46),"31 - 45",IF(AND(CR14&gt;45,CR14&lt;70),"Trên 45")))</f>
        <v>#REF!</v>
      </c>
      <c r="CW14" s="256" t="str">
        <f>IF(CX14&gt;0,"TD","--")</f>
        <v>--</v>
      </c>
      <c r="CX14" s="234"/>
      <c r="CY14" s="233"/>
      <c r="CZ14" s="155"/>
      <c r="DA14" s="156"/>
      <c r="DB14" s="157"/>
      <c r="DC14" s="157"/>
      <c r="DG14" s="151" t="s">
        <v>30</v>
      </c>
      <c r="DH14" s="151" t="s">
        <v>10</v>
      </c>
      <c r="DI14" s="151" t="s">
        <v>11</v>
      </c>
      <c r="DJ14" s="151" t="s">
        <v>31</v>
      </c>
      <c r="DK14" s="151" t="s">
        <v>11</v>
      </c>
      <c r="DL14" s="151" t="s">
        <v>32</v>
      </c>
      <c r="DM14" s="151">
        <f>(DH14+0)-(DO14+0)</f>
        <v>0</v>
      </c>
      <c r="DN14" s="151" t="str">
        <f>IF(DM14&gt;0,"Sửa","- - -")</f>
        <v>- - -</v>
      </c>
      <c r="DO14" s="151" t="s">
        <v>10</v>
      </c>
      <c r="DP14" s="151" t="s">
        <v>11</v>
      </c>
      <c r="DQ14" s="151" t="s">
        <v>31</v>
      </c>
      <c r="DR14" s="151" t="s">
        <v>11</v>
      </c>
      <c r="DS14" s="151" t="s">
        <v>32</v>
      </c>
      <c r="DU14" s="151" t="e">
        <f>IF(AND(#REF!&gt;0.34,#REF!=1,OR(#REF!=6.2,#REF!=5.75)),((#REF!-DT14)-2*0.34),IF(AND(#REF!&gt;0.33,#REF!=1,OR(#REF!=4.4,#REF!=4)),((#REF!-DT14)-2*0.33),"- - -"))</f>
        <v>#REF!</v>
      </c>
      <c r="DV14" s="151" t="e">
        <f>IF(CF14="Hưu",12*(CL14-#REF!)+(CK14-#REF!),"---")</f>
        <v>#REF!</v>
      </c>
    </row>
    <row r="15" spans="1:126" s="161" customFormat="1" ht="12.75" x14ac:dyDescent="0.25">
      <c r="B15" s="361">
        <v>1</v>
      </c>
      <c r="C15" s="361"/>
      <c r="D15" s="361">
        <v>2</v>
      </c>
      <c r="E15" s="361">
        <v>3</v>
      </c>
      <c r="F15" s="361"/>
      <c r="G15" s="361"/>
      <c r="H15" s="361"/>
      <c r="I15" s="361"/>
      <c r="J15" s="361"/>
      <c r="K15" s="361"/>
      <c r="L15" s="361"/>
      <c r="M15" s="361"/>
      <c r="N15" s="416">
        <v>4</v>
      </c>
      <c r="O15" s="416"/>
      <c r="P15" s="361"/>
      <c r="Q15" s="361"/>
      <c r="R15" s="361"/>
      <c r="S15" s="416">
        <v>5</v>
      </c>
      <c r="T15" s="416"/>
      <c r="U15" s="361">
        <v>5</v>
      </c>
      <c r="V15" s="361">
        <v>6</v>
      </c>
      <c r="W15" s="361"/>
      <c r="X15" s="416">
        <v>6</v>
      </c>
      <c r="Y15" s="416"/>
      <c r="Z15" s="416"/>
      <c r="AA15" s="361">
        <v>7</v>
      </c>
      <c r="AB15" s="416">
        <v>8</v>
      </c>
      <c r="AC15" s="416"/>
      <c r="AD15" s="416"/>
      <c r="AE15" s="361">
        <v>9</v>
      </c>
      <c r="AF15" s="416">
        <v>10</v>
      </c>
      <c r="AG15" s="416"/>
      <c r="AH15" s="416"/>
      <c r="AI15" s="416"/>
      <c r="AJ15" s="416"/>
      <c r="AK15" s="361">
        <v>12</v>
      </c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>
        <v>12</v>
      </c>
      <c r="AY15" s="361"/>
      <c r="AZ15" s="361"/>
      <c r="BA15" s="361"/>
      <c r="BB15" s="361"/>
      <c r="BC15" s="361"/>
      <c r="BD15" s="361"/>
      <c r="BE15" s="361"/>
      <c r="BF15" s="361"/>
      <c r="BG15" s="361"/>
      <c r="BH15" s="361">
        <v>11</v>
      </c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35"/>
      <c r="CX15" s="235"/>
      <c r="CY15" s="235"/>
    </row>
    <row r="16" spans="1:126" s="142" customFormat="1" ht="33" customHeight="1" x14ac:dyDescent="0.25">
      <c r="A16" s="364">
        <v>55</v>
      </c>
      <c r="B16" s="149">
        <v>1</v>
      </c>
      <c r="C16" s="149" t="str">
        <f t="shared" ref="C16:C30" si="0">IF(E16="Nam","Ông","Bà")</f>
        <v>Bà</v>
      </c>
      <c r="D16" s="163" t="s">
        <v>144</v>
      </c>
      <c r="E16" s="149" t="s">
        <v>33</v>
      </c>
      <c r="F16" s="164" t="s">
        <v>106</v>
      </c>
      <c r="G16" s="165" t="s">
        <v>11</v>
      </c>
      <c r="H16" s="165">
        <v>3</v>
      </c>
      <c r="I16" s="165" t="s">
        <v>11</v>
      </c>
      <c r="J16" s="166">
        <v>1977</v>
      </c>
      <c r="K16" s="365" t="str">
        <f>IF(AND((M16+0)&gt;0.3,(M16+0)&lt;1.5),"CVụ","- -")</f>
        <v>CVụ</v>
      </c>
      <c r="L16" s="365" t="s">
        <v>105</v>
      </c>
      <c r="M16" s="365" t="str">
        <f>VLOOKUP(L16,'[1]- DLiêu Gốc -'!$B$2:$G$121,2,0)</f>
        <v>0,6</v>
      </c>
      <c r="N16" s="370" t="s">
        <v>145</v>
      </c>
      <c r="O16" s="352" t="s">
        <v>146</v>
      </c>
      <c r="P16" s="167" t="str">
        <f>VLOOKUP(U16,'[1]- DLiêu Gốc -'!$B$2:$G$56,5,0)</f>
        <v>A1</v>
      </c>
      <c r="Q16" s="167" t="str">
        <f>VLOOKUP(U16,'[1]- DLiêu Gốc -'!$B$2:$G$56,6,0)</f>
        <v>- - -</v>
      </c>
      <c r="R16" s="168" t="s">
        <v>42</v>
      </c>
      <c r="S16" s="353" t="str">
        <f t="shared" ref="S16:S30" si="1">IF(OR(U16="Kỹ thuật viên đánh máy",U16="Nhân viên đánh máy",U16="Nhân viên kỹ thuật",U16="Nhân viên văn thư",U16="Nhân viên phục vụ",U16="Lái xe cơ quan",U16="Nhân viên bảo vệ"),"Nhân viên",U16)</f>
        <v>Chuyên viên</v>
      </c>
      <c r="T16" s="169" t="str">
        <f t="shared" ref="T16:T30" si="2">IF(S16="Nhân viên","01.005",V16)</f>
        <v>01.003</v>
      </c>
      <c r="U16" s="170" t="s">
        <v>43</v>
      </c>
      <c r="V16" s="169" t="str">
        <f>VLOOKUP(U16,'[1]- DLiêu Gốc -'!$B$1:$G$121,2,0)</f>
        <v>01.003</v>
      </c>
      <c r="W16" s="171" t="str">
        <f t="shared" ref="W16:W30" si="3">IF(OR(AND(AN16=36,AM16=3),AND(AN16=24,AM16=2),AND(AN16=12,AM16=1)),"Đến $",IF(AND(AN16&lt;12*10,OR(AND(AN16&gt;36,AM16=3),AND(AN16&gt;24,AN16&lt;120,AM16=2),AND(AN16&gt;12,AM16=1))),"Dừng $","Lương"))</f>
        <v>Lương</v>
      </c>
      <c r="X16" s="172">
        <v>5</v>
      </c>
      <c r="Y16" s="173" t="str">
        <f t="shared" ref="Y16:Y30" si="4">IF(Z16&gt;0,"/")</f>
        <v>/</v>
      </c>
      <c r="Z16" s="174">
        <f t="shared" ref="Z16:Z30" si="5">IF(OR(AR16=0.18,AR16=0.2),12,IF(AR16=0.31,10,IF(AR16=0.33,9,IF(AR16=0.34,8,IF(AR16=0.36,6)))))</f>
        <v>9</v>
      </c>
      <c r="AA16" s="175">
        <f t="shared" ref="AA16:AA30" si="6">AQ16+(X16-1)*AR16</f>
        <v>3.66</v>
      </c>
      <c r="AB16" s="176">
        <f t="shared" ref="AB16:AB30" si="7">X16+1</f>
        <v>6</v>
      </c>
      <c r="AC16" s="365" t="str">
        <f t="shared" ref="AC16:AC30" si="8">IF(Z16=X16,"%",IF(Z16&gt;X16,"/"))</f>
        <v>/</v>
      </c>
      <c r="AD16" s="174">
        <f t="shared" ref="AD16:AD30" si="9">IF(AND(Z16=X16,AB16=4),5,IF(AND(Z16=X16,AB16&gt;4),AB16+1,IF(Z16&gt;X16,Z16)))</f>
        <v>9</v>
      </c>
      <c r="AE16" s="177">
        <f t="shared" ref="AE16:AE30" si="10">IF(Z16=X16,"%",IF(Z16&gt;X16,AA16+AR16))</f>
        <v>3.99</v>
      </c>
      <c r="AF16" s="178" t="s">
        <v>10</v>
      </c>
      <c r="AG16" s="179" t="s">
        <v>11</v>
      </c>
      <c r="AH16" s="180" t="s">
        <v>60</v>
      </c>
      <c r="AI16" s="181" t="s">
        <v>11</v>
      </c>
      <c r="AJ16" s="182">
        <v>2015</v>
      </c>
      <c r="AK16" s="183"/>
      <c r="AL16" s="184"/>
      <c r="AM16" s="152">
        <f t="shared" ref="AM16:AM30" si="11">IF(AND(Z16&gt;X16,OR(AR16=0.18,AR16=0.2)),2,IF(AND(Z16&gt;X16,OR(AR16=0.31,AR16=0.33,AR16=0.34,AR16=0.36)),3,IF(Z16=X16,1)))</f>
        <v>3</v>
      </c>
      <c r="AN16" s="152">
        <f t="shared" ref="AN16:AN30" si="12">12*($W$2-AJ16)+($W$4-AH16)-AO16</f>
        <v>-24184</v>
      </c>
      <c r="AO16" s="146"/>
      <c r="AP16" s="185"/>
      <c r="AQ16" s="154">
        <f>VLOOKUP(U16,'[1]- DLiêu Gốc -'!$B$1:$E$56,3,0)</f>
        <v>2.34</v>
      </c>
      <c r="AR16" s="148">
        <f>VLOOKUP(U16,'[1]- DLiêu Gốc -'!$B$1:$E$56,4,0)</f>
        <v>0.33</v>
      </c>
      <c r="AS16" s="186"/>
      <c r="AT16" s="187" t="str">
        <f t="shared" ref="AT16:AT30" si="13">IF(AND(AU16&gt;3,BF16=12),"Đến %",IF(AND(AU16&gt;3,BF16&gt;12,BF16&lt;120),"Dừng %",IF(AND(AU16&gt;3,BF16&lt;12),"PCTN","o-o-o")))</f>
        <v>o-o-o</v>
      </c>
      <c r="AU16" s="188"/>
      <c r="AV16" s="188"/>
      <c r="AW16" s="148">
        <f t="shared" ref="AW16:AW30" si="14">IF(AU16&gt;3,AU16+1,0)</f>
        <v>0</v>
      </c>
      <c r="AX16" s="189"/>
      <c r="AY16" s="190"/>
      <c r="AZ16" s="151"/>
      <c r="BA16" s="151"/>
      <c r="BB16" s="151"/>
      <c r="BC16" s="151"/>
      <c r="BD16" s="151"/>
      <c r="BE16" s="151"/>
      <c r="BF16" s="153" t="str">
        <f t="shared" ref="BF16:BF30" si="15">IF(AU16&gt;3,(($AT$2-BA16)*12+($AT$4-AY16)-BC16),"- - -")</f>
        <v>- - -</v>
      </c>
      <c r="BG16" s="191" t="str">
        <f t="shared" ref="BG16:BG30" si="16">IF(AND(CF16="Hưu",AU16&gt;3),12-(12*(CL16-BA16)+(CK16-AY16))-BC16,"- - -")</f>
        <v>- - -</v>
      </c>
      <c r="BH16" s="351" t="str">
        <f t="shared" ref="BH16:BH30" si="17">IF(BK16="công chức, viên chức","CC,VC",IF(BK16="người lao động","NLĐ","- - -"))</f>
        <v>CC,VC</v>
      </c>
      <c r="BI16" s="148"/>
      <c r="BJ16" s="149"/>
      <c r="BK16" s="146" t="s">
        <v>9</v>
      </c>
      <c r="BL16" s="371" t="str">
        <f t="shared" ref="BL16:BL30" si="18">IF(O16="Cơ sở Học viện Hành chính khu vực miền Trung","B",IF(O16="Phân viện Khu vực Tây Nguyên","C",IF(O16="Cơ sở Học viện Hành chính tại thành phố Hồ Chí Minh","D","A")))</f>
        <v>A</v>
      </c>
      <c r="BM16" s="146" t="str">
        <f t="shared" ref="BM16:BM30" si="19">IF(AND(AB16&gt;0,X16&lt;(Z16-1),BN16&gt;0,BN16&lt;13,OR(AND(BT16="Cùg Ng",($BM$2-BP16)&gt;AM16),BT16="- - -")),"Sớm TT","=&gt; s")</f>
        <v>=&gt; s</v>
      </c>
      <c r="BN16" s="372">
        <f t="shared" ref="BN16:BN30" si="20">IF(AM16=3,36-(12*($BM$2-AJ16)+(12-AH16)-AO16),IF(AM16=2,24-(12*($BM$2-AJ16)+(12-AH16)-AO16),"---"))</f>
        <v>24208</v>
      </c>
      <c r="BO16" s="373" t="str">
        <f t="shared" ref="BO16:BO30" si="21">IF(BP16&gt;1,"S","---")</f>
        <v>S</v>
      </c>
      <c r="BP16" s="374">
        <v>2009</v>
      </c>
      <c r="BQ16" s="375" t="s">
        <v>126</v>
      </c>
      <c r="BR16" s="376"/>
      <c r="BS16" s="376"/>
      <c r="BT16" s="374" t="str">
        <f t="shared" ref="BT16:BT30" si="22">IF(T16=BQ16,"Cùg Ng","- - -")</f>
        <v>Cùg Ng</v>
      </c>
      <c r="BU16" s="377" t="str">
        <f t="shared" ref="BU16:BU30" si="23">IF(BW16&gt;2000,"NN","- - -")</f>
        <v>- - -</v>
      </c>
      <c r="BV16" s="146"/>
      <c r="BW16" s="146"/>
      <c r="BZ16" s="142" t="str">
        <f t="shared" ref="BZ16:BZ30" si="24">IF(CB16&gt;2000,"CN","- - -")</f>
        <v>- - -</v>
      </c>
      <c r="CE16" s="142" t="str">
        <f t="shared" ref="CE16:CE30" si="25">IF(AND(CF16="Hưu",X16&lt;(Z16-1),CM16&gt;0,CM16&lt;18,OR(AU16&lt;4,AND(AU16&gt;3,OR(BG16&lt;3,BG16&gt;5)))),"Lg Sớm",IF(AND(CF16="Hưu",X16&gt;(Z16-2),OR(AR16=0.33,AR16=0.34),OR(AU16&lt;4,AND(AU16&gt;3,OR(BG16&lt;3,BG16&gt;5)))),"Nâng Ngạch",IF(AND(CF16="Hưu",AM16=1,CM16&gt;2,CM16&lt;6,OR(AU16&lt;4,AND(AU16&gt;3,OR(BG16&lt;3,BG16&gt;5)))),"Nâng PcVK cùng QĐ",IF(AND(CF16="Hưu",AU16&gt;3,BG16&gt;2,BG16&lt;6,X16&lt;(Z16-1),CM16&gt;17,OR(AM16&gt;1,AND(AM16=1,OR(CM16&lt;3,CM16&gt;5)))),"Nâng PcNG cùng QĐ",IF(AND(CF16="Hưu",X16&lt;(Z16-1),CM16&gt;0,CM16&lt;18,AU16&gt;3,BG16&gt;2,BG16&lt;6),"Nâng Lg Sớm +(PcNG cùng QĐ)",IF(AND(CF16="Hưu",X16&gt;(Z16-2),OR(AR16=0.33,AR16=0.34),AU16&gt;3,BG16&gt;2,BG16&lt;6),"Nâng Ngạch +(PcNG cùng QĐ)",IF(AND(CF16="Hưu",AM16=1,CM16&gt;2,CM16&lt;6,AU16&gt;3,BG16&gt;2,BG16&lt;6),"Nâng (PcVK +PcNG) cùng QĐ",("---"))))))))</f>
        <v>---</v>
      </c>
      <c r="CF16" s="142" t="str">
        <f t="shared" ref="CF16:CF30" si="26">IF(AND(CQ16&gt;CP16,CQ16&lt;(CP16+13)),"Hưu",IF(AND(CQ16&gt;(CP16+12),CQ16&lt;1000),"Quá","/-/ /-/"))</f>
        <v>/-/ /-/</v>
      </c>
      <c r="CG16" s="142">
        <f t="shared" ref="CG16:CG30" si="27">IF((H16+0)&lt;12,(H16+0)+1,IF((H16+0)=12,1,IF((H16+0)&gt;12,(H16+0)-12)))</f>
        <v>4</v>
      </c>
      <c r="CH16" s="142">
        <f t="shared" ref="CH16:CH30" si="28">IF(OR((H16+0)=12,(H16+0)&gt;12),J16+CP16/12+1,IF(AND((H16+0)&gt;0,(H16+0)&lt;12),J16+CP16/12,"---"))</f>
        <v>2032</v>
      </c>
      <c r="CI16" s="142">
        <f t="shared" ref="CI16:CI30" si="29">IF(AND(CG16&gt;3,CG16&lt;13),CG16-3,IF(CG16&lt;4,CG16-3+12))</f>
        <v>1</v>
      </c>
      <c r="CJ16" s="142">
        <f t="shared" ref="CJ16:CJ30" si="30">IF(CI16&lt;CG16,CH16,IF(CI16&gt;CG16,CH16-1))</f>
        <v>2032</v>
      </c>
      <c r="CK16" s="142">
        <f t="shared" ref="CK16:CK30" si="31">IF(CG16&gt;6,CG16-6,IF(CG16=6,12,IF(CG16&lt;6,CG16+6)))</f>
        <v>10</v>
      </c>
      <c r="CL16" s="142">
        <f t="shared" ref="CL16:CL30" si="32">IF(CG16&gt;6,CH16,IF(CG16&lt;7,CH16-1))</f>
        <v>2031</v>
      </c>
      <c r="CM16" s="142" t="str">
        <f t="shared" ref="CM16:CM30" si="33">IF(AND(CF16="Hưu",AM16=3),36+AO16-(12*(CL16-AJ16)+(CK16-AH16)),IF(AND(CF16="Hưu",AM16=2),24+AO16-(12*(CL16-AJ16)+(CK16-AH16)),IF(AND(CF16="Hưu",AM16=1),12+AO16-(12*(CL16-AJ16)+(CK16-AH16)),"- - -")))</f>
        <v>- - -</v>
      </c>
      <c r="CN16" s="366" t="str">
        <f t="shared" ref="CN16:CN30" si="34">IF(CO16&gt;0,"K.Dài",". .")</f>
        <v>. .</v>
      </c>
      <c r="CO16" s="367"/>
      <c r="CP16" s="152">
        <f t="shared" ref="CP16:CP30" si="35">IF(E16="Nam",(60+CO16)*12,IF(E16="Nữ",(55+CO16)*12,))</f>
        <v>660</v>
      </c>
      <c r="CQ16" s="147">
        <f t="shared" ref="CQ16:CQ30" si="36">12*($CF$4-J16)+(12-H16)</f>
        <v>-23715</v>
      </c>
      <c r="CR16" s="185">
        <f t="shared" ref="CR16:CR30" si="37">$CV$4-J16</f>
        <v>-1977</v>
      </c>
      <c r="CS16" s="154" t="str">
        <f t="shared" ref="CS16:CS30" si="38">IF(AND(CR16&lt;35,E16="Nam"),"Nam dưới 35",IF(AND(CR16&lt;30,E16="Nữ"),"Nữ dưới 30",IF(AND(CR16&gt;34,CR16&lt;46,E16="Nam"),"Nam từ 35 - 45",IF(AND(CR16&gt;29,CR16&lt;41,E16="Nữ"),"Nữ từ 30 - 40",IF(AND(CR16&gt;45,CR16&lt;56,E16="Nam"),"Nam trên 45 - 55",IF(AND(CR16&gt;40,CR16&lt;51,E16="Nữ"),"Nữ trên 40 - 50",IF(AND(CR16&gt;55,E16="Nam"),"Nam trên 55","Nữ trên 50")))))))</f>
        <v>Nữ dưới 30</v>
      </c>
      <c r="CT16" s="148"/>
      <c r="CU16" s="186"/>
      <c r="CV16" s="187" t="str">
        <f t="shared" ref="CV16:CV30" si="39">IF(CR16&lt;31,"Đến 30",IF(AND(CR16&gt;30,CR16&lt;46),"31 - 45",IF(AND(CR16&gt;45,CR16&lt;70),"Trên 45")))</f>
        <v>Đến 30</v>
      </c>
      <c r="CW16" s="192" t="str">
        <f t="shared" ref="CW16:CW30" si="40">IF(CX16&gt;0,"TD","--")</f>
        <v>TD</v>
      </c>
      <c r="CX16" s="192">
        <v>2009</v>
      </c>
      <c r="CY16" s="148"/>
      <c r="CZ16" s="193"/>
      <c r="DA16" s="194"/>
      <c r="DB16" s="151"/>
      <c r="DC16" s="151"/>
      <c r="DE16" s="142" t="s">
        <v>120</v>
      </c>
      <c r="DF16" s="142" t="s">
        <v>147</v>
      </c>
      <c r="DG16" s="142" t="s">
        <v>145</v>
      </c>
      <c r="DH16" s="142" t="s">
        <v>10</v>
      </c>
      <c r="DI16" s="142" t="s">
        <v>11</v>
      </c>
      <c r="DJ16" s="142" t="s">
        <v>60</v>
      </c>
      <c r="DK16" s="142" t="s">
        <v>11</v>
      </c>
      <c r="DL16" s="142">
        <v>2012</v>
      </c>
      <c r="DM16" s="142">
        <f t="shared" ref="DM16:DM30" si="41">(DH16+0)-(DO16+0)</f>
        <v>0</v>
      </c>
      <c r="DN16" s="142" t="str">
        <f t="shared" ref="DN16:DN30" si="42">IF(DM16&gt;0,"Sửa","- - -")</f>
        <v>- - -</v>
      </c>
      <c r="DO16" s="142" t="s">
        <v>10</v>
      </c>
      <c r="DP16" s="142" t="s">
        <v>11</v>
      </c>
      <c r="DQ16" s="142" t="s">
        <v>60</v>
      </c>
      <c r="DR16" s="142" t="s">
        <v>11</v>
      </c>
      <c r="DS16" s="142">
        <v>2012</v>
      </c>
      <c r="DU16" s="142" t="str">
        <f t="shared" ref="DU16:DU30" si="43">IF(AND(AR16&gt;0.34,AB16=1,OR(AQ16=6.2,AQ16=5.75)),((AQ16-DT16)-2*0.34),IF(AND(AR16&gt;0.33,AB16=1,OR(AQ16=4.4,AQ16=4)),((AQ16-DT16)-2*0.33),"- - -"))</f>
        <v>- - -</v>
      </c>
      <c r="DV16" s="142" t="str">
        <f t="shared" ref="DV16:DV30" si="44">IF(CF16="Hưu",12*(CL16-AJ16)+(CK16-AH16),"---")</f>
        <v>---</v>
      </c>
    </row>
    <row r="17" spans="1:126" s="142" customFormat="1" ht="33" customHeight="1" x14ac:dyDescent="0.25">
      <c r="A17" s="364">
        <v>114</v>
      </c>
      <c r="B17" s="149">
        <v>2</v>
      </c>
      <c r="C17" s="149" t="str">
        <f t="shared" si="0"/>
        <v>Bà</v>
      </c>
      <c r="D17" s="163" t="s">
        <v>148</v>
      </c>
      <c r="E17" s="149" t="s">
        <v>33</v>
      </c>
      <c r="F17" s="164" t="s">
        <v>10</v>
      </c>
      <c r="G17" s="165" t="s">
        <v>11</v>
      </c>
      <c r="H17" s="165">
        <v>6</v>
      </c>
      <c r="I17" s="165" t="s">
        <v>11</v>
      </c>
      <c r="J17" s="166">
        <v>1966</v>
      </c>
      <c r="K17" s="365" t="str">
        <f>IF(AND((M17+0)&gt;0.3,(M17+0)&lt;1.5),"CVụ","- -")</f>
        <v>CVụ</v>
      </c>
      <c r="L17" s="365" t="s">
        <v>125</v>
      </c>
      <c r="M17" s="365" t="str">
        <f>VLOOKUP(L17,'[1]- DLiêu Gốc -'!$B$2:$G$121,2,0)</f>
        <v>0,4</v>
      </c>
      <c r="N17" s="370" t="s">
        <v>149</v>
      </c>
      <c r="O17" s="352" t="s">
        <v>48</v>
      </c>
      <c r="P17" s="167" t="str">
        <f>VLOOKUP(U17,'[1]- DLiêu Gốc -'!$B$2:$G$56,5,0)</f>
        <v>A1</v>
      </c>
      <c r="Q17" s="167" t="str">
        <f>VLOOKUP(U17,'[1]- DLiêu Gốc -'!$B$2:$G$56,6,0)</f>
        <v>- - -</v>
      </c>
      <c r="R17" s="168" t="s">
        <v>42</v>
      </c>
      <c r="S17" s="353" t="str">
        <f t="shared" si="1"/>
        <v>Chuyên viên</v>
      </c>
      <c r="T17" s="169" t="str">
        <f t="shared" si="2"/>
        <v>01.003</v>
      </c>
      <c r="U17" s="170" t="s">
        <v>43</v>
      </c>
      <c r="V17" s="169" t="str">
        <f>VLOOKUP(U17,'[1]- DLiêu Gốc -'!$B$1:$G$121,2,0)</f>
        <v>01.003</v>
      </c>
      <c r="W17" s="171" t="str">
        <f t="shared" si="3"/>
        <v>Lương</v>
      </c>
      <c r="X17" s="172">
        <v>4</v>
      </c>
      <c r="Y17" s="173" t="str">
        <f t="shared" si="4"/>
        <v>/</v>
      </c>
      <c r="Z17" s="174">
        <f t="shared" si="5"/>
        <v>9</v>
      </c>
      <c r="AA17" s="175">
        <f t="shared" si="6"/>
        <v>3.33</v>
      </c>
      <c r="AB17" s="176">
        <f t="shared" si="7"/>
        <v>5</v>
      </c>
      <c r="AC17" s="365" t="str">
        <f t="shared" si="8"/>
        <v>/</v>
      </c>
      <c r="AD17" s="174">
        <f t="shared" si="9"/>
        <v>9</v>
      </c>
      <c r="AE17" s="177">
        <f t="shared" si="10"/>
        <v>3.66</v>
      </c>
      <c r="AF17" s="178" t="s">
        <v>10</v>
      </c>
      <c r="AG17" s="179" t="s">
        <v>11</v>
      </c>
      <c r="AH17" s="180" t="s">
        <v>60</v>
      </c>
      <c r="AI17" s="181" t="s">
        <v>11</v>
      </c>
      <c r="AJ17" s="182">
        <v>2015</v>
      </c>
      <c r="AK17" s="183"/>
      <c r="AL17" s="184"/>
      <c r="AM17" s="152">
        <f t="shared" si="11"/>
        <v>3</v>
      </c>
      <c r="AN17" s="152">
        <f t="shared" si="12"/>
        <v>-24184</v>
      </c>
      <c r="AO17" s="146"/>
      <c r="AP17" s="185"/>
      <c r="AQ17" s="154">
        <f>VLOOKUP(U17,'[1]- DLiêu Gốc -'!$B$1:$E$56,3,0)</f>
        <v>2.34</v>
      </c>
      <c r="AR17" s="148">
        <f>VLOOKUP(U17,'[1]- DLiêu Gốc -'!$B$1:$E$56,4,0)</f>
        <v>0.33</v>
      </c>
      <c r="AS17" s="186"/>
      <c r="AT17" s="187" t="str">
        <f t="shared" si="13"/>
        <v>o-o-o</v>
      </c>
      <c r="AU17" s="188"/>
      <c r="AV17" s="188"/>
      <c r="AW17" s="148">
        <f t="shared" si="14"/>
        <v>0</v>
      </c>
      <c r="AX17" s="189"/>
      <c r="AY17" s="190"/>
      <c r="AZ17" s="151"/>
      <c r="BA17" s="151"/>
      <c r="BB17" s="151"/>
      <c r="BC17" s="151"/>
      <c r="BD17" s="151"/>
      <c r="BE17" s="151"/>
      <c r="BF17" s="153" t="str">
        <f t="shared" si="15"/>
        <v>- - -</v>
      </c>
      <c r="BG17" s="191" t="str">
        <f t="shared" si="16"/>
        <v>- - -</v>
      </c>
      <c r="BH17" s="351" t="str">
        <f t="shared" si="17"/>
        <v>CC,VC</v>
      </c>
      <c r="BI17" s="148"/>
      <c r="BJ17" s="149"/>
      <c r="BK17" s="146" t="s">
        <v>9</v>
      </c>
      <c r="BL17" s="371" t="str">
        <f t="shared" si="18"/>
        <v>A</v>
      </c>
      <c r="BM17" s="146" t="str">
        <f t="shared" si="19"/>
        <v>=&gt; s</v>
      </c>
      <c r="BN17" s="372">
        <f t="shared" si="20"/>
        <v>24208</v>
      </c>
      <c r="BO17" s="373" t="str">
        <f t="shared" si="21"/>
        <v>---</v>
      </c>
      <c r="BP17" s="374"/>
      <c r="BQ17" s="375"/>
      <c r="BR17" s="376"/>
      <c r="BS17" s="376"/>
      <c r="BT17" s="374" t="str">
        <f t="shared" si="22"/>
        <v>- - -</v>
      </c>
      <c r="BU17" s="377" t="str">
        <f t="shared" si="23"/>
        <v>- - -</v>
      </c>
      <c r="BV17" s="146"/>
      <c r="BW17" s="146"/>
      <c r="BZ17" s="142" t="str">
        <f t="shared" si="24"/>
        <v>- - -</v>
      </c>
      <c r="CE17" s="142" t="str">
        <f t="shared" si="25"/>
        <v>---</v>
      </c>
      <c r="CF17" s="142" t="str">
        <f t="shared" si="26"/>
        <v>/-/ /-/</v>
      </c>
      <c r="CG17" s="142">
        <f t="shared" si="27"/>
        <v>7</v>
      </c>
      <c r="CH17" s="142">
        <f t="shared" si="28"/>
        <v>2021</v>
      </c>
      <c r="CI17" s="142">
        <f t="shared" si="29"/>
        <v>4</v>
      </c>
      <c r="CJ17" s="142">
        <f t="shared" si="30"/>
        <v>2021</v>
      </c>
      <c r="CK17" s="142">
        <f t="shared" si="31"/>
        <v>1</v>
      </c>
      <c r="CL17" s="142">
        <f t="shared" si="32"/>
        <v>2021</v>
      </c>
      <c r="CM17" s="142" t="str">
        <f t="shared" si="33"/>
        <v>- - -</v>
      </c>
      <c r="CN17" s="366" t="str">
        <f t="shared" si="34"/>
        <v>. .</v>
      </c>
      <c r="CO17" s="367"/>
      <c r="CP17" s="152">
        <f t="shared" si="35"/>
        <v>660</v>
      </c>
      <c r="CQ17" s="147">
        <f t="shared" si="36"/>
        <v>-23586</v>
      </c>
      <c r="CR17" s="185">
        <f t="shared" si="37"/>
        <v>-1966</v>
      </c>
      <c r="CS17" s="154" t="str">
        <f t="shared" si="38"/>
        <v>Nữ dưới 30</v>
      </c>
      <c r="CT17" s="148"/>
      <c r="CU17" s="186"/>
      <c r="CV17" s="187" t="str">
        <f t="shared" si="39"/>
        <v>Đến 30</v>
      </c>
      <c r="CW17" s="192" t="str">
        <f t="shared" si="40"/>
        <v>TD</v>
      </c>
      <c r="CX17" s="192">
        <v>2008</v>
      </c>
      <c r="CY17" s="148"/>
      <c r="CZ17" s="193"/>
      <c r="DA17" s="194"/>
      <c r="DB17" s="151"/>
      <c r="DC17" s="151"/>
      <c r="DG17" s="142" t="s">
        <v>149</v>
      </c>
      <c r="DH17" s="142" t="s">
        <v>10</v>
      </c>
      <c r="DI17" s="142" t="s">
        <v>11</v>
      </c>
      <c r="DJ17" s="142" t="s">
        <v>60</v>
      </c>
      <c r="DK17" s="142" t="s">
        <v>11</v>
      </c>
      <c r="DL17" s="142">
        <v>2012</v>
      </c>
      <c r="DM17" s="142">
        <f t="shared" si="41"/>
        <v>0</v>
      </c>
      <c r="DN17" s="142" t="str">
        <f t="shared" si="42"/>
        <v>- - -</v>
      </c>
      <c r="DO17" s="142" t="s">
        <v>10</v>
      </c>
      <c r="DP17" s="142" t="s">
        <v>11</v>
      </c>
      <c r="DQ17" s="142" t="s">
        <v>60</v>
      </c>
      <c r="DR17" s="142" t="s">
        <v>11</v>
      </c>
      <c r="DS17" s="142">
        <v>2012</v>
      </c>
      <c r="DU17" s="142" t="str">
        <f t="shared" si="43"/>
        <v>- - -</v>
      </c>
      <c r="DV17" s="142" t="str">
        <f t="shared" si="44"/>
        <v>---</v>
      </c>
    </row>
    <row r="18" spans="1:126" s="142" customFormat="1" ht="33" customHeight="1" x14ac:dyDescent="0.25">
      <c r="A18" s="364">
        <v>123</v>
      </c>
      <c r="B18" s="149">
        <v>3</v>
      </c>
      <c r="C18" s="149" t="str">
        <f t="shared" si="0"/>
        <v>Bà</v>
      </c>
      <c r="D18" s="163" t="s">
        <v>150</v>
      </c>
      <c r="E18" s="149" t="s">
        <v>33</v>
      </c>
      <c r="F18" s="164" t="s">
        <v>127</v>
      </c>
      <c r="G18" s="165" t="s">
        <v>11</v>
      </c>
      <c r="H18" s="165" t="s">
        <v>12</v>
      </c>
      <c r="I18" s="165" t="s">
        <v>11</v>
      </c>
      <c r="J18" s="166" t="s">
        <v>151</v>
      </c>
      <c r="K18" s="365"/>
      <c r="L18" s="365"/>
      <c r="M18" s="365" t="e">
        <f>VLOOKUP(L18,'[1]- DLiêu Gốc -'!$B$2:$G$121,2,0)</f>
        <v>#N/A</v>
      </c>
      <c r="N18" s="370" t="s">
        <v>152</v>
      </c>
      <c r="O18" s="352" t="s">
        <v>48</v>
      </c>
      <c r="P18" s="167" t="str">
        <f>VLOOKUP(U18,'[1]- DLiêu Gốc -'!$B$2:$G$56,5,0)</f>
        <v>A1</v>
      </c>
      <c r="Q18" s="167" t="str">
        <f>VLOOKUP(U18,'[1]- DLiêu Gốc -'!$B$2:$G$56,6,0)</f>
        <v>- - -</v>
      </c>
      <c r="R18" s="168" t="s">
        <v>42</v>
      </c>
      <c r="S18" s="353" t="str">
        <f t="shared" si="1"/>
        <v>Chuyên viên</v>
      </c>
      <c r="T18" s="169" t="str">
        <f t="shared" si="2"/>
        <v>01.003</v>
      </c>
      <c r="U18" s="170" t="s">
        <v>43</v>
      </c>
      <c r="V18" s="169" t="str">
        <f>VLOOKUP(U18,'[1]- DLiêu Gốc -'!$B$1:$G$121,2,0)</f>
        <v>01.003</v>
      </c>
      <c r="W18" s="171" t="str">
        <f t="shared" si="3"/>
        <v>Lương</v>
      </c>
      <c r="X18" s="172">
        <v>3</v>
      </c>
      <c r="Y18" s="173" t="str">
        <f t="shared" si="4"/>
        <v>/</v>
      </c>
      <c r="Z18" s="174">
        <f t="shared" si="5"/>
        <v>9</v>
      </c>
      <c r="AA18" s="175">
        <f t="shared" si="6"/>
        <v>3</v>
      </c>
      <c r="AB18" s="176">
        <f t="shared" si="7"/>
        <v>4</v>
      </c>
      <c r="AC18" s="365" t="str">
        <f t="shared" si="8"/>
        <v>/</v>
      </c>
      <c r="AD18" s="174">
        <f t="shared" si="9"/>
        <v>9</v>
      </c>
      <c r="AE18" s="177">
        <f t="shared" si="10"/>
        <v>3.33</v>
      </c>
      <c r="AF18" s="178" t="s">
        <v>10</v>
      </c>
      <c r="AG18" s="179" t="s">
        <v>11</v>
      </c>
      <c r="AH18" s="180" t="s">
        <v>60</v>
      </c>
      <c r="AI18" s="181" t="s">
        <v>11</v>
      </c>
      <c r="AJ18" s="182">
        <v>2015</v>
      </c>
      <c r="AK18" s="183"/>
      <c r="AL18" s="184"/>
      <c r="AM18" s="152">
        <f t="shared" si="11"/>
        <v>3</v>
      </c>
      <c r="AN18" s="152">
        <f t="shared" si="12"/>
        <v>-24184</v>
      </c>
      <c r="AO18" s="146"/>
      <c r="AP18" s="185"/>
      <c r="AQ18" s="154">
        <f>VLOOKUP(U18,'[1]- DLiêu Gốc -'!$B$1:$E$56,3,0)</f>
        <v>2.34</v>
      </c>
      <c r="AR18" s="148">
        <f>VLOOKUP(U18,'[1]- DLiêu Gốc -'!$B$1:$E$56,4,0)</f>
        <v>0.33</v>
      </c>
      <c r="AS18" s="186"/>
      <c r="AT18" s="187" t="str">
        <f t="shared" si="13"/>
        <v>o-o-o</v>
      </c>
      <c r="AU18" s="188"/>
      <c r="AV18" s="188"/>
      <c r="AW18" s="148">
        <f t="shared" si="14"/>
        <v>0</v>
      </c>
      <c r="AX18" s="189"/>
      <c r="AY18" s="190"/>
      <c r="AZ18" s="151"/>
      <c r="BA18" s="151"/>
      <c r="BB18" s="151"/>
      <c r="BC18" s="151"/>
      <c r="BD18" s="151"/>
      <c r="BE18" s="151"/>
      <c r="BF18" s="153" t="str">
        <f t="shared" si="15"/>
        <v>- - -</v>
      </c>
      <c r="BG18" s="191" t="str">
        <f t="shared" si="16"/>
        <v>- - -</v>
      </c>
      <c r="BH18" s="351" t="str">
        <f t="shared" si="17"/>
        <v>CC,VC</v>
      </c>
      <c r="BI18" s="148"/>
      <c r="BJ18" s="149"/>
      <c r="BK18" s="146" t="s">
        <v>9</v>
      </c>
      <c r="BL18" s="371" t="str">
        <f t="shared" si="18"/>
        <v>A</v>
      </c>
      <c r="BM18" s="146" t="str">
        <f t="shared" si="19"/>
        <v>=&gt; s</v>
      </c>
      <c r="BN18" s="372">
        <f t="shared" si="20"/>
        <v>24208</v>
      </c>
      <c r="BO18" s="373" t="str">
        <f t="shared" si="21"/>
        <v>---</v>
      </c>
      <c r="BP18" s="374"/>
      <c r="BQ18" s="375"/>
      <c r="BR18" s="376"/>
      <c r="BS18" s="376"/>
      <c r="BT18" s="374" t="str">
        <f t="shared" si="22"/>
        <v>- - -</v>
      </c>
      <c r="BU18" s="377" t="str">
        <f t="shared" si="23"/>
        <v>- - -</v>
      </c>
      <c r="BV18" s="146"/>
      <c r="BW18" s="146"/>
      <c r="BZ18" s="142" t="str">
        <f t="shared" si="24"/>
        <v>- - -</v>
      </c>
      <c r="CE18" s="142" t="str">
        <f t="shared" si="25"/>
        <v>---</v>
      </c>
      <c r="CF18" s="142" t="str">
        <f t="shared" si="26"/>
        <v>/-/ /-/</v>
      </c>
      <c r="CG18" s="142">
        <f t="shared" si="27"/>
        <v>8</v>
      </c>
      <c r="CH18" s="142">
        <f t="shared" si="28"/>
        <v>2037</v>
      </c>
      <c r="CI18" s="142">
        <f t="shared" si="29"/>
        <v>5</v>
      </c>
      <c r="CJ18" s="142">
        <f t="shared" si="30"/>
        <v>2037</v>
      </c>
      <c r="CK18" s="142">
        <f t="shared" si="31"/>
        <v>2</v>
      </c>
      <c r="CL18" s="142">
        <f t="shared" si="32"/>
        <v>2037</v>
      </c>
      <c r="CM18" s="142" t="str">
        <f t="shared" si="33"/>
        <v>- - -</v>
      </c>
      <c r="CN18" s="366" t="str">
        <f t="shared" si="34"/>
        <v>. .</v>
      </c>
      <c r="CO18" s="367"/>
      <c r="CP18" s="152">
        <f t="shared" si="35"/>
        <v>660</v>
      </c>
      <c r="CQ18" s="147">
        <f t="shared" si="36"/>
        <v>-23779</v>
      </c>
      <c r="CR18" s="185">
        <f t="shared" si="37"/>
        <v>-1982</v>
      </c>
      <c r="CS18" s="154" t="str">
        <f t="shared" si="38"/>
        <v>Nữ dưới 30</v>
      </c>
      <c r="CT18" s="148"/>
      <c r="CU18" s="186"/>
      <c r="CV18" s="187" t="str">
        <f t="shared" si="39"/>
        <v>Đến 30</v>
      </c>
      <c r="CW18" s="192" t="str">
        <f t="shared" si="40"/>
        <v>TD</v>
      </c>
      <c r="CX18" s="192">
        <v>2012</v>
      </c>
      <c r="CY18" s="148"/>
      <c r="CZ18" s="193"/>
      <c r="DA18" s="194"/>
      <c r="DB18" s="151"/>
      <c r="DC18" s="151"/>
      <c r="DG18" s="142" t="s">
        <v>152</v>
      </c>
      <c r="DH18" s="142" t="s">
        <v>10</v>
      </c>
      <c r="DI18" s="142" t="s">
        <v>11</v>
      </c>
      <c r="DJ18" s="142" t="s">
        <v>60</v>
      </c>
      <c r="DK18" s="142" t="s">
        <v>11</v>
      </c>
      <c r="DL18" s="142">
        <v>2012</v>
      </c>
      <c r="DM18" s="142">
        <f t="shared" si="41"/>
        <v>0</v>
      </c>
      <c r="DN18" s="142" t="str">
        <f t="shared" si="42"/>
        <v>- - -</v>
      </c>
      <c r="DO18" s="142" t="s">
        <v>10</v>
      </c>
      <c r="DP18" s="142" t="s">
        <v>11</v>
      </c>
      <c r="DQ18" s="142" t="s">
        <v>60</v>
      </c>
      <c r="DR18" s="142" t="s">
        <v>11</v>
      </c>
      <c r="DS18" s="142">
        <v>2012</v>
      </c>
      <c r="DU18" s="142" t="str">
        <f t="shared" si="43"/>
        <v>- - -</v>
      </c>
      <c r="DV18" s="142" t="str">
        <f t="shared" si="44"/>
        <v>---</v>
      </c>
    </row>
    <row r="19" spans="1:126" s="142" customFormat="1" ht="33" customHeight="1" x14ac:dyDescent="0.25">
      <c r="A19" s="364">
        <v>199</v>
      </c>
      <c r="B19" s="149">
        <v>4</v>
      </c>
      <c r="C19" s="149" t="str">
        <f>IF(E19="Nam","Ông","Bà")</f>
        <v>Bà</v>
      </c>
      <c r="D19" s="163" t="s">
        <v>133</v>
      </c>
      <c r="E19" s="149" t="s">
        <v>33</v>
      </c>
      <c r="F19" s="164" t="s">
        <v>134</v>
      </c>
      <c r="G19" s="165" t="s">
        <v>11</v>
      </c>
      <c r="H19" s="165" t="s">
        <v>41</v>
      </c>
      <c r="I19" s="165" t="s">
        <v>11</v>
      </c>
      <c r="J19" s="166" t="s">
        <v>135</v>
      </c>
      <c r="K19" s="365"/>
      <c r="L19" s="365"/>
      <c r="M19" s="365" t="e">
        <f>VLOOKUP(L19,'[1]- DLiêu Gốc -'!$B$2:$G$121,2,0)</f>
        <v>#N/A</v>
      </c>
      <c r="N19" s="370" t="s">
        <v>136</v>
      </c>
      <c r="O19" s="352" t="s">
        <v>132</v>
      </c>
      <c r="P19" s="167" t="str">
        <f>VLOOKUP(U19,'[1]- DLiêu Gốc -'!$B$2:$G$56,5,0)</f>
        <v>A1</v>
      </c>
      <c r="Q19" s="167" t="str">
        <f>VLOOKUP(U19,'[1]- DLiêu Gốc -'!$B$2:$G$56,6,0)</f>
        <v>- - -</v>
      </c>
      <c r="R19" s="168" t="s">
        <v>35</v>
      </c>
      <c r="S19" s="353" t="str">
        <f>IF(OR(U19="Kỹ thuật viên đánh máy",U19="Nhân viên đánh máy",U19="Nhân viên kỹ thuật",U19="Nhân viên văn thư",U19="Nhân viên phục vụ",U19="Lái xe cơ quan",U19="Nhân viên bảo vệ"),"Nhân viên",U19)</f>
        <v>Giảng viên (hạng III)</v>
      </c>
      <c r="T19" s="169" t="str">
        <f>IF(S19="Nhân viên","01.005",V19)</f>
        <v>V.07.01.03</v>
      </c>
      <c r="U19" s="170" t="s">
        <v>36</v>
      </c>
      <c r="V19" s="169" t="str">
        <f>VLOOKUP(U19,'[1]- DLiêu Gốc -'!$B$1:$G$121,2,0)</f>
        <v>V.07.01.03</v>
      </c>
      <c r="W19" s="171" t="str">
        <f>IF(OR(AND(AN19=36,AM19=3),AND(AN19=24,AM19=2),AND(AN19=12,AM19=1)),"Đến $",IF(AND(AN19&lt;12*10,OR(AND(AN19&gt;36,AM19=3),AND(AN19&gt;24,AN19&lt;120,AM19=2),AND(AN19&gt;12,AM19=1))),"Dừng $","Lương"))</f>
        <v>Lương</v>
      </c>
      <c r="X19" s="172">
        <v>5</v>
      </c>
      <c r="Y19" s="173" t="str">
        <f>IF(Z19&gt;0,"/")</f>
        <v>/</v>
      </c>
      <c r="Z19" s="174">
        <f>IF(OR(AR19=0.18,AR19=0.2),12,IF(AR19=0.31,10,IF(AR19=0.33,9,IF(AR19=0.34,8,IF(AR19=0.36,6)))))</f>
        <v>9</v>
      </c>
      <c r="AA19" s="175">
        <f>AQ19+(X19-1)*AR19</f>
        <v>3.66</v>
      </c>
      <c r="AB19" s="176">
        <f>X19+1</f>
        <v>6</v>
      </c>
      <c r="AC19" s="365" t="str">
        <f>IF(Z19=X19,"%",IF(Z19&gt;X19,"/"))</f>
        <v>/</v>
      </c>
      <c r="AD19" s="174">
        <f>IF(AND(Z19=X19,AB19=4),5,IF(AND(Z19=X19,AB19&gt;4),AB19+1,IF(Z19&gt;X19,Z19)))</f>
        <v>9</v>
      </c>
      <c r="AE19" s="177">
        <f>IF(Z19=X19,"%",IF(Z19&gt;X19,AA19+AR19))</f>
        <v>3.99</v>
      </c>
      <c r="AF19" s="178" t="s">
        <v>10</v>
      </c>
      <c r="AG19" s="179" t="s">
        <v>11</v>
      </c>
      <c r="AH19" s="180" t="s">
        <v>60</v>
      </c>
      <c r="AI19" s="181" t="s">
        <v>11</v>
      </c>
      <c r="AJ19" s="182">
        <v>2015</v>
      </c>
      <c r="AK19" s="183"/>
      <c r="AL19" s="184">
        <v>4</v>
      </c>
      <c r="AM19" s="152">
        <f>IF(AND(Z19&gt;X19,OR(AR19=0.18,AR19=0.2)),2,IF(AND(Z19&gt;X19,OR(AR19=0.31,AR19=0.33,AR19=0.34,AR19=0.36)),3,IF(Z19=X19,1)))</f>
        <v>3</v>
      </c>
      <c r="AN19" s="152">
        <f>12*($W$2-AJ19)+($W$4-AH19)-AO19</f>
        <v>-24184</v>
      </c>
      <c r="AO19" s="146"/>
      <c r="AP19" s="185"/>
      <c r="AQ19" s="154">
        <f>VLOOKUP(U19,'[1]- DLiêu Gốc -'!$B$1:$E$56,3,0)</f>
        <v>2.34</v>
      </c>
      <c r="AR19" s="148">
        <f>VLOOKUP(U19,'[1]- DLiêu Gốc -'!$B$1:$E$56,4,0)</f>
        <v>0.33</v>
      </c>
      <c r="AS19" s="186"/>
      <c r="AT19" s="187" t="str">
        <f>IF(AND(AU19&gt;3,BF19=12),"Đến %",IF(AND(AU19&gt;3,BF19&gt;12,BF19&lt;120),"Dừng %",IF(AND(AU19&gt;3,BF19&lt;12),"PCTN","o-o-o")))</f>
        <v>o-o-o</v>
      </c>
      <c r="AU19" s="188"/>
      <c r="AV19" s="188"/>
      <c r="AW19" s="148">
        <f>IF(AU19&gt;3,AU19+1,0)</f>
        <v>0</v>
      </c>
      <c r="AX19" s="189"/>
      <c r="AY19" s="190"/>
      <c r="AZ19" s="151"/>
      <c r="BA19" s="151"/>
      <c r="BB19" s="151"/>
      <c r="BC19" s="151"/>
      <c r="BD19" s="151"/>
      <c r="BE19" s="151"/>
      <c r="BF19" s="153" t="str">
        <f>IF(AU19&gt;3,(($AT$2-BA19)*12+($AT$4-AY19)-BC19),"- - -")</f>
        <v>- - -</v>
      </c>
      <c r="BG19" s="191" t="str">
        <f>IF(AND(CF19="Hưu",AU19&gt;3),12-(12*(CL19-BA19)+(CK19-AY19))-BC19,"- - -")</f>
        <v>- - -</v>
      </c>
      <c r="BH19" s="351" t="str">
        <f>IF(BK19="công chức, viên chức","CC,VC",IF(BK19="người lao động","NLĐ","- - -"))</f>
        <v>CC,VC</v>
      </c>
      <c r="BI19" s="148"/>
      <c r="BJ19" s="149"/>
      <c r="BK19" s="146" t="s">
        <v>9</v>
      </c>
      <c r="BL19" s="371" t="str">
        <f>IF(O19="Cơ sở Học viện Hành chính khu vực miền Trung","B",IF(O19="Phân viện Khu vực Tây Nguyên","C",IF(O19="Cơ sở Học viện Hành chính tại thành phố Hồ Chí Minh","D","A")))</f>
        <v>A</v>
      </c>
      <c r="BM19" s="146" t="str">
        <f>IF(AND(AB19&gt;0,X19&lt;(Z19-1),BN19&gt;0,BN19&lt;13,OR(AND(BT19="Cùg Ng",($BM$2-BP19)&gt;AM19),BT19="- - -")),"Sớm TT","=&gt; s")</f>
        <v>=&gt; s</v>
      </c>
      <c r="BN19" s="372">
        <f>IF(AM19=3,36-(12*($BM$2-AJ19)+(12-AH19)-AO19),IF(AM19=2,24-(12*($BM$2-AJ19)+(12-AH19)-AO19),"---"))</f>
        <v>24208</v>
      </c>
      <c r="BO19" s="373" t="str">
        <f>IF(BP19&gt;1,"S","---")</f>
        <v>S</v>
      </c>
      <c r="BP19" s="374">
        <v>2012</v>
      </c>
      <c r="BQ19" s="375" t="s">
        <v>37</v>
      </c>
      <c r="BR19" s="376"/>
      <c r="BS19" s="376"/>
      <c r="BT19" s="374" t="str">
        <f>IF(T19=BQ19,"Cùg Ng","- - -")</f>
        <v>Cùg Ng</v>
      </c>
      <c r="BU19" s="377" t="str">
        <f>IF(BW19&gt;2000,"NN","- - -")</f>
        <v>- - -</v>
      </c>
      <c r="BV19" s="146"/>
      <c r="BW19" s="146"/>
      <c r="BZ19" s="142" t="str">
        <f>IF(CB19&gt;2000,"CN","- - -")</f>
        <v>- - -</v>
      </c>
      <c r="CE19" s="142" t="str">
        <f>IF(AND(CF19="Hưu",X19&lt;(Z19-1),CM19&gt;0,CM19&lt;18,OR(AU19&lt;4,AND(AU19&gt;3,OR(BG19&lt;3,BG19&gt;5)))),"Lg Sớm",IF(AND(CF19="Hưu",X19&gt;(Z19-2),OR(AR19=0.33,AR19=0.34),OR(AU19&lt;4,AND(AU19&gt;3,OR(BG19&lt;3,BG19&gt;5)))),"Nâng Ngạch",IF(AND(CF19="Hưu",AM19=1,CM19&gt;2,CM19&lt;6,OR(AU19&lt;4,AND(AU19&gt;3,OR(BG19&lt;3,BG19&gt;5)))),"Nâng PcVK cùng QĐ",IF(AND(CF19="Hưu",AU19&gt;3,BG19&gt;2,BG19&lt;6,X19&lt;(Z19-1),CM19&gt;17,OR(AM19&gt;1,AND(AM19=1,OR(CM19&lt;3,CM19&gt;5)))),"Nâng PcNG cùng QĐ",IF(AND(CF19="Hưu",X19&lt;(Z19-1),CM19&gt;0,CM19&lt;18,AU19&gt;3,BG19&gt;2,BG19&lt;6),"Nâng Lg Sớm +(PcNG cùng QĐ)",IF(AND(CF19="Hưu",X19&gt;(Z19-2),OR(AR19=0.33,AR19=0.34),AU19&gt;3,BG19&gt;2,BG19&lt;6),"Nâng Ngạch +(PcNG cùng QĐ)",IF(AND(CF19="Hưu",AM19=1,CM19&gt;2,CM19&lt;6,AU19&gt;3,BG19&gt;2,BG19&lt;6),"Nâng (PcVK +PcNG) cùng QĐ",("---"))))))))</f>
        <v>---</v>
      </c>
      <c r="CF19" s="142" t="str">
        <f>IF(AND(CQ19&gt;CP19,CQ19&lt;(CP19+13)),"Hưu",IF(AND(CQ19&gt;(CP19+12),CQ19&lt;1000),"Quá","/-/ /-/"))</f>
        <v>/-/ /-/</v>
      </c>
      <c r="CG19" s="142">
        <f>IF((H19+0)&lt;12,(H19+0)+1,IF((H19+0)=12,1,IF((H19+0)&gt;12,(H19+0)-12)))</f>
        <v>12</v>
      </c>
      <c r="CH19" s="142">
        <f>IF(OR((H19+0)=12,(H19+0)&gt;12),J19+CP19/12+1,IF(AND((H19+0)&gt;0,(H19+0)&lt;12),J19+CP19/12,"---"))</f>
        <v>2032</v>
      </c>
      <c r="CI19" s="142">
        <f>IF(AND(CG19&gt;3,CG19&lt;13),CG19-3,IF(CG19&lt;4,CG19-3+12))</f>
        <v>9</v>
      </c>
      <c r="CJ19" s="142">
        <f>IF(CI19&lt;CG19,CH19,IF(CI19&gt;CG19,CH19-1))</f>
        <v>2032</v>
      </c>
      <c r="CK19" s="142">
        <f>IF(CG19&gt;6,CG19-6,IF(CG19=6,12,IF(CG19&lt;6,CG19+6)))</f>
        <v>6</v>
      </c>
      <c r="CL19" s="142">
        <f>IF(CG19&gt;6,CH19,IF(CG19&lt;7,CH19-1))</f>
        <v>2032</v>
      </c>
      <c r="CM19" s="142" t="str">
        <f>IF(AND(CF19="Hưu",AM19=3),36+AO19-(12*(CL19-AJ19)+(CK19-AH19)),IF(AND(CF19="Hưu",AM19=2),24+AO19-(12*(CL19-AJ19)+(CK19-AH19)),IF(AND(CF19="Hưu",AM19=1),12+AO19-(12*(CL19-AJ19)+(CK19-AH19)),"- - -")))</f>
        <v>- - -</v>
      </c>
      <c r="CN19" s="366" t="str">
        <f>IF(CO19&gt;0,"K.Dài",". .")</f>
        <v>. .</v>
      </c>
      <c r="CO19" s="367"/>
      <c r="CP19" s="152">
        <f>IF(E19="Nam",(60+CO19)*12,IF(E19="Nữ",(55+CO19)*12,))</f>
        <v>660</v>
      </c>
      <c r="CQ19" s="147">
        <f>12*($CF$4-J19)+(12-H19)</f>
        <v>-23723</v>
      </c>
      <c r="CR19" s="185">
        <f>$CV$4-J19</f>
        <v>-1977</v>
      </c>
      <c r="CS19" s="154" t="str">
        <f>IF(AND(CR19&lt;35,E19="Nam"),"Nam dưới 35",IF(AND(CR19&lt;30,E19="Nữ"),"Nữ dưới 30",IF(AND(CR19&gt;34,CR19&lt;46,E19="Nam"),"Nam từ 35 - 45",IF(AND(CR19&gt;29,CR19&lt;41,E19="Nữ"),"Nữ từ 30 - 40",IF(AND(CR19&gt;45,CR19&lt;56,E19="Nam"),"Nam trên 45 - 55",IF(AND(CR19&gt;40,CR19&lt;51,E19="Nữ"),"Nữ trên 40 - 50",IF(AND(CR19&gt;55,E19="Nam"),"Nam trên 55","Nữ trên 50")))))))</f>
        <v>Nữ dưới 30</v>
      </c>
      <c r="CT19" s="148"/>
      <c r="CU19" s="186"/>
      <c r="CV19" s="187" t="str">
        <f>IF(CR19&lt;31,"Đến 30",IF(AND(CR19&gt;30,CR19&lt;46),"31 - 45",IF(AND(CR19&gt;45,CR19&lt;70),"Trên 45")))</f>
        <v>Đến 30</v>
      </c>
      <c r="CW19" s="192" t="str">
        <f>IF(CX19&gt;0,"TD","--")</f>
        <v>TD</v>
      </c>
      <c r="CX19" s="192">
        <v>2008</v>
      </c>
      <c r="CY19" s="148"/>
      <c r="CZ19" s="193"/>
      <c r="DA19" s="194"/>
      <c r="DB19" s="151"/>
      <c r="DC19" s="151"/>
      <c r="DG19" s="142" t="s">
        <v>136</v>
      </c>
      <c r="DH19" s="142" t="s">
        <v>10</v>
      </c>
      <c r="DI19" s="142" t="s">
        <v>11</v>
      </c>
      <c r="DJ19" s="142" t="s">
        <v>60</v>
      </c>
      <c r="DK19" s="142" t="s">
        <v>11</v>
      </c>
      <c r="DL19" s="142">
        <v>2012</v>
      </c>
      <c r="DM19" s="142">
        <f>(DH19+0)-(DO19+0)</f>
        <v>0</v>
      </c>
      <c r="DN19" s="142" t="str">
        <f>IF(DM19&gt;0,"Sửa","- - -")</f>
        <v>- - -</v>
      </c>
      <c r="DO19" s="142" t="s">
        <v>10</v>
      </c>
      <c r="DP19" s="142" t="s">
        <v>11</v>
      </c>
      <c r="DQ19" s="142" t="s">
        <v>60</v>
      </c>
      <c r="DR19" s="142" t="s">
        <v>11</v>
      </c>
      <c r="DS19" s="142">
        <v>2012</v>
      </c>
      <c r="DU19" s="142" t="str">
        <f>IF(AND(AR19&gt;0.34,AB19=1,OR(AQ19=6.2,AQ19=5.75)),((AQ19-DT19)-2*0.34),IF(AND(AR19&gt;0.33,AB19=1,OR(AQ19=4.4,AQ19=4)),((AQ19-DT19)-2*0.33),"- - -"))</f>
        <v>- - -</v>
      </c>
      <c r="DV19" s="142" t="str">
        <f>IF(CF19="Hưu",12*(CL19-AJ19)+(CK19-AH19),"---")</f>
        <v>---</v>
      </c>
    </row>
    <row r="20" spans="1:126" s="142" customFormat="1" ht="33" customHeight="1" x14ac:dyDescent="0.25">
      <c r="A20" s="364">
        <v>278</v>
      </c>
      <c r="B20" s="149">
        <v>5</v>
      </c>
      <c r="C20" s="149" t="str">
        <f>IF(E20="Nam","Ông","Bà")</f>
        <v>Bà</v>
      </c>
      <c r="D20" s="163" t="s">
        <v>137</v>
      </c>
      <c r="E20" s="149" t="s">
        <v>33</v>
      </c>
      <c r="F20" s="164" t="s">
        <v>112</v>
      </c>
      <c r="G20" s="165" t="s">
        <v>11</v>
      </c>
      <c r="H20" s="165">
        <v>9</v>
      </c>
      <c r="I20" s="165" t="s">
        <v>11</v>
      </c>
      <c r="J20" s="166">
        <v>1977</v>
      </c>
      <c r="K20" s="365" t="str">
        <f>IF(AND((M20+0)&gt;0.3,(M20+0)&lt;1.5),"CVụ","- -")</f>
        <v>CVụ</v>
      </c>
      <c r="L20" s="365" t="s">
        <v>61</v>
      </c>
      <c r="M20" s="365" t="str">
        <f>VLOOKUP(L20,'[1]- DLiêu Gốc -'!$B$2:$G$121,2,0)</f>
        <v>0,4</v>
      </c>
      <c r="N20" s="370" t="s">
        <v>138</v>
      </c>
      <c r="O20" s="352" t="s">
        <v>113</v>
      </c>
      <c r="P20" s="167" t="str">
        <f>VLOOKUP(U20,'[1]- DLiêu Gốc -'!$B$2:$G$56,5,0)</f>
        <v>A1</v>
      </c>
      <c r="Q20" s="167" t="str">
        <f>VLOOKUP(U20,'[1]- DLiêu Gốc -'!$B$2:$G$56,6,0)</f>
        <v>- - -</v>
      </c>
      <c r="R20" s="168" t="s">
        <v>35</v>
      </c>
      <c r="S20" s="353" t="str">
        <f>IF(OR(U20="Kỹ thuật viên đánh máy",U20="Nhân viên đánh máy",U20="Nhân viên kỹ thuật",U20="Nhân viên văn thư",U20="Nhân viên phục vụ",U20="Lái xe cơ quan",U20="Nhân viên bảo vệ"),"Nhân viên",U20)</f>
        <v>Giảng viên (hạng III)</v>
      </c>
      <c r="T20" s="169" t="str">
        <f>IF(S20="Nhân viên","01.005",V20)</f>
        <v>V.07.01.03</v>
      </c>
      <c r="U20" s="170" t="s">
        <v>36</v>
      </c>
      <c r="V20" s="169" t="str">
        <f>VLOOKUP(U20,'[1]- DLiêu Gốc -'!$B$1:$G$121,2,0)</f>
        <v>V.07.01.03</v>
      </c>
      <c r="W20" s="171" t="str">
        <f>IF(OR(AND(AN20=36,AM20=3),AND(AN20=24,AM20=2),AND(AN20=12,AM20=1)),"Đến $",IF(AND(AN20&lt;12*10,OR(AND(AN20&gt;36,AM20=3),AND(AN20&gt;24,AN20&lt;120,AM20=2),AND(AN20&gt;12,AM20=1))),"Dừng $","Lương"))</f>
        <v>Lương</v>
      </c>
      <c r="X20" s="172">
        <v>5</v>
      </c>
      <c r="Y20" s="173" t="str">
        <f>IF(Z20&gt;0,"/")</f>
        <v>/</v>
      </c>
      <c r="Z20" s="174">
        <f>IF(OR(AR20=0.18,AR20=0.2),12,IF(AR20=0.31,10,IF(AR20=0.33,9,IF(AR20=0.34,8,IF(AR20=0.36,6)))))</f>
        <v>9</v>
      </c>
      <c r="AA20" s="175">
        <f>AQ20+(X20-1)*AR20</f>
        <v>3.66</v>
      </c>
      <c r="AB20" s="176">
        <f>X20+1</f>
        <v>6</v>
      </c>
      <c r="AC20" s="365" t="str">
        <f>IF(Z20=X20,"%",IF(Z20&gt;X20,"/"))</f>
        <v>/</v>
      </c>
      <c r="AD20" s="174">
        <f>IF(AND(Z20=X20,AB20=4),5,IF(AND(Z20=X20,AB20&gt;4),AB20+1,IF(Z20&gt;X20,Z20)))</f>
        <v>9</v>
      </c>
      <c r="AE20" s="177">
        <f>IF(Z20=X20,"%",IF(Z20&gt;X20,AA20+AR20))</f>
        <v>3.99</v>
      </c>
      <c r="AF20" s="178" t="s">
        <v>10</v>
      </c>
      <c r="AG20" s="179" t="s">
        <v>11</v>
      </c>
      <c r="AH20" s="180" t="s">
        <v>60</v>
      </c>
      <c r="AI20" s="181" t="s">
        <v>11</v>
      </c>
      <c r="AJ20" s="182">
        <v>2015</v>
      </c>
      <c r="AK20" s="183"/>
      <c r="AL20" s="184">
        <v>4</v>
      </c>
      <c r="AM20" s="152">
        <f>IF(AND(Z20&gt;X20,OR(AR20=0.18,AR20=0.2)),2,IF(AND(Z20&gt;X20,OR(AR20=0.31,AR20=0.33,AR20=0.34,AR20=0.36)),3,IF(Z20=X20,1)))</f>
        <v>3</v>
      </c>
      <c r="AN20" s="152">
        <f>12*($W$2-AJ20)+($W$4-AH20)-AO20</f>
        <v>-24184</v>
      </c>
      <c r="AO20" s="146"/>
      <c r="AP20" s="185"/>
      <c r="AQ20" s="154">
        <f>VLOOKUP(U20,'[1]- DLiêu Gốc -'!$B$1:$E$56,3,0)</f>
        <v>2.34</v>
      </c>
      <c r="AR20" s="148">
        <f>VLOOKUP(U20,'[1]- DLiêu Gốc -'!$B$1:$E$56,4,0)</f>
        <v>0.33</v>
      </c>
      <c r="AS20" s="186"/>
      <c r="AT20" s="187" t="str">
        <f>IF(AND(AU20&gt;3,BF20=12),"Đến %",IF(AND(AU20&gt;3,BF20&gt;12,BF20&lt;120),"Dừng %",IF(AND(AU20&gt;3,BF20&lt;12),"PCTN","o-o-o")))</f>
        <v>PCTN</v>
      </c>
      <c r="AU20" s="188">
        <v>10</v>
      </c>
      <c r="AV20" s="188" t="s">
        <v>39</v>
      </c>
      <c r="AW20" s="148">
        <f>IF(AU20&gt;3,AU20+1,0)</f>
        <v>11</v>
      </c>
      <c r="AX20" s="189" t="s">
        <v>39</v>
      </c>
      <c r="AY20" s="190">
        <v>5</v>
      </c>
      <c r="AZ20" s="151" t="s">
        <v>11</v>
      </c>
      <c r="BA20" s="151">
        <v>2014</v>
      </c>
      <c r="BB20" s="151"/>
      <c r="BC20" s="151"/>
      <c r="BD20" s="151"/>
      <c r="BE20" s="151">
        <v>5</v>
      </c>
      <c r="BF20" s="153">
        <f>IF(AU20&gt;3,(($AT$2-BA20)*12+($AT$4-AY20)-BC20),"- - -")</f>
        <v>-24173</v>
      </c>
      <c r="BG20" s="191" t="str">
        <f>IF(AND(CF20="Hưu",AU20&gt;3),12-(12*(CL20-BA20)+(CK20-AY20))-BC20,"- - -")</f>
        <v>- - -</v>
      </c>
      <c r="BH20" s="351" t="str">
        <f>IF(BK20="công chức, viên chức","CC,VC",IF(BK20="người lao động","NLĐ","- - -"))</f>
        <v>CC,VC</v>
      </c>
      <c r="BI20" s="148"/>
      <c r="BJ20" s="149"/>
      <c r="BK20" s="146" t="s">
        <v>9</v>
      </c>
      <c r="BL20" s="371" t="str">
        <f>IF(O20="Cơ sở Học viện Hành chính khu vực miền Trung","B",IF(O20="Phân viện Khu vực Tây Nguyên","C",IF(O20="Cơ sở Học viện Hành chính tại thành phố Hồ Chí Minh","D","A")))</f>
        <v>A</v>
      </c>
      <c r="BM20" s="146" t="str">
        <f>IF(AND(AB20&gt;0,X20&lt;(Z20-1),BN20&gt;0,BN20&lt;13,OR(AND(BT20="Cùg Ng",($BM$2-BP20)&gt;AM20),BT20="- - -")),"Sớm TT","=&gt; s")</f>
        <v>=&gt; s</v>
      </c>
      <c r="BN20" s="372">
        <f>IF(AM20=3,36-(12*($BM$2-AJ20)+(12-AH20)-AO20),IF(AM20=2,24-(12*($BM$2-AJ20)+(12-AH20)-AO20),"---"))</f>
        <v>24208</v>
      </c>
      <c r="BO20" s="373" t="str">
        <f>IF(BP20&gt;1,"S","---")</f>
        <v>S</v>
      </c>
      <c r="BP20" s="374">
        <v>2012</v>
      </c>
      <c r="BQ20" s="375" t="s">
        <v>37</v>
      </c>
      <c r="BR20" s="376"/>
      <c r="BS20" s="376"/>
      <c r="BT20" s="374" t="str">
        <f>IF(T20=BQ20,"Cùg Ng","- - -")</f>
        <v>Cùg Ng</v>
      </c>
      <c r="BU20" s="377" t="str">
        <f>IF(BW20&gt;2000,"NN","- - -")</f>
        <v>- - -</v>
      </c>
      <c r="BV20" s="146"/>
      <c r="BW20" s="146"/>
      <c r="BZ20" s="142" t="str">
        <f>IF(CB20&gt;2000,"CN","- - -")</f>
        <v>- - -</v>
      </c>
      <c r="CE20" s="142" t="str">
        <f>IF(AND(CF20="Hưu",X20&lt;(Z20-1),CM20&gt;0,CM20&lt;18,OR(AU20&lt;4,AND(AU20&gt;3,OR(BG20&lt;3,BG20&gt;5)))),"Lg Sớm",IF(AND(CF20="Hưu",X20&gt;(Z20-2),OR(AR20=0.33,AR20=0.34),OR(AU20&lt;4,AND(AU20&gt;3,OR(BG20&lt;3,BG20&gt;5)))),"Nâng Ngạch",IF(AND(CF20="Hưu",AM20=1,CM20&gt;2,CM20&lt;6,OR(AU20&lt;4,AND(AU20&gt;3,OR(BG20&lt;3,BG20&gt;5)))),"Nâng PcVK cùng QĐ",IF(AND(CF20="Hưu",AU20&gt;3,BG20&gt;2,BG20&lt;6,X20&lt;(Z20-1),CM20&gt;17,OR(AM20&gt;1,AND(AM20=1,OR(CM20&lt;3,CM20&gt;5)))),"Nâng PcNG cùng QĐ",IF(AND(CF20="Hưu",X20&lt;(Z20-1),CM20&gt;0,CM20&lt;18,AU20&gt;3,BG20&gt;2,BG20&lt;6),"Nâng Lg Sớm +(PcNG cùng QĐ)",IF(AND(CF20="Hưu",X20&gt;(Z20-2),OR(AR20=0.33,AR20=0.34),AU20&gt;3,BG20&gt;2,BG20&lt;6),"Nâng Ngạch +(PcNG cùng QĐ)",IF(AND(CF20="Hưu",AM20=1,CM20&gt;2,CM20&lt;6,AU20&gt;3,BG20&gt;2,BG20&lt;6),"Nâng (PcVK +PcNG) cùng QĐ",("---"))))))))</f>
        <v>---</v>
      </c>
      <c r="CF20" s="142" t="str">
        <f>IF(AND(CQ20&gt;CP20,CQ20&lt;(CP20+13)),"Hưu",IF(AND(CQ20&gt;(CP20+12),CQ20&lt;1000),"Quá","/-/ /-/"))</f>
        <v>/-/ /-/</v>
      </c>
      <c r="CG20" s="142">
        <f>IF((H20+0)&lt;12,(H20+0)+1,IF((H20+0)=12,1,IF((H20+0)&gt;12,(H20+0)-12)))</f>
        <v>10</v>
      </c>
      <c r="CH20" s="142">
        <f>IF(OR((H20+0)=12,(H20+0)&gt;12),J20+CP20/12+1,IF(AND((H20+0)&gt;0,(H20+0)&lt;12),J20+CP20/12,"---"))</f>
        <v>2032</v>
      </c>
      <c r="CI20" s="142">
        <f>IF(AND(CG20&gt;3,CG20&lt;13),CG20-3,IF(CG20&lt;4,CG20-3+12))</f>
        <v>7</v>
      </c>
      <c r="CJ20" s="142">
        <f>IF(CI20&lt;CG20,CH20,IF(CI20&gt;CG20,CH20-1))</f>
        <v>2032</v>
      </c>
      <c r="CK20" s="142">
        <f>IF(CG20&gt;6,CG20-6,IF(CG20=6,12,IF(CG20&lt;6,CG20+6)))</f>
        <v>4</v>
      </c>
      <c r="CL20" s="142">
        <f>IF(CG20&gt;6,CH20,IF(CG20&lt;7,CH20-1))</f>
        <v>2032</v>
      </c>
      <c r="CM20" s="142" t="str">
        <f>IF(AND(CF20="Hưu",AM20=3),36+AO20-(12*(CL20-AJ20)+(CK20-AH20)),IF(AND(CF20="Hưu",AM20=2),24+AO20-(12*(CL20-AJ20)+(CK20-AH20)),IF(AND(CF20="Hưu",AM20=1),12+AO20-(12*(CL20-AJ20)+(CK20-AH20)),"- - -")))</f>
        <v>- - -</v>
      </c>
      <c r="CN20" s="366" t="str">
        <f>IF(CO20&gt;0,"K.Dài",". .")</f>
        <v>. .</v>
      </c>
      <c r="CO20" s="367"/>
      <c r="CP20" s="152">
        <f>IF(E20="Nam",(60+CO20)*12,IF(E20="Nữ",(55+CO20)*12,))</f>
        <v>660</v>
      </c>
      <c r="CQ20" s="147">
        <f>12*($CF$4-J20)+(12-H20)</f>
        <v>-23721</v>
      </c>
      <c r="CR20" s="185">
        <f>$CV$4-J20</f>
        <v>-1977</v>
      </c>
      <c r="CS20" s="154" t="str">
        <f>IF(AND(CR20&lt;35,E20="Nam"),"Nam dưới 35",IF(AND(CR20&lt;30,E20="Nữ"),"Nữ dưới 30",IF(AND(CR20&gt;34,CR20&lt;46,E20="Nam"),"Nam từ 35 - 45",IF(AND(CR20&gt;29,CR20&lt;41,E20="Nữ"),"Nữ từ 30 - 40",IF(AND(CR20&gt;45,CR20&lt;56,E20="Nam"),"Nam trên 45 - 55",IF(AND(CR20&gt;40,CR20&lt;51,E20="Nữ"),"Nữ trên 40 - 50",IF(AND(CR20&gt;55,E20="Nam"),"Nam trên 55","Nữ trên 50")))))))</f>
        <v>Nữ dưới 30</v>
      </c>
      <c r="CT20" s="148"/>
      <c r="CU20" s="186"/>
      <c r="CV20" s="187" t="str">
        <f>IF(CR20&lt;31,"Đến 30",IF(AND(CR20&gt;30,CR20&lt;46),"31 - 45",IF(AND(CR20&gt;45,CR20&lt;70),"Trên 45")))</f>
        <v>Đến 30</v>
      </c>
      <c r="CW20" s="192" t="str">
        <f>IF(CX20&gt;0,"TD","--")</f>
        <v>TD</v>
      </c>
      <c r="CX20" s="192">
        <v>2008</v>
      </c>
      <c r="CY20" s="148"/>
      <c r="CZ20" s="193"/>
      <c r="DA20" s="194"/>
      <c r="DB20" s="151"/>
      <c r="DC20" s="151"/>
      <c r="DG20" s="142" t="s">
        <v>138</v>
      </c>
      <c r="DH20" s="142" t="s">
        <v>10</v>
      </c>
      <c r="DI20" s="142" t="s">
        <v>11</v>
      </c>
      <c r="DJ20" s="142" t="s">
        <v>60</v>
      </c>
      <c r="DK20" s="142" t="s">
        <v>11</v>
      </c>
      <c r="DL20" s="142">
        <v>2012</v>
      </c>
      <c r="DM20" s="142">
        <f>(DH20+0)-(DO20+0)</f>
        <v>0</v>
      </c>
      <c r="DN20" s="142" t="str">
        <f>IF(DM20&gt;0,"Sửa","- - -")</f>
        <v>- - -</v>
      </c>
      <c r="DO20" s="142" t="s">
        <v>10</v>
      </c>
      <c r="DP20" s="142" t="s">
        <v>11</v>
      </c>
      <c r="DQ20" s="142" t="s">
        <v>60</v>
      </c>
      <c r="DR20" s="142" t="s">
        <v>11</v>
      </c>
      <c r="DS20" s="142">
        <v>2012</v>
      </c>
      <c r="DU20" s="142" t="str">
        <f>IF(AND(AR20&gt;0.34,AB20=1,OR(AQ20=6.2,AQ20=5.75)),((AQ20-DT20)-2*0.34),IF(AND(AR20&gt;0.33,AB20=1,OR(AQ20=4.4,AQ20=4)),((AQ20-DT20)-2*0.33),"- - -"))</f>
        <v>- - -</v>
      </c>
      <c r="DV20" s="142" t="str">
        <f>IF(CF20="Hưu",12*(CL20-AJ20)+(CK20-AH20),"---")</f>
        <v>---</v>
      </c>
    </row>
    <row r="21" spans="1:126" s="142" customFormat="1" ht="33" customHeight="1" x14ac:dyDescent="0.25">
      <c r="A21" s="364">
        <v>344</v>
      </c>
      <c r="B21" s="149">
        <v>6</v>
      </c>
      <c r="C21" s="149" t="str">
        <f t="shared" si="0"/>
        <v>Bà</v>
      </c>
      <c r="D21" s="163" t="s">
        <v>153</v>
      </c>
      <c r="E21" s="149" t="s">
        <v>33</v>
      </c>
      <c r="F21" s="164" t="s">
        <v>50</v>
      </c>
      <c r="G21" s="165" t="s">
        <v>11</v>
      </c>
      <c r="H21" s="165" t="s">
        <v>54</v>
      </c>
      <c r="I21" s="165" t="s">
        <v>11</v>
      </c>
      <c r="J21" s="166" t="s">
        <v>151</v>
      </c>
      <c r="K21" s="365"/>
      <c r="L21" s="365"/>
      <c r="M21" s="365" t="e">
        <f>VLOOKUP(L21,'[1]- DLiêu Gốc -'!$B$2:$G$121,2,0)</f>
        <v>#N/A</v>
      </c>
      <c r="N21" s="370" t="s">
        <v>154</v>
      </c>
      <c r="O21" s="352" t="s">
        <v>121</v>
      </c>
      <c r="P21" s="167" t="str">
        <f>VLOOKUP(U21,'[1]- DLiêu Gốc -'!$B$2:$G$56,5,0)</f>
        <v>A1</v>
      </c>
      <c r="Q21" s="167" t="str">
        <f>VLOOKUP(U21,'[1]- DLiêu Gốc -'!$B$2:$G$56,6,0)</f>
        <v>- - -</v>
      </c>
      <c r="R21" s="168" t="s">
        <v>35</v>
      </c>
      <c r="S21" s="353" t="str">
        <f t="shared" si="1"/>
        <v>Giảng viên (hạng III)</v>
      </c>
      <c r="T21" s="169" t="str">
        <f t="shared" si="2"/>
        <v>V.07.01.03</v>
      </c>
      <c r="U21" s="170" t="s">
        <v>36</v>
      </c>
      <c r="V21" s="169" t="str">
        <f>VLOOKUP(U21,'[1]- DLiêu Gốc -'!$B$1:$G$121,2,0)</f>
        <v>V.07.01.03</v>
      </c>
      <c r="W21" s="171" t="str">
        <f t="shared" si="3"/>
        <v>Lương</v>
      </c>
      <c r="X21" s="172">
        <v>3</v>
      </c>
      <c r="Y21" s="173" t="str">
        <f t="shared" si="4"/>
        <v>/</v>
      </c>
      <c r="Z21" s="174">
        <f t="shared" si="5"/>
        <v>9</v>
      </c>
      <c r="AA21" s="175">
        <f t="shared" si="6"/>
        <v>3</v>
      </c>
      <c r="AB21" s="176">
        <f t="shared" si="7"/>
        <v>4</v>
      </c>
      <c r="AC21" s="365" t="str">
        <f t="shared" si="8"/>
        <v>/</v>
      </c>
      <c r="AD21" s="174">
        <f t="shared" si="9"/>
        <v>9</v>
      </c>
      <c r="AE21" s="177">
        <f t="shared" si="10"/>
        <v>3.33</v>
      </c>
      <c r="AF21" s="178" t="s">
        <v>10</v>
      </c>
      <c r="AG21" s="179" t="s">
        <v>11</v>
      </c>
      <c r="AH21" s="180" t="s">
        <v>60</v>
      </c>
      <c r="AI21" s="181" t="s">
        <v>11</v>
      </c>
      <c r="AJ21" s="182">
        <v>2015</v>
      </c>
      <c r="AK21" s="183"/>
      <c r="AL21" s="184"/>
      <c r="AM21" s="152">
        <f t="shared" si="11"/>
        <v>3</v>
      </c>
      <c r="AN21" s="152">
        <f t="shared" si="12"/>
        <v>-24184</v>
      </c>
      <c r="AO21" s="146"/>
      <c r="AP21" s="185"/>
      <c r="AQ21" s="154">
        <f>VLOOKUP(U21,'[1]- DLiêu Gốc -'!$B$1:$E$56,3,0)</f>
        <v>2.34</v>
      </c>
      <c r="AR21" s="148">
        <f>VLOOKUP(U21,'[1]- DLiêu Gốc -'!$B$1:$E$56,4,0)</f>
        <v>0.33</v>
      </c>
      <c r="AS21" s="186"/>
      <c r="AT21" s="187" t="str">
        <f t="shared" si="13"/>
        <v>PCTN</v>
      </c>
      <c r="AU21" s="188">
        <v>7</v>
      </c>
      <c r="AV21" s="188" t="s">
        <v>39</v>
      </c>
      <c r="AW21" s="148">
        <f t="shared" si="14"/>
        <v>8</v>
      </c>
      <c r="AX21" s="189" t="s">
        <v>39</v>
      </c>
      <c r="AY21" s="190">
        <v>5</v>
      </c>
      <c r="AZ21" s="151" t="s">
        <v>11</v>
      </c>
      <c r="BA21" s="151">
        <v>2014</v>
      </c>
      <c r="BB21" s="151"/>
      <c r="BC21" s="151"/>
      <c r="BD21" s="151"/>
      <c r="BE21" s="151">
        <v>5</v>
      </c>
      <c r="BF21" s="153">
        <f t="shared" si="15"/>
        <v>-24173</v>
      </c>
      <c r="BG21" s="191" t="str">
        <f t="shared" si="16"/>
        <v>- - -</v>
      </c>
      <c r="BH21" s="351" t="str">
        <f t="shared" si="17"/>
        <v>CC,VC</v>
      </c>
      <c r="BI21" s="148"/>
      <c r="BJ21" s="149"/>
      <c r="BK21" s="146" t="s">
        <v>9</v>
      </c>
      <c r="BL21" s="371" t="str">
        <f t="shared" si="18"/>
        <v>A</v>
      </c>
      <c r="BM21" s="146" t="str">
        <f t="shared" si="19"/>
        <v>=&gt; s</v>
      </c>
      <c r="BN21" s="372">
        <f t="shared" si="20"/>
        <v>24208</v>
      </c>
      <c r="BO21" s="373" t="str">
        <f t="shared" si="21"/>
        <v>---</v>
      </c>
      <c r="BP21" s="374"/>
      <c r="BQ21" s="375"/>
      <c r="BR21" s="376"/>
      <c r="BS21" s="376"/>
      <c r="BT21" s="374" t="str">
        <f t="shared" si="22"/>
        <v>- - -</v>
      </c>
      <c r="BU21" s="377" t="str">
        <f t="shared" si="23"/>
        <v>- - -</v>
      </c>
      <c r="BV21" s="146"/>
      <c r="BW21" s="146"/>
      <c r="BZ21" s="142" t="str">
        <f t="shared" si="24"/>
        <v>- - -</v>
      </c>
      <c r="CE21" s="142" t="str">
        <f t="shared" si="25"/>
        <v>---</v>
      </c>
      <c r="CF21" s="142" t="str">
        <f t="shared" si="26"/>
        <v>/-/ /-/</v>
      </c>
      <c r="CG21" s="142">
        <f t="shared" si="27"/>
        <v>11</v>
      </c>
      <c r="CH21" s="142">
        <f t="shared" si="28"/>
        <v>2037</v>
      </c>
      <c r="CI21" s="142">
        <f t="shared" si="29"/>
        <v>8</v>
      </c>
      <c r="CJ21" s="142">
        <f t="shared" si="30"/>
        <v>2037</v>
      </c>
      <c r="CK21" s="142">
        <f t="shared" si="31"/>
        <v>5</v>
      </c>
      <c r="CL21" s="142">
        <f t="shared" si="32"/>
        <v>2037</v>
      </c>
      <c r="CM21" s="142" t="str">
        <f t="shared" si="33"/>
        <v>- - -</v>
      </c>
      <c r="CN21" s="366" t="str">
        <f t="shared" si="34"/>
        <v>. .</v>
      </c>
      <c r="CO21" s="367"/>
      <c r="CP21" s="152">
        <f t="shared" si="35"/>
        <v>660</v>
      </c>
      <c r="CQ21" s="147">
        <f t="shared" si="36"/>
        <v>-23782</v>
      </c>
      <c r="CR21" s="185">
        <f t="shared" si="37"/>
        <v>-1982</v>
      </c>
      <c r="CS21" s="154" t="str">
        <f t="shared" si="38"/>
        <v>Nữ dưới 30</v>
      </c>
      <c r="CT21" s="148"/>
      <c r="CU21" s="186"/>
      <c r="CV21" s="187" t="str">
        <f t="shared" si="39"/>
        <v>Đến 30</v>
      </c>
      <c r="CW21" s="192" t="str">
        <f t="shared" si="40"/>
        <v>--</v>
      </c>
      <c r="CX21" s="192"/>
      <c r="CY21" s="148"/>
      <c r="CZ21" s="193"/>
      <c r="DA21" s="194"/>
      <c r="DB21" s="151"/>
      <c r="DC21" s="151"/>
      <c r="DG21" s="142" t="s">
        <v>154</v>
      </c>
      <c r="DH21" s="142" t="s">
        <v>10</v>
      </c>
      <c r="DI21" s="142" t="s">
        <v>11</v>
      </c>
      <c r="DJ21" s="142" t="s">
        <v>60</v>
      </c>
      <c r="DK21" s="142" t="s">
        <v>11</v>
      </c>
      <c r="DL21" s="142">
        <v>2012</v>
      </c>
      <c r="DM21" s="142">
        <f t="shared" si="41"/>
        <v>0</v>
      </c>
      <c r="DN21" s="142" t="str">
        <f t="shared" si="42"/>
        <v>- - -</v>
      </c>
      <c r="DO21" s="142" t="s">
        <v>10</v>
      </c>
      <c r="DP21" s="142" t="s">
        <v>11</v>
      </c>
      <c r="DQ21" s="142" t="s">
        <v>60</v>
      </c>
      <c r="DR21" s="142" t="s">
        <v>11</v>
      </c>
      <c r="DS21" s="142">
        <v>2012</v>
      </c>
      <c r="DU21" s="142" t="str">
        <f t="shared" si="43"/>
        <v>- - -</v>
      </c>
      <c r="DV21" s="142" t="str">
        <f t="shared" si="44"/>
        <v>---</v>
      </c>
    </row>
    <row r="22" spans="1:126" s="142" customFormat="1" ht="33" customHeight="1" x14ac:dyDescent="0.25">
      <c r="A22" s="364">
        <v>376</v>
      </c>
      <c r="B22" s="149">
        <v>7</v>
      </c>
      <c r="C22" s="149" t="str">
        <f t="shared" si="0"/>
        <v>Ông</v>
      </c>
      <c r="D22" s="163" t="s">
        <v>155</v>
      </c>
      <c r="E22" s="149" t="s">
        <v>40</v>
      </c>
      <c r="F22" s="164" t="s">
        <v>46</v>
      </c>
      <c r="G22" s="165" t="s">
        <v>11</v>
      </c>
      <c r="H22" s="165" t="s">
        <v>12</v>
      </c>
      <c r="I22" s="165" t="s">
        <v>11</v>
      </c>
      <c r="J22" s="166" t="s">
        <v>151</v>
      </c>
      <c r="K22" s="365"/>
      <c r="L22" s="365"/>
      <c r="M22" s="365" t="e">
        <f>VLOOKUP(L22,'[1]- DLiêu Gốc -'!$B$2:$G$121,2,0)</f>
        <v>#N/A</v>
      </c>
      <c r="N22" s="370"/>
      <c r="O22" s="352" t="s">
        <v>34</v>
      </c>
      <c r="P22" s="167" t="str">
        <f>VLOOKUP(U22,'[1]- DLiêu Gốc -'!$B$2:$G$56,5,0)</f>
        <v>A1</v>
      </c>
      <c r="Q22" s="167" t="str">
        <f>VLOOKUP(U22,'[1]- DLiêu Gốc -'!$B$2:$G$56,6,0)</f>
        <v>- - -</v>
      </c>
      <c r="R22" s="168" t="s">
        <v>42</v>
      </c>
      <c r="S22" s="353" t="str">
        <f t="shared" si="1"/>
        <v>Chuyên viên</v>
      </c>
      <c r="T22" s="169" t="str">
        <f t="shared" si="2"/>
        <v>01.003</v>
      </c>
      <c r="U22" s="170" t="s">
        <v>43</v>
      </c>
      <c r="V22" s="169" t="str">
        <f>VLOOKUP(U22,'[1]- DLiêu Gốc -'!$B$1:$G$121,2,0)</f>
        <v>01.003</v>
      </c>
      <c r="W22" s="171" t="str">
        <f t="shared" si="3"/>
        <v>Lương</v>
      </c>
      <c r="X22" s="172">
        <v>3</v>
      </c>
      <c r="Y22" s="173" t="str">
        <f t="shared" si="4"/>
        <v>/</v>
      </c>
      <c r="Z22" s="174">
        <f t="shared" si="5"/>
        <v>9</v>
      </c>
      <c r="AA22" s="175">
        <f t="shared" si="6"/>
        <v>3</v>
      </c>
      <c r="AB22" s="176">
        <f t="shared" si="7"/>
        <v>4</v>
      </c>
      <c r="AC22" s="365" t="str">
        <f t="shared" si="8"/>
        <v>/</v>
      </c>
      <c r="AD22" s="174">
        <f t="shared" si="9"/>
        <v>9</v>
      </c>
      <c r="AE22" s="177">
        <f t="shared" si="10"/>
        <v>3.33</v>
      </c>
      <c r="AF22" s="178" t="s">
        <v>10</v>
      </c>
      <c r="AG22" s="179" t="s">
        <v>11</v>
      </c>
      <c r="AH22" s="180" t="s">
        <v>60</v>
      </c>
      <c r="AI22" s="181" t="s">
        <v>11</v>
      </c>
      <c r="AJ22" s="182">
        <v>2015</v>
      </c>
      <c r="AK22" s="183"/>
      <c r="AL22" s="184"/>
      <c r="AM22" s="152">
        <f t="shared" si="11"/>
        <v>3</v>
      </c>
      <c r="AN22" s="152">
        <f t="shared" si="12"/>
        <v>-24184</v>
      </c>
      <c r="AO22" s="146"/>
      <c r="AP22" s="185"/>
      <c r="AQ22" s="154">
        <f>VLOOKUP(U22,'[1]- DLiêu Gốc -'!$B$1:$E$56,3,0)</f>
        <v>2.34</v>
      </c>
      <c r="AR22" s="148">
        <f>VLOOKUP(U22,'[1]- DLiêu Gốc -'!$B$1:$E$56,4,0)</f>
        <v>0.33</v>
      </c>
      <c r="AS22" s="186"/>
      <c r="AT22" s="187" t="str">
        <f t="shared" si="13"/>
        <v>o-o-o</v>
      </c>
      <c r="AU22" s="188"/>
      <c r="AV22" s="188"/>
      <c r="AW22" s="148">
        <f t="shared" si="14"/>
        <v>0</v>
      </c>
      <c r="AX22" s="189"/>
      <c r="AY22" s="190"/>
      <c r="AZ22" s="151"/>
      <c r="BA22" s="151"/>
      <c r="BB22" s="151"/>
      <c r="BC22" s="151"/>
      <c r="BD22" s="151"/>
      <c r="BE22" s="151"/>
      <c r="BF22" s="153" t="str">
        <f t="shared" si="15"/>
        <v>- - -</v>
      </c>
      <c r="BG22" s="191" t="str">
        <f t="shared" si="16"/>
        <v>- - -</v>
      </c>
      <c r="BH22" s="351" t="str">
        <f t="shared" si="17"/>
        <v>CC,VC</v>
      </c>
      <c r="BI22" s="148"/>
      <c r="BJ22" s="149"/>
      <c r="BK22" s="146" t="s">
        <v>9</v>
      </c>
      <c r="BL22" s="371" t="str">
        <f t="shared" si="18"/>
        <v>A</v>
      </c>
      <c r="BM22" s="146" t="str">
        <f t="shared" si="19"/>
        <v>=&gt; s</v>
      </c>
      <c r="BN22" s="372">
        <f t="shared" si="20"/>
        <v>24208</v>
      </c>
      <c r="BO22" s="373" t="str">
        <f t="shared" si="21"/>
        <v>---</v>
      </c>
      <c r="BP22" s="374"/>
      <c r="BQ22" s="375"/>
      <c r="BR22" s="376"/>
      <c r="BS22" s="376"/>
      <c r="BT22" s="374" t="str">
        <f t="shared" si="22"/>
        <v>- - -</v>
      </c>
      <c r="BU22" s="377" t="str">
        <f t="shared" si="23"/>
        <v>- - -</v>
      </c>
      <c r="BV22" s="146"/>
      <c r="BW22" s="146"/>
      <c r="BZ22" s="142" t="str">
        <f t="shared" si="24"/>
        <v>- - -</v>
      </c>
      <c r="CE22" s="142" t="str">
        <f t="shared" si="25"/>
        <v>---</v>
      </c>
      <c r="CF22" s="142" t="str">
        <f t="shared" si="26"/>
        <v>/-/ /-/</v>
      </c>
      <c r="CG22" s="142">
        <f t="shared" si="27"/>
        <v>8</v>
      </c>
      <c r="CH22" s="142">
        <f t="shared" si="28"/>
        <v>2042</v>
      </c>
      <c r="CI22" s="142">
        <f t="shared" si="29"/>
        <v>5</v>
      </c>
      <c r="CJ22" s="142">
        <f t="shared" si="30"/>
        <v>2042</v>
      </c>
      <c r="CK22" s="142">
        <f t="shared" si="31"/>
        <v>2</v>
      </c>
      <c r="CL22" s="142">
        <f t="shared" si="32"/>
        <v>2042</v>
      </c>
      <c r="CM22" s="142" t="str">
        <f t="shared" si="33"/>
        <v>- - -</v>
      </c>
      <c r="CN22" s="366" t="str">
        <f t="shared" si="34"/>
        <v>. .</v>
      </c>
      <c r="CO22" s="367"/>
      <c r="CP22" s="152">
        <f t="shared" si="35"/>
        <v>720</v>
      </c>
      <c r="CQ22" s="147">
        <f t="shared" si="36"/>
        <v>-23779</v>
      </c>
      <c r="CR22" s="185">
        <f t="shared" si="37"/>
        <v>-1982</v>
      </c>
      <c r="CS22" s="154" t="str">
        <f t="shared" si="38"/>
        <v>Nam dưới 35</v>
      </c>
      <c r="CT22" s="148"/>
      <c r="CU22" s="186"/>
      <c r="CV22" s="187" t="str">
        <f t="shared" si="39"/>
        <v>Đến 30</v>
      </c>
      <c r="CW22" s="192" t="str">
        <f t="shared" si="40"/>
        <v>TD</v>
      </c>
      <c r="CX22" s="192">
        <v>2012</v>
      </c>
      <c r="CY22" s="148"/>
      <c r="CZ22" s="193"/>
      <c r="DA22" s="194"/>
      <c r="DB22" s="151"/>
      <c r="DC22" s="151"/>
      <c r="DH22" s="142" t="s">
        <v>10</v>
      </c>
      <c r="DI22" s="142" t="s">
        <v>11</v>
      </c>
      <c r="DJ22" s="142" t="s">
        <v>60</v>
      </c>
      <c r="DK22" s="142" t="s">
        <v>11</v>
      </c>
      <c r="DL22" s="142">
        <v>2012</v>
      </c>
      <c r="DM22" s="142">
        <f t="shared" si="41"/>
        <v>0</v>
      </c>
      <c r="DN22" s="142" t="str">
        <f t="shared" si="42"/>
        <v>- - -</v>
      </c>
      <c r="DO22" s="142" t="s">
        <v>10</v>
      </c>
      <c r="DP22" s="142" t="s">
        <v>11</v>
      </c>
      <c r="DQ22" s="142" t="s">
        <v>60</v>
      </c>
      <c r="DR22" s="142" t="s">
        <v>11</v>
      </c>
      <c r="DS22" s="142">
        <v>2012</v>
      </c>
      <c r="DU22" s="142" t="str">
        <f t="shared" si="43"/>
        <v>- - -</v>
      </c>
      <c r="DV22" s="142" t="str">
        <f t="shared" si="44"/>
        <v>---</v>
      </c>
    </row>
    <row r="23" spans="1:126" s="142" customFormat="1" ht="33" customHeight="1" x14ac:dyDescent="0.25">
      <c r="A23" s="364">
        <v>384</v>
      </c>
      <c r="B23" s="149">
        <v>8</v>
      </c>
      <c r="C23" s="149" t="str">
        <f>IF(E23="Nam","Ông","Bà")</f>
        <v>Bà</v>
      </c>
      <c r="D23" s="163" t="s">
        <v>139</v>
      </c>
      <c r="E23" s="149" t="s">
        <v>33</v>
      </c>
      <c r="F23" s="164" t="s">
        <v>127</v>
      </c>
      <c r="G23" s="165" t="s">
        <v>11</v>
      </c>
      <c r="H23" s="165">
        <v>8</v>
      </c>
      <c r="I23" s="165" t="s">
        <v>11</v>
      </c>
      <c r="J23" s="166">
        <v>1979</v>
      </c>
      <c r="K23" s="365"/>
      <c r="L23" s="365"/>
      <c r="M23" s="365" t="e">
        <f>VLOOKUP(L23,'[1]- DLiêu Gốc -'!$B$2:$G$121,2,0)</f>
        <v>#N/A</v>
      </c>
      <c r="N23" s="370" t="s">
        <v>140</v>
      </c>
      <c r="O23" s="352" t="s">
        <v>34</v>
      </c>
      <c r="P23" s="167" t="str">
        <f>VLOOKUP(U23,'[1]- DLiêu Gốc -'!$B$2:$G$56,5,0)</f>
        <v>A1</v>
      </c>
      <c r="Q23" s="167" t="str">
        <f>VLOOKUP(U23,'[1]- DLiêu Gốc -'!$B$2:$G$56,6,0)</f>
        <v>- - -</v>
      </c>
      <c r="R23" s="168" t="s">
        <v>35</v>
      </c>
      <c r="S23" s="353" t="str">
        <f>IF(OR(U23="Kỹ thuật viên đánh máy",U23="Nhân viên đánh máy",U23="Nhân viên kỹ thuật",U23="Nhân viên văn thư",U23="Nhân viên phục vụ",U23="Lái xe cơ quan",U23="Nhân viên bảo vệ"),"Nhân viên",U23)</f>
        <v>Giảng viên (hạng III)</v>
      </c>
      <c r="T23" s="169" t="str">
        <f>IF(S23="Nhân viên","01.005",V23)</f>
        <v>V.07.01.03</v>
      </c>
      <c r="U23" s="170" t="s">
        <v>36</v>
      </c>
      <c r="V23" s="169" t="str">
        <f>VLOOKUP(U23,'[1]- DLiêu Gốc -'!$B$1:$G$121,2,0)</f>
        <v>V.07.01.03</v>
      </c>
      <c r="W23" s="171" t="str">
        <f>IF(OR(AND(AN23=36,AM23=3),AND(AN23=24,AM23=2),AND(AN23=12,AM23=1)),"Đến $",IF(AND(AN23&lt;12*10,OR(AND(AN23&gt;36,AM23=3),AND(AN23&gt;24,AN23&lt;120,AM23=2),AND(AN23&gt;12,AM23=1))),"Dừng $","Lương"))</f>
        <v>Lương</v>
      </c>
      <c r="X23" s="172">
        <v>4</v>
      </c>
      <c r="Y23" s="173" t="str">
        <f>IF(Z23&gt;0,"/")</f>
        <v>/</v>
      </c>
      <c r="Z23" s="174">
        <f>IF(OR(AR23=0.18,AR23=0.2),12,IF(AR23=0.31,10,IF(AR23=0.33,9,IF(AR23=0.34,8,IF(AR23=0.36,6)))))</f>
        <v>9</v>
      </c>
      <c r="AA23" s="175">
        <f>AQ23+(X23-1)*AR23</f>
        <v>3.33</v>
      </c>
      <c r="AB23" s="176">
        <f>X23+1</f>
        <v>5</v>
      </c>
      <c r="AC23" s="365" t="str">
        <f>IF(Z23=X23,"%",IF(Z23&gt;X23,"/"))</f>
        <v>/</v>
      </c>
      <c r="AD23" s="174">
        <f>IF(AND(Z23=X23,AB23=4),5,IF(AND(Z23=X23,AB23&gt;4),AB23+1,IF(Z23&gt;X23,Z23)))</f>
        <v>9</v>
      </c>
      <c r="AE23" s="177">
        <f>IF(Z23=X23,"%",IF(Z23&gt;X23,AA23+AR23))</f>
        <v>3.66</v>
      </c>
      <c r="AF23" s="178" t="s">
        <v>10</v>
      </c>
      <c r="AG23" s="179" t="s">
        <v>11</v>
      </c>
      <c r="AH23" s="180" t="s">
        <v>60</v>
      </c>
      <c r="AI23" s="181" t="s">
        <v>11</v>
      </c>
      <c r="AJ23" s="182">
        <v>2015</v>
      </c>
      <c r="AK23" s="183"/>
      <c r="AL23" s="184">
        <v>4</v>
      </c>
      <c r="AM23" s="152">
        <f>IF(AND(Z23&gt;X23,OR(AR23=0.18,AR23=0.2)),2,IF(AND(Z23&gt;X23,OR(AR23=0.31,AR23=0.33,AR23=0.34,AR23=0.36)),3,IF(Z23=X23,1)))</f>
        <v>3</v>
      </c>
      <c r="AN23" s="152">
        <f>12*($W$2-AJ23)+($W$4-AH23)-AO23</f>
        <v>-24184</v>
      </c>
      <c r="AO23" s="146"/>
      <c r="AP23" s="185"/>
      <c r="AQ23" s="154">
        <f>VLOOKUP(U23,'[1]- DLiêu Gốc -'!$B$1:$E$56,3,0)</f>
        <v>2.34</v>
      </c>
      <c r="AR23" s="148">
        <f>VLOOKUP(U23,'[1]- DLiêu Gốc -'!$B$1:$E$56,4,0)</f>
        <v>0.33</v>
      </c>
      <c r="AS23" s="186"/>
      <c r="AT23" s="187" t="str">
        <f>IF(AND(AU23&gt;3,BF23=12),"Đến %",IF(AND(AU23&gt;3,BF23&gt;12,BF23&lt;120),"Dừng %",IF(AND(AU23&gt;3,BF23&lt;12),"PCTN","o-o-o")))</f>
        <v>o-o-o</v>
      </c>
      <c r="AU23" s="188"/>
      <c r="AV23" s="188"/>
      <c r="AW23" s="148">
        <f>IF(AU23&gt;3,AU23+1,0)</f>
        <v>0</v>
      </c>
      <c r="AX23" s="189"/>
      <c r="AY23" s="190"/>
      <c r="AZ23" s="151"/>
      <c r="BA23" s="151"/>
      <c r="BB23" s="151"/>
      <c r="BC23" s="151"/>
      <c r="BD23" s="151"/>
      <c r="BE23" s="151"/>
      <c r="BF23" s="153" t="str">
        <f>IF(AU23&gt;3,(($AT$2-BA23)*12+($AT$4-AY23)-BC23),"- - -")</f>
        <v>- - -</v>
      </c>
      <c r="BG23" s="191" t="str">
        <f>IF(AND(CF23="Hưu",AU23&gt;3),12-(12*(CL23-BA23)+(CK23-AY23))-BC23,"- - -")</f>
        <v>- - -</v>
      </c>
      <c r="BH23" s="351" t="str">
        <f>IF(BK23="công chức, viên chức","CC,VC",IF(BK23="người lao động","NLĐ","- - -"))</f>
        <v>CC,VC</v>
      </c>
      <c r="BI23" s="148"/>
      <c r="BJ23" s="149"/>
      <c r="BK23" s="146" t="s">
        <v>9</v>
      </c>
      <c r="BL23" s="371" t="str">
        <f>IF(O23="Cơ sở Học viện Hành chính khu vực miền Trung","B",IF(O23="Phân viện Khu vực Tây Nguyên","C",IF(O23="Cơ sở Học viện Hành chính tại thành phố Hồ Chí Minh","D","A")))</f>
        <v>A</v>
      </c>
      <c r="BM23" s="146" t="str">
        <f>IF(AND(AB23&gt;0,X23&lt;(Z23-1),BN23&gt;0,BN23&lt;13,OR(AND(BT23="Cùg Ng",($BM$2-BP23)&gt;AM23),BT23="- - -")),"Sớm TT","=&gt; s")</f>
        <v>=&gt; s</v>
      </c>
      <c r="BN23" s="372">
        <f>IF(AM23=3,36-(12*($BM$2-AJ23)+(12-AH23)-AO23),IF(AM23=2,24-(12*($BM$2-AJ23)+(12-AH23)-AO23),"---"))</f>
        <v>24208</v>
      </c>
      <c r="BO23" s="373" t="str">
        <f>IF(BP23&gt;1,"S","---")</f>
        <v>S</v>
      </c>
      <c r="BP23" s="374">
        <v>2012</v>
      </c>
      <c r="BQ23" s="375" t="s">
        <v>37</v>
      </c>
      <c r="BR23" s="376"/>
      <c r="BS23" s="376"/>
      <c r="BT23" s="374" t="str">
        <f>IF(T23=BQ23,"Cùg Ng","- - -")</f>
        <v>Cùg Ng</v>
      </c>
      <c r="BU23" s="377" t="str">
        <f>IF(BW23&gt;2000,"NN","- - -")</f>
        <v>- - -</v>
      </c>
      <c r="BV23" s="146"/>
      <c r="BW23" s="146"/>
      <c r="BZ23" s="142" t="str">
        <f>IF(CB23&gt;2000,"CN","- - -")</f>
        <v>- - -</v>
      </c>
      <c r="CE23" s="142" t="str">
        <f>IF(AND(CF23="Hưu",X23&lt;(Z23-1),CM23&gt;0,CM23&lt;18,OR(AU23&lt;4,AND(AU23&gt;3,OR(BG23&lt;3,BG23&gt;5)))),"Lg Sớm",IF(AND(CF23="Hưu",X23&gt;(Z23-2),OR(AR23=0.33,AR23=0.34),OR(AU23&lt;4,AND(AU23&gt;3,OR(BG23&lt;3,BG23&gt;5)))),"Nâng Ngạch",IF(AND(CF23="Hưu",AM23=1,CM23&gt;2,CM23&lt;6,OR(AU23&lt;4,AND(AU23&gt;3,OR(BG23&lt;3,BG23&gt;5)))),"Nâng PcVK cùng QĐ",IF(AND(CF23="Hưu",AU23&gt;3,BG23&gt;2,BG23&lt;6,X23&lt;(Z23-1),CM23&gt;17,OR(AM23&gt;1,AND(AM23=1,OR(CM23&lt;3,CM23&gt;5)))),"Nâng PcNG cùng QĐ",IF(AND(CF23="Hưu",X23&lt;(Z23-1),CM23&gt;0,CM23&lt;18,AU23&gt;3,BG23&gt;2,BG23&lt;6),"Nâng Lg Sớm +(PcNG cùng QĐ)",IF(AND(CF23="Hưu",X23&gt;(Z23-2),OR(AR23=0.33,AR23=0.34),AU23&gt;3,BG23&gt;2,BG23&lt;6),"Nâng Ngạch +(PcNG cùng QĐ)",IF(AND(CF23="Hưu",AM23=1,CM23&gt;2,CM23&lt;6,AU23&gt;3,BG23&gt;2,BG23&lt;6),"Nâng (PcVK +PcNG) cùng QĐ",("---"))))))))</f>
        <v>---</v>
      </c>
      <c r="CF23" s="142" t="str">
        <f>IF(AND(CQ23&gt;CP23,CQ23&lt;(CP23+13)),"Hưu",IF(AND(CQ23&gt;(CP23+12),CQ23&lt;1000),"Quá","/-/ /-/"))</f>
        <v>/-/ /-/</v>
      </c>
      <c r="CG23" s="142">
        <f>IF((H23+0)&lt;12,(H23+0)+1,IF((H23+0)=12,1,IF((H23+0)&gt;12,(H23+0)-12)))</f>
        <v>9</v>
      </c>
      <c r="CH23" s="142">
        <f>IF(OR((H23+0)=12,(H23+0)&gt;12),J23+CP23/12+1,IF(AND((H23+0)&gt;0,(H23+0)&lt;12),J23+CP23/12,"---"))</f>
        <v>2034</v>
      </c>
      <c r="CI23" s="142">
        <f>IF(AND(CG23&gt;3,CG23&lt;13),CG23-3,IF(CG23&lt;4,CG23-3+12))</f>
        <v>6</v>
      </c>
      <c r="CJ23" s="142">
        <f>IF(CI23&lt;CG23,CH23,IF(CI23&gt;CG23,CH23-1))</f>
        <v>2034</v>
      </c>
      <c r="CK23" s="142">
        <f>IF(CG23&gt;6,CG23-6,IF(CG23=6,12,IF(CG23&lt;6,CG23+6)))</f>
        <v>3</v>
      </c>
      <c r="CL23" s="142">
        <f>IF(CG23&gt;6,CH23,IF(CG23&lt;7,CH23-1))</f>
        <v>2034</v>
      </c>
      <c r="CM23" s="142" t="str">
        <f>IF(AND(CF23="Hưu",AM23=3),36+AO23-(12*(CL23-AJ23)+(CK23-AH23)),IF(AND(CF23="Hưu",AM23=2),24+AO23-(12*(CL23-AJ23)+(CK23-AH23)),IF(AND(CF23="Hưu",AM23=1),12+AO23-(12*(CL23-AJ23)+(CK23-AH23)),"- - -")))</f>
        <v>- - -</v>
      </c>
      <c r="CN23" s="366" t="str">
        <f>IF(CO23&gt;0,"K.Dài",". .")</f>
        <v>. .</v>
      </c>
      <c r="CO23" s="367"/>
      <c r="CP23" s="152">
        <f>IF(E23="Nam",(60+CO23)*12,IF(E23="Nữ",(55+CO23)*12,))</f>
        <v>660</v>
      </c>
      <c r="CQ23" s="147">
        <f>12*($CF$4-J23)+(12-H23)</f>
        <v>-23744</v>
      </c>
      <c r="CR23" s="185">
        <f>$CV$4-J23</f>
        <v>-1979</v>
      </c>
      <c r="CS23" s="154" t="str">
        <f>IF(AND(CR23&lt;35,E23="Nam"),"Nam dưới 35",IF(AND(CR23&lt;30,E23="Nữ"),"Nữ dưới 30",IF(AND(CR23&gt;34,CR23&lt;46,E23="Nam"),"Nam từ 35 - 45",IF(AND(CR23&gt;29,CR23&lt;41,E23="Nữ"),"Nữ từ 30 - 40",IF(AND(CR23&gt;45,CR23&lt;56,E23="Nam"),"Nam trên 45 - 55",IF(AND(CR23&gt;40,CR23&lt;51,E23="Nữ"),"Nữ trên 40 - 50",IF(AND(CR23&gt;55,E23="Nam"),"Nam trên 55","Nữ trên 50")))))))</f>
        <v>Nữ dưới 30</v>
      </c>
      <c r="CT23" s="148"/>
      <c r="CU23" s="186"/>
      <c r="CV23" s="187" t="str">
        <f>IF(CR23&lt;31,"Đến 30",IF(AND(CR23&gt;30,CR23&lt;46),"31 - 45",IF(AND(CR23&gt;45,CR23&lt;70),"Trên 45")))</f>
        <v>Đến 30</v>
      </c>
      <c r="CW23" s="192" t="str">
        <f>IF(CX23&gt;0,"TD","--")</f>
        <v>--</v>
      </c>
      <c r="CX23" s="192"/>
      <c r="CY23" s="148"/>
      <c r="CZ23" s="193"/>
      <c r="DA23" s="194"/>
      <c r="DB23" s="151"/>
      <c r="DC23" s="151"/>
      <c r="DG23" s="142" t="s">
        <v>140</v>
      </c>
      <c r="DH23" s="142" t="s">
        <v>10</v>
      </c>
      <c r="DI23" s="142" t="s">
        <v>11</v>
      </c>
      <c r="DJ23" s="142" t="s">
        <v>60</v>
      </c>
      <c r="DK23" s="142" t="s">
        <v>11</v>
      </c>
      <c r="DL23" s="142">
        <v>2012</v>
      </c>
      <c r="DM23" s="142">
        <f>(DH23+0)-(DO23+0)</f>
        <v>0</v>
      </c>
      <c r="DN23" s="142" t="str">
        <f>IF(DM23&gt;0,"Sửa","- - -")</f>
        <v>- - -</v>
      </c>
      <c r="DO23" s="142" t="s">
        <v>10</v>
      </c>
      <c r="DP23" s="142" t="s">
        <v>11</v>
      </c>
      <c r="DQ23" s="142" t="s">
        <v>60</v>
      </c>
      <c r="DR23" s="142" t="s">
        <v>11</v>
      </c>
      <c r="DS23" s="142">
        <v>2012</v>
      </c>
      <c r="DU23" s="142" t="str">
        <f>IF(AND(AR23&gt;0.34,AB23=1,OR(AQ23=6.2,AQ23=5.75)),((AQ23-DT23)-2*0.34),IF(AND(AR23&gt;0.33,AB23=1,OR(AQ23=4.4,AQ23=4)),((AQ23-DT23)-2*0.33),"- - -"))</f>
        <v>- - -</v>
      </c>
      <c r="DV23" s="142" t="str">
        <f>IF(CF23="Hưu",12*(CL23-AJ23)+(CK23-AH23),"---")</f>
        <v>---</v>
      </c>
    </row>
    <row r="24" spans="1:126" s="142" customFormat="1" ht="33" customHeight="1" x14ac:dyDescent="0.25">
      <c r="A24" s="364">
        <v>397</v>
      </c>
      <c r="B24" s="149">
        <v>9</v>
      </c>
      <c r="C24" s="149" t="str">
        <f t="shared" si="0"/>
        <v>Bà</v>
      </c>
      <c r="D24" s="163" t="s">
        <v>156</v>
      </c>
      <c r="E24" s="149" t="s">
        <v>33</v>
      </c>
      <c r="F24" s="164" t="s">
        <v>112</v>
      </c>
      <c r="G24" s="165" t="s">
        <v>11</v>
      </c>
      <c r="H24" s="165" t="s">
        <v>47</v>
      </c>
      <c r="I24" s="165" t="s">
        <v>11</v>
      </c>
      <c r="J24" s="166" t="s">
        <v>157</v>
      </c>
      <c r="K24" s="365" t="str">
        <f>IF(AND((M24+0)&gt;0.3,(M24+0)&lt;1.5),"CVụ","- -")</f>
        <v>CVụ</v>
      </c>
      <c r="L24" s="365" t="s">
        <v>125</v>
      </c>
      <c r="M24" s="365" t="str">
        <f>VLOOKUP(L24,'[1]- DLiêu Gốc -'!$B$2:$G$121,2,0)</f>
        <v>0,4</v>
      </c>
      <c r="N24" s="370"/>
      <c r="O24" s="352" t="s">
        <v>158</v>
      </c>
      <c r="P24" s="167" t="str">
        <f>VLOOKUP(U24,'[1]- DLiêu Gốc -'!$B$2:$G$56,5,0)</f>
        <v>A1</v>
      </c>
      <c r="Q24" s="167" t="str">
        <f>VLOOKUP(U24,'[1]- DLiêu Gốc -'!$B$2:$G$56,6,0)</f>
        <v>- - -</v>
      </c>
      <c r="R24" s="168" t="s">
        <v>42</v>
      </c>
      <c r="S24" s="353" t="str">
        <f t="shared" si="1"/>
        <v>Kế toán viên</v>
      </c>
      <c r="T24" s="169" t="str">
        <f t="shared" si="2"/>
        <v>06.031</v>
      </c>
      <c r="U24" s="170" t="s">
        <v>159</v>
      </c>
      <c r="V24" s="169" t="str">
        <f>VLOOKUP(U24,'[1]- DLiêu Gốc -'!$B$1:$G$121,2,0)</f>
        <v>06.031</v>
      </c>
      <c r="W24" s="171" t="str">
        <f t="shared" si="3"/>
        <v>Lương</v>
      </c>
      <c r="X24" s="172">
        <v>5</v>
      </c>
      <c r="Y24" s="173" t="str">
        <f t="shared" si="4"/>
        <v>/</v>
      </c>
      <c r="Z24" s="174">
        <f t="shared" si="5"/>
        <v>9</v>
      </c>
      <c r="AA24" s="175">
        <f t="shared" si="6"/>
        <v>3.66</v>
      </c>
      <c r="AB24" s="176">
        <f t="shared" si="7"/>
        <v>6</v>
      </c>
      <c r="AC24" s="365" t="str">
        <f t="shared" si="8"/>
        <v>/</v>
      </c>
      <c r="AD24" s="174">
        <f t="shared" si="9"/>
        <v>9</v>
      </c>
      <c r="AE24" s="177">
        <f t="shared" si="10"/>
        <v>3.99</v>
      </c>
      <c r="AF24" s="178" t="s">
        <v>10</v>
      </c>
      <c r="AG24" s="179" t="s">
        <v>11</v>
      </c>
      <c r="AH24" s="180" t="s">
        <v>60</v>
      </c>
      <c r="AI24" s="181" t="s">
        <v>11</v>
      </c>
      <c r="AJ24" s="182">
        <v>2015</v>
      </c>
      <c r="AK24" s="183"/>
      <c r="AL24" s="184"/>
      <c r="AM24" s="152">
        <f t="shared" si="11"/>
        <v>3</v>
      </c>
      <c r="AN24" s="152">
        <f t="shared" si="12"/>
        <v>-24184</v>
      </c>
      <c r="AO24" s="146"/>
      <c r="AP24" s="185"/>
      <c r="AQ24" s="154">
        <f>VLOOKUP(U24,'[1]- DLiêu Gốc -'!$B$1:$E$56,3,0)</f>
        <v>2.34</v>
      </c>
      <c r="AR24" s="148">
        <f>VLOOKUP(U24,'[1]- DLiêu Gốc -'!$B$1:$E$56,4,0)</f>
        <v>0.33</v>
      </c>
      <c r="AS24" s="186"/>
      <c r="AT24" s="187" t="str">
        <f t="shared" si="13"/>
        <v>o-o-o</v>
      </c>
      <c r="AU24" s="188"/>
      <c r="AV24" s="188"/>
      <c r="AW24" s="148">
        <f t="shared" si="14"/>
        <v>0</v>
      </c>
      <c r="AX24" s="189"/>
      <c r="AY24" s="190"/>
      <c r="AZ24" s="151"/>
      <c r="BA24" s="151"/>
      <c r="BB24" s="151"/>
      <c r="BC24" s="151"/>
      <c r="BD24" s="151"/>
      <c r="BE24" s="151"/>
      <c r="BF24" s="153" t="str">
        <f t="shared" si="15"/>
        <v>- - -</v>
      </c>
      <c r="BG24" s="191" t="str">
        <f t="shared" si="16"/>
        <v>- - -</v>
      </c>
      <c r="BH24" s="351" t="str">
        <f t="shared" si="17"/>
        <v>CC,VC</v>
      </c>
      <c r="BI24" s="148"/>
      <c r="BJ24" s="149"/>
      <c r="BK24" s="146" t="s">
        <v>9</v>
      </c>
      <c r="BL24" s="371" t="str">
        <f t="shared" si="18"/>
        <v>A</v>
      </c>
      <c r="BM24" s="146" t="str">
        <f t="shared" si="19"/>
        <v>=&gt; s</v>
      </c>
      <c r="BN24" s="372">
        <f t="shared" si="20"/>
        <v>24208</v>
      </c>
      <c r="BO24" s="373" t="str">
        <f t="shared" si="21"/>
        <v>---</v>
      </c>
      <c r="BP24" s="374"/>
      <c r="BQ24" s="375"/>
      <c r="BR24" s="376"/>
      <c r="BS24" s="376"/>
      <c r="BT24" s="374" t="str">
        <f t="shared" si="22"/>
        <v>- - -</v>
      </c>
      <c r="BU24" s="377" t="str">
        <f t="shared" si="23"/>
        <v>- - -</v>
      </c>
      <c r="BV24" s="146"/>
      <c r="BW24" s="146"/>
      <c r="BZ24" s="142" t="str">
        <f t="shared" si="24"/>
        <v>- - -</v>
      </c>
      <c r="CE24" s="142" t="str">
        <f t="shared" si="25"/>
        <v>---</v>
      </c>
      <c r="CF24" s="142" t="str">
        <f t="shared" si="26"/>
        <v>/-/ /-/</v>
      </c>
      <c r="CG24" s="142">
        <f t="shared" si="27"/>
        <v>1</v>
      </c>
      <c r="CH24" s="142">
        <f t="shared" si="28"/>
        <v>2028</v>
      </c>
      <c r="CI24" s="142">
        <f t="shared" si="29"/>
        <v>10</v>
      </c>
      <c r="CJ24" s="142">
        <f t="shared" si="30"/>
        <v>2027</v>
      </c>
      <c r="CK24" s="142">
        <f t="shared" si="31"/>
        <v>7</v>
      </c>
      <c r="CL24" s="142">
        <f t="shared" si="32"/>
        <v>2027</v>
      </c>
      <c r="CM24" s="142" t="str">
        <f t="shared" si="33"/>
        <v>- - -</v>
      </c>
      <c r="CN24" s="366" t="str">
        <f t="shared" si="34"/>
        <v>. .</v>
      </c>
      <c r="CO24" s="367"/>
      <c r="CP24" s="152">
        <f t="shared" si="35"/>
        <v>660</v>
      </c>
      <c r="CQ24" s="147">
        <f t="shared" si="36"/>
        <v>-23664</v>
      </c>
      <c r="CR24" s="185">
        <f t="shared" si="37"/>
        <v>-1972</v>
      </c>
      <c r="CS24" s="154" t="str">
        <f t="shared" si="38"/>
        <v>Nữ dưới 30</v>
      </c>
      <c r="CT24" s="148"/>
      <c r="CU24" s="186"/>
      <c r="CV24" s="187" t="str">
        <f t="shared" si="39"/>
        <v>Đến 30</v>
      </c>
      <c r="CW24" s="192" t="str">
        <f t="shared" si="40"/>
        <v>--</v>
      </c>
      <c r="CX24" s="192"/>
      <c r="CY24" s="148"/>
      <c r="CZ24" s="193"/>
      <c r="DA24" s="194"/>
      <c r="DB24" s="151"/>
      <c r="DC24" s="151"/>
      <c r="DH24" s="142" t="s">
        <v>10</v>
      </c>
      <c r="DI24" s="142" t="s">
        <v>11</v>
      </c>
      <c r="DJ24" s="142" t="s">
        <v>60</v>
      </c>
      <c r="DK24" s="142" t="s">
        <v>11</v>
      </c>
      <c r="DL24" s="142">
        <v>2012</v>
      </c>
      <c r="DM24" s="142">
        <f t="shared" si="41"/>
        <v>0</v>
      </c>
      <c r="DN24" s="142" t="str">
        <f t="shared" si="42"/>
        <v>- - -</v>
      </c>
      <c r="DO24" s="142" t="s">
        <v>10</v>
      </c>
      <c r="DP24" s="142" t="s">
        <v>11</v>
      </c>
      <c r="DQ24" s="142" t="s">
        <v>60</v>
      </c>
      <c r="DR24" s="142" t="s">
        <v>11</v>
      </c>
      <c r="DS24" s="142">
        <v>2012</v>
      </c>
      <c r="DU24" s="142" t="str">
        <f t="shared" si="43"/>
        <v>- - -</v>
      </c>
      <c r="DV24" s="142" t="str">
        <f t="shared" si="44"/>
        <v>---</v>
      </c>
    </row>
    <row r="25" spans="1:126" s="142" customFormat="1" ht="33" customHeight="1" x14ac:dyDescent="0.25">
      <c r="A25" s="364">
        <v>430</v>
      </c>
      <c r="B25" s="149">
        <v>10</v>
      </c>
      <c r="C25" s="149" t="str">
        <f>IF(E25="Nam","Ông","Bà")</f>
        <v>Bà</v>
      </c>
      <c r="D25" s="163" t="s">
        <v>141</v>
      </c>
      <c r="E25" s="149" t="s">
        <v>33</v>
      </c>
      <c r="F25" s="164" t="s">
        <v>50</v>
      </c>
      <c r="G25" s="165" t="s">
        <v>11</v>
      </c>
      <c r="H25" s="165" t="s">
        <v>41</v>
      </c>
      <c r="I25" s="165" t="s">
        <v>11</v>
      </c>
      <c r="J25" s="166" t="s">
        <v>135</v>
      </c>
      <c r="K25" s="365"/>
      <c r="L25" s="365"/>
      <c r="M25" s="365" t="e">
        <f>VLOOKUP(L25,'[1]- DLiêu Gốc -'!$B$2:$G$121,2,0)</f>
        <v>#N/A</v>
      </c>
      <c r="N25" s="370" t="s">
        <v>129</v>
      </c>
      <c r="O25" s="352" t="s">
        <v>114</v>
      </c>
      <c r="P25" s="167" t="str">
        <f>VLOOKUP(U25,'[1]- DLiêu Gốc -'!$B$2:$G$56,5,0)</f>
        <v>A1</v>
      </c>
      <c r="Q25" s="167" t="str">
        <f>VLOOKUP(U25,'[1]- DLiêu Gốc -'!$B$2:$G$56,6,0)</f>
        <v>- - -</v>
      </c>
      <c r="R25" s="168" t="s">
        <v>42</v>
      </c>
      <c r="S25" s="353" t="str">
        <f>IF(OR(U25="Kỹ thuật viên đánh máy",U25="Nhân viên đánh máy",U25="Nhân viên kỹ thuật",U25="Nhân viên văn thư",U25="Nhân viên phục vụ",U25="Lái xe cơ quan",U25="Nhân viên bảo vệ"),"Nhân viên",U25)</f>
        <v>Thư viện viên</v>
      </c>
      <c r="T25" s="169" t="str">
        <f>IF(S25="Nhân viên","01.005",V25)</f>
        <v>17.170</v>
      </c>
      <c r="U25" s="170" t="s">
        <v>130</v>
      </c>
      <c r="V25" s="169" t="str">
        <f>VLOOKUP(U25,'[1]- DLiêu Gốc -'!$B$1:$G$121,2,0)</f>
        <v>17.170</v>
      </c>
      <c r="W25" s="171" t="str">
        <f>IF(OR(AND(AN25=36,AM25=3),AND(AN25=24,AM25=2),AND(AN25=12,AM25=1)),"Đến $",IF(AND(AN25&lt;12*10,OR(AND(AN25&gt;36,AM25=3),AND(AN25&gt;24,AN25&lt;120,AM25=2),AND(AN25&gt;12,AM25=1))),"Dừng $","Lương"))</f>
        <v>Lương</v>
      </c>
      <c r="X25" s="172">
        <v>4</v>
      </c>
      <c r="Y25" s="173" t="str">
        <f>IF(Z25&gt;0,"/")</f>
        <v>/</v>
      </c>
      <c r="Z25" s="174">
        <f>IF(OR(AR25=0.18,AR25=0.2),12,IF(AR25=0.31,10,IF(AR25=0.33,9,IF(AR25=0.34,8,IF(AR25=0.36,6)))))</f>
        <v>9</v>
      </c>
      <c r="AA25" s="175">
        <f>AQ25+(X25-1)*AR25</f>
        <v>3.33</v>
      </c>
      <c r="AB25" s="176">
        <f>X25+1</f>
        <v>5</v>
      </c>
      <c r="AC25" s="365" t="str">
        <f>IF(Z25=X25,"%",IF(Z25&gt;X25,"/"))</f>
        <v>/</v>
      </c>
      <c r="AD25" s="174">
        <f>IF(AND(Z25=X25,AB25=4),5,IF(AND(Z25=X25,AB25&gt;4),AB25+1,IF(Z25&gt;X25,Z25)))</f>
        <v>9</v>
      </c>
      <c r="AE25" s="177">
        <f>IF(Z25=X25,"%",IF(Z25&gt;X25,AA25+AR25))</f>
        <v>3.66</v>
      </c>
      <c r="AF25" s="178" t="s">
        <v>10</v>
      </c>
      <c r="AG25" s="179" t="s">
        <v>11</v>
      </c>
      <c r="AH25" s="180" t="s">
        <v>60</v>
      </c>
      <c r="AI25" s="181" t="s">
        <v>11</v>
      </c>
      <c r="AJ25" s="182">
        <v>2015</v>
      </c>
      <c r="AK25" s="183"/>
      <c r="AL25" s="184">
        <v>4</v>
      </c>
      <c r="AM25" s="152">
        <f>IF(AND(Z25&gt;X25,OR(AR25=0.18,AR25=0.2)),2,IF(AND(Z25&gt;X25,OR(AR25=0.31,AR25=0.33,AR25=0.34,AR25=0.36)),3,IF(Z25=X25,1)))</f>
        <v>3</v>
      </c>
      <c r="AN25" s="152">
        <f>12*($W$2-AJ25)+($W$4-AH25)-AO25</f>
        <v>-24184</v>
      </c>
      <c r="AO25" s="146"/>
      <c r="AP25" s="185"/>
      <c r="AQ25" s="154">
        <f>VLOOKUP(U25,'[1]- DLiêu Gốc -'!$B$1:$E$56,3,0)</f>
        <v>2.34</v>
      </c>
      <c r="AR25" s="148">
        <f>VLOOKUP(U25,'[1]- DLiêu Gốc -'!$B$1:$E$56,4,0)</f>
        <v>0.33</v>
      </c>
      <c r="AS25" s="186"/>
      <c r="AT25" s="187" t="str">
        <f>IF(AND(AU25&gt;3,BF25=12),"Đến %",IF(AND(AU25&gt;3,BF25&gt;12,BF25&lt;120),"Dừng %",IF(AND(AU25&gt;3,BF25&lt;12),"PCTN","o-o-o")))</f>
        <v>o-o-o</v>
      </c>
      <c r="AU25" s="188"/>
      <c r="AV25" s="188"/>
      <c r="AW25" s="148">
        <f>IF(AU25&gt;3,AU25+1,0)</f>
        <v>0</v>
      </c>
      <c r="AX25" s="189"/>
      <c r="AY25" s="190"/>
      <c r="AZ25" s="151"/>
      <c r="BA25" s="151"/>
      <c r="BB25" s="151"/>
      <c r="BC25" s="151"/>
      <c r="BD25" s="151"/>
      <c r="BE25" s="151"/>
      <c r="BF25" s="153" t="str">
        <f>IF(AU25&gt;3,(($AT$2-BA25)*12+($AT$4-AY25)-BC25),"- - -")</f>
        <v>- - -</v>
      </c>
      <c r="BG25" s="191" t="str">
        <f>IF(AND(CF25="Hưu",AU25&gt;3),12-(12*(CL25-BA25)+(CK25-AY25))-BC25,"- - -")</f>
        <v>- - -</v>
      </c>
      <c r="BH25" s="351" t="str">
        <f>IF(BK25="công chức, viên chức","CC,VC",IF(BK25="người lao động","NLĐ","- - -"))</f>
        <v>CC,VC</v>
      </c>
      <c r="BI25" s="148"/>
      <c r="BJ25" s="149"/>
      <c r="BK25" s="146" t="s">
        <v>9</v>
      </c>
      <c r="BL25" s="371" t="str">
        <f>IF(O25="Cơ sở Học viện Hành chính khu vực miền Trung","B",IF(O25="Phân viện Khu vực Tây Nguyên","C",IF(O25="Cơ sở Học viện Hành chính tại thành phố Hồ Chí Minh","D","A")))</f>
        <v>A</v>
      </c>
      <c r="BM25" s="146" t="str">
        <f>IF(AND(AB25&gt;0,X25&lt;(Z25-1),BN25&gt;0,BN25&lt;13,OR(AND(BT25="Cùg Ng",($BM$2-BP25)&gt;AM25),BT25="- - -")),"Sớm TT","=&gt; s")</f>
        <v>=&gt; s</v>
      </c>
      <c r="BN25" s="372">
        <f>IF(AM25=3,36-(12*($BM$2-AJ25)+(12-AH25)-AO25),IF(AM25=2,24-(12*($BM$2-AJ25)+(12-AH25)-AO25),"---"))</f>
        <v>24208</v>
      </c>
      <c r="BO25" s="373" t="str">
        <f>IF(BP25&gt;1,"S","---")</f>
        <v>S</v>
      </c>
      <c r="BP25" s="374">
        <v>2012</v>
      </c>
      <c r="BQ25" s="375" t="s">
        <v>142</v>
      </c>
      <c r="BR25" s="376"/>
      <c r="BS25" s="376"/>
      <c r="BT25" s="374" t="str">
        <f>IF(T25=BQ25,"Cùg Ng","- - -")</f>
        <v>Cùg Ng</v>
      </c>
      <c r="BU25" s="377" t="str">
        <f>IF(BW25&gt;2000,"NN","- - -")</f>
        <v>- - -</v>
      </c>
      <c r="BV25" s="146"/>
      <c r="BW25" s="146"/>
      <c r="BZ25" s="142" t="str">
        <f>IF(CB25&gt;2000,"CN","- - -")</f>
        <v>- - -</v>
      </c>
      <c r="CE25" s="142" t="str">
        <f>IF(AND(CF25="Hưu",X25&lt;(Z25-1),CM25&gt;0,CM25&lt;18,OR(AU25&lt;4,AND(AU25&gt;3,OR(BG25&lt;3,BG25&gt;5)))),"Lg Sớm",IF(AND(CF25="Hưu",X25&gt;(Z25-2),OR(AR25=0.33,AR25=0.34),OR(AU25&lt;4,AND(AU25&gt;3,OR(BG25&lt;3,BG25&gt;5)))),"Nâng Ngạch",IF(AND(CF25="Hưu",AM25=1,CM25&gt;2,CM25&lt;6,OR(AU25&lt;4,AND(AU25&gt;3,OR(BG25&lt;3,BG25&gt;5)))),"Nâng PcVK cùng QĐ",IF(AND(CF25="Hưu",AU25&gt;3,BG25&gt;2,BG25&lt;6,X25&lt;(Z25-1),CM25&gt;17,OR(AM25&gt;1,AND(AM25=1,OR(CM25&lt;3,CM25&gt;5)))),"Nâng PcNG cùng QĐ",IF(AND(CF25="Hưu",X25&lt;(Z25-1),CM25&gt;0,CM25&lt;18,AU25&gt;3,BG25&gt;2,BG25&lt;6),"Nâng Lg Sớm +(PcNG cùng QĐ)",IF(AND(CF25="Hưu",X25&gt;(Z25-2),OR(AR25=0.33,AR25=0.34),AU25&gt;3,BG25&gt;2,BG25&lt;6),"Nâng Ngạch +(PcNG cùng QĐ)",IF(AND(CF25="Hưu",AM25=1,CM25&gt;2,CM25&lt;6,AU25&gt;3,BG25&gt;2,BG25&lt;6),"Nâng (PcVK +PcNG) cùng QĐ",("---"))))))))</f>
        <v>---</v>
      </c>
      <c r="CF25" s="142" t="str">
        <f>IF(AND(CQ25&gt;CP25,CQ25&lt;(CP25+13)),"Hưu",IF(AND(CQ25&gt;(CP25+12),CQ25&lt;1000),"Quá","/-/ /-/"))</f>
        <v>/-/ /-/</v>
      </c>
      <c r="CG25" s="142">
        <f>IF((H25+0)&lt;12,(H25+0)+1,IF((H25+0)=12,1,IF((H25+0)&gt;12,(H25+0)-12)))</f>
        <v>12</v>
      </c>
      <c r="CH25" s="142">
        <f>IF(OR((H25+0)=12,(H25+0)&gt;12),J25+CP25/12+1,IF(AND((H25+0)&gt;0,(H25+0)&lt;12),J25+CP25/12,"---"))</f>
        <v>2032</v>
      </c>
      <c r="CI25" s="142">
        <f>IF(AND(CG25&gt;3,CG25&lt;13),CG25-3,IF(CG25&lt;4,CG25-3+12))</f>
        <v>9</v>
      </c>
      <c r="CJ25" s="142">
        <f>IF(CI25&lt;CG25,CH25,IF(CI25&gt;CG25,CH25-1))</f>
        <v>2032</v>
      </c>
      <c r="CK25" s="142">
        <f>IF(CG25&gt;6,CG25-6,IF(CG25=6,12,IF(CG25&lt;6,CG25+6)))</f>
        <v>6</v>
      </c>
      <c r="CL25" s="142">
        <f>IF(CG25&gt;6,CH25,IF(CG25&lt;7,CH25-1))</f>
        <v>2032</v>
      </c>
      <c r="CM25" s="142" t="str">
        <f>IF(AND(CF25="Hưu",AM25=3),36+AO25-(12*(CL25-AJ25)+(CK25-AH25)),IF(AND(CF25="Hưu",AM25=2),24+AO25-(12*(CL25-AJ25)+(CK25-AH25)),IF(AND(CF25="Hưu",AM25=1),12+AO25-(12*(CL25-AJ25)+(CK25-AH25)),"- - -")))</f>
        <v>- - -</v>
      </c>
      <c r="CN25" s="366" t="str">
        <f>IF(CO25&gt;0,"K.Dài",". .")</f>
        <v>. .</v>
      </c>
      <c r="CO25" s="367"/>
      <c r="CP25" s="152">
        <f>IF(E25="Nam",(60+CO25)*12,IF(E25="Nữ",(55+CO25)*12,))</f>
        <v>660</v>
      </c>
      <c r="CQ25" s="147">
        <f>12*($CF$4-J25)+(12-H25)</f>
        <v>-23723</v>
      </c>
      <c r="CR25" s="185">
        <f>$CV$4-J25</f>
        <v>-1977</v>
      </c>
      <c r="CS25" s="154" t="str">
        <f>IF(AND(CR25&lt;35,E25="Nam"),"Nam dưới 35",IF(AND(CR25&lt;30,E25="Nữ"),"Nữ dưới 30",IF(AND(CR25&gt;34,CR25&lt;46,E25="Nam"),"Nam từ 35 - 45",IF(AND(CR25&gt;29,CR25&lt;41,E25="Nữ"),"Nữ từ 30 - 40",IF(AND(CR25&gt;45,CR25&lt;56,E25="Nam"),"Nam trên 45 - 55",IF(AND(CR25&gt;40,CR25&lt;51,E25="Nữ"),"Nữ trên 40 - 50",IF(AND(CR25&gt;55,E25="Nam"),"Nam trên 55","Nữ trên 50")))))))</f>
        <v>Nữ dưới 30</v>
      </c>
      <c r="CT25" s="148"/>
      <c r="CU25" s="186"/>
      <c r="CV25" s="187" t="str">
        <f>IF(CR25&lt;31,"Đến 30",IF(AND(CR25&gt;30,CR25&lt;46),"31 - 45",IF(AND(CR25&gt;45,CR25&lt;70),"Trên 45")))</f>
        <v>Đến 30</v>
      </c>
      <c r="CW25" s="192" t="str">
        <f>IF(CX25&gt;0,"TD","--")</f>
        <v>--</v>
      </c>
      <c r="CX25" s="192"/>
      <c r="CY25" s="148"/>
      <c r="CZ25" s="193"/>
      <c r="DA25" s="194"/>
      <c r="DB25" s="151"/>
      <c r="DC25" s="151"/>
      <c r="DG25" s="142" t="s">
        <v>129</v>
      </c>
      <c r="DH25" s="142" t="s">
        <v>10</v>
      </c>
      <c r="DI25" s="142" t="s">
        <v>11</v>
      </c>
      <c r="DJ25" s="142" t="s">
        <v>60</v>
      </c>
      <c r="DK25" s="142" t="s">
        <v>11</v>
      </c>
      <c r="DL25" s="142">
        <v>2012</v>
      </c>
      <c r="DM25" s="142">
        <f>(DH25+0)-(DO25+0)</f>
        <v>0</v>
      </c>
      <c r="DN25" s="142" t="str">
        <f>IF(DM25&gt;0,"Sửa","- - -")</f>
        <v>- - -</v>
      </c>
      <c r="DO25" s="142" t="s">
        <v>10</v>
      </c>
      <c r="DP25" s="142" t="s">
        <v>11</v>
      </c>
      <c r="DQ25" s="142" t="s">
        <v>60</v>
      </c>
      <c r="DR25" s="142" t="s">
        <v>11</v>
      </c>
      <c r="DS25" s="142">
        <v>2012</v>
      </c>
      <c r="DU25" s="142" t="str">
        <f>IF(AND(AR25&gt;0.34,AB25=1,OR(AQ25=6.2,AQ25=5.75)),((AQ25-DT25)-2*0.34),IF(AND(AR25&gt;0.33,AB25=1,OR(AQ25=4.4,AQ25=4)),((AQ25-DT25)-2*0.33),"- - -"))</f>
        <v>- - -</v>
      </c>
      <c r="DV25" s="142" t="str">
        <f>IF(CF25="Hưu",12*(CL25-AJ25)+(CK25-AH25),"---")</f>
        <v>---</v>
      </c>
    </row>
    <row r="26" spans="1:126" s="142" customFormat="1" ht="33" customHeight="1" x14ac:dyDescent="0.25">
      <c r="A26" s="364">
        <v>429</v>
      </c>
      <c r="B26" s="149">
        <v>11</v>
      </c>
      <c r="C26" s="149" t="str">
        <f t="shared" si="0"/>
        <v>Ông</v>
      </c>
      <c r="D26" s="163" t="s">
        <v>160</v>
      </c>
      <c r="E26" s="149" t="s">
        <v>40</v>
      </c>
      <c r="F26" s="164" t="s">
        <v>38</v>
      </c>
      <c r="G26" s="165" t="s">
        <v>11</v>
      </c>
      <c r="H26" s="165" t="s">
        <v>111</v>
      </c>
      <c r="I26" s="165" t="s">
        <v>11</v>
      </c>
      <c r="J26" s="166">
        <v>1980</v>
      </c>
      <c r="K26" s="365"/>
      <c r="L26" s="365"/>
      <c r="M26" s="365" t="e">
        <f>VLOOKUP(L26,'[1]- DLiêu Gốc -'!$B$2:$G$121,2,0)</f>
        <v>#N/A</v>
      </c>
      <c r="N26" s="370" t="s">
        <v>129</v>
      </c>
      <c r="O26" s="352" t="s">
        <v>114</v>
      </c>
      <c r="P26" s="167" t="str">
        <f>VLOOKUP(U26,'[1]- DLiêu Gốc -'!$B$2:$G$56,5,0)</f>
        <v>A1</v>
      </c>
      <c r="Q26" s="167" t="str">
        <f>VLOOKUP(U26,'[1]- DLiêu Gốc -'!$B$2:$G$56,6,0)</f>
        <v>- - -</v>
      </c>
      <c r="R26" s="168" t="s">
        <v>42</v>
      </c>
      <c r="S26" s="353" t="str">
        <f t="shared" si="1"/>
        <v>Chuyên viên</v>
      </c>
      <c r="T26" s="169" t="str">
        <f t="shared" si="2"/>
        <v>01.003</v>
      </c>
      <c r="U26" s="170" t="s">
        <v>43</v>
      </c>
      <c r="V26" s="169" t="str">
        <f>VLOOKUP(U26,'[1]- DLiêu Gốc -'!$B$1:$G$121,2,0)</f>
        <v>01.003</v>
      </c>
      <c r="W26" s="171" t="str">
        <f t="shared" si="3"/>
        <v>Lương</v>
      </c>
      <c r="X26" s="172">
        <v>3</v>
      </c>
      <c r="Y26" s="173" t="str">
        <f t="shared" si="4"/>
        <v>/</v>
      </c>
      <c r="Z26" s="174">
        <f t="shared" si="5"/>
        <v>9</v>
      </c>
      <c r="AA26" s="175">
        <f t="shared" si="6"/>
        <v>3</v>
      </c>
      <c r="AB26" s="176">
        <f t="shared" si="7"/>
        <v>4</v>
      </c>
      <c r="AC26" s="365" t="str">
        <f t="shared" si="8"/>
        <v>/</v>
      </c>
      <c r="AD26" s="174">
        <f t="shared" si="9"/>
        <v>9</v>
      </c>
      <c r="AE26" s="177">
        <f t="shared" si="10"/>
        <v>3.33</v>
      </c>
      <c r="AF26" s="178" t="s">
        <v>10</v>
      </c>
      <c r="AG26" s="179" t="s">
        <v>11</v>
      </c>
      <c r="AH26" s="180" t="s">
        <v>60</v>
      </c>
      <c r="AI26" s="181" t="s">
        <v>11</v>
      </c>
      <c r="AJ26" s="182">
        <v>2015</v>
      </c>
      <c r="AK26" s="183"/>
      <c r="AL26" s="184"/>
      <c r="AM26" s="152">
        <f t="shared" si="11"/>
        <v>3</v>
      </c>
      <c r="AN26" s="152">
        <f t="shared" si="12"/>
        <v>-24184</v>
      </c>
      <c r="AO26" s="146"/>
      <c r="AP26" s="185"/>
      <c r="AQ26" s="154">
        <f>VLOOKUP(U26,'[1]- DLiêu Gốc -'!$B$1:$E$56,3,0)</f>
        <v>2.34</v>
      </c>
      <c r="AR26" s="148">
        <f>VLOOKUP(U26,'[1]- DLiêu Gốc -'!$B$1:$E$56,4,0)</f>
        <v>0.33</v>
      </c>
      <c r="AS26" s="186"/>
      <c r="AT26" s="187" t="str">
        <f t="shared" si="13"/>
        <v>o-o-o</v>
      </c>
      <c r="AU26" s="188"/>
      <c r="AV26" s="188"/>
      <c r="AW26" s="148">
        <f t="shared" si="14"/>
        <v>0</v>
      </c>
      <c r="AX26" s="189"/>
      <c r="AY26" s="190"/>
      <c r="AZ26" s="151"/>
      <c r="BA26" s="151"/>
      <c r="BB26" s="151"/>
      <c r="BC26" s="151"/>
      <c r="BD26" s="151"/>
      <c r="BE26" s="151"/>
      <c r="BF26" s="153" t="str">
        <f t="shared" si="15"/>
        <v>- - -</v>
      </c>
      <c r="BG26" s="191" t="str">
        <f t="shared" si="16"/>
        <v>- - -</v>
      </c>
      <c r="BH26" s="351" t="str">
        <f t="shared" si="17"/>
        <v>CC,VC</v>
      </c>
      <c r="BI26" s="148"/>
      <c r="BJ26" s="149"/>
      <c r="BK26" s="146" t="s">
        <v>9</v>
      </c>
      <c r="BL26" s="371" t="str">
        <f t="shared" si="18"/>
        <v>A</v>
      </c>
      <c r="BM26" s="146" t="str">
        <f t="shared" si="19"/>
        <v>=&gt; s</v>
      </c>
      <c r="BN26" s="372">
        <f t="shared" si="20"/>
        <v>24208</v>
      </c>
      <c r="BO26" s="373" t="str">
        <f t="shared" si="21"/>
        <v>---</v>
      </c>
      <c r="BP26" s="374"/>
      <c r="BQ26" s="375"/>
      <c r="BR26" s="376"/>
      <c r="BS26" s="376"/>
      <c r="BT26" s="374" t="str">
        <f t="shared" si="22"/>
        <v>- - -</v>
      </c>
      <c r="BU26" s="377" t="str">
        <f t="shared" si="23"/>
        <v>- - -</v>
      </c>
      <c r="BV26" s="146"/>
      <c r="BW26" s="146"/>
      <c r="BZ26" s="142" t="str">
        <f t="shared" si="24"/>
        <v>- - -</v>
      </c>
      <c r="CE26" s="142" t="str">
        <f t="shared" si="25"/>
        <v>---</v>
      </c>
      <c r="CF26" s="142" t="str">
        <f t="shared" si="26"/>
        <v>/-/ /-/</v>
      </c>
      <c r="CG26" s="142">
        <f t="shared" si="27"/>
        <v>4</v>
      </c>
      <c r="CH26" s="142">
        <f t="shared" si="28"/>
        <v>2040</v>
      </c>
      <c r="CI26" s="142">
        <f t="shared" si="29"/>
        <v>1</v>
      </c>
      <c r="CJ26" s="142">
        <f t="shared" si="30"/>
        <v>2040</v>
      </c>
      <c r="CK26" s="142">
        <f t="shared" si="31"/>
        <v>10</v>
      </c>
      <c r="CL26" s="142">
        <f t="shared" si="32"/>
        <v>2039</v>
      </c>
      <c r="CM26" s="142" t="str">
        <f t="shared" si="33"/>
        <v>- - -</v>
      </c>
      <c r="CN26" s="366" t="str">
        <f t="shared" si="34"/>
        <v>. .</v>
      </c>
      <c r="CO26" s="367"/>
      <c r="CP26" s="152">
        <f t="shared" si="35"/>
        <v>720</v>
      </c>
      <c r="CQ26" s="147">
        <f t="shared" si="36"/>
        <v>-23751</v>
      </c>
      <c r="CR26" s="185">
        <f t="shared" si="37"/>
        <v>-1980</v>
      </c>
      <c r="CS26" s="154" t="str">
        <f t="shared" si="38"/>
        <v>Nam dưới 35</v>
      </c>
      <c r="CT26" s="148"/>
      <c r="CU26" s="186"/>
      <c r="CV26" s="187" t="str">
        <f t="shared" si="39"/>
        <v>Đến 30</v>
      </c>
      <c r="CW26" s="192" t="str">
        <f t="shared" si="40"/>
        <v>TD</v>
      </c>
      <c r="CX26" s="192">
        <v>2012</v>
      </c>
      <c r="CY26" s="148"/>
      <c r="CZ26" s="193"/>
      <c r="DA26" s="194"/>
      <c r="DB26" s="151"/>
      <c r="DC26" s="151"/>
      <c r="DG26" s="142" t="s">
        <v>129</v>
      </c>
      <c r="DH26" s="142" t="s">
        <v>10</v>
      </c>
      <c r="DI26" s="142" t="s">
        <v>11</v>
      </c>
      <c r="DJ26" s="142" t="s">
        <v>60</v>
      </c>
      <c r="DK26" s="142" t="s">
        <v>11</v>
      </c>
      <c r="DL26" s="142">
        <v>2012</v>
      </c>
      <c r="DM26" s="142">
        <f t="shared" si="41"/>
        <v>0</v>
      </c>
      <c r="DN26" s="142" t="str">
        <f t="shared" si="42"/>
        <v>- - -</v>
      </c>
      <c r="DO26" s="142" t="s">
        <v>10</v>
      </c>
      <c r="DP26" s="142" t="s">
        <v>11</v>
      </c>
      <c r="DQ26" s="142" t="s">
        <v>60</v>
      </c>
      <c r="DR26" s="142" t="s">
        <v>11</v>
      </c>
      <c r="DS26" s="142">
        <v>2012</v>
      </c>
      <c r="DU26" s="142" t="str">
        <f t="shared" si="43"/>
        <v>- - -</v>
      </c>
      <c r="DV26" s="142" t="str">
        <f t="shared" si="44"/>
        <v>---</v>
      </c>
    </row>
    <row r="27" spans="1:126" s="142" customFormat="1" ht="33" customHeight="1" x14ac:dyDescent="0.25">
      <c r="A27" s="364">
        <v>447</v>
      </c>
      <c r="B27" s="149">
        <v>12</v>
      </c>
      <c r="C27" s="149" t="str">
        <f t="shared" si="0"/>
        <v>Bà</v>
      </c>
      <c r="D27" s="163" t="s">
        <v>161</v>
      </c>
      <c r="E27" s="149" t="s">
        <v>33</v>
      </c>
      <c r="F27" s="164" t="s">
        <v>46</v>
      </c>
      <c r="G27" s="165" t="s">
        <v>11</v>
      </c>
      <c r="H27" s="165" t="s">
        <v>38</v>
      </c>
      <c r="I27" s="165" t="s">
        <v>11</v>
      </c>
      <c r="J27" s="166">
        <v>1976</v>
      </c>
      <c r="K27" s="365"/>
      <c r="L27" s="365"/>
      <c r="M27" s="365" t="e">
        <f>VLOOKUP(L27,'[1]- DLiêu Gốc -'!$B$2:$G$121,2,0)</f>
        <v>#N/A</v>
      </c>
      <c r="N27" s="370"/>
      <c r="O27" s="352" t="s">
        <v>162</v>
      </c>
      <c r="P27" s="167" t="str">
        <f>VLOOKUP(U27,'[1]- DLiêu Gốc -'!$B$2:$G$56,5,0)</f>
        <v>A1</v>
      </c>
      <c r="Q27" s="167" t="str">
        <f>VLOOKUP(U27,'[1]- DLiêu Gốc -'!$B$2:$G$56,6,0)</f>
        <v>- - -</v>
      </c>
      <c r="R27" s="168" t="s">
        <v>35</v>
      </c>
      <c r="S27" s="353" t="str">
        <f t="shared" si="1"/>
        <v>Giảng viên (hạng III)</v>
      </c>
      <c r="T27" s="169" t="str">
        <f t="shared" si="2"/>
        <v>V.07.01.03</v>
      </c>
      <c r="U27" s="170" t="s">
        <v>36</v>
      </c>
      <c r="V27" s="169" t="str">
        <f>VLOOKUP(U27,'[1]- DLiêu Gốc -'!$B$1:$G$121,2,0)</f>
        <v>V.07.01.03</v>
      </c>
      <c r="W27" s="171" t="str">
        <f t="shared" si="3"/>
        <v>Lương</v>
      </c>
      <c r="X27" s="172">
        <v>5</v>
      </c>
      <c r="Y27" s="173" t="str">
        <f t="shared" si="4"/>
        <v>/</v>
      </c>
      <c r="Z27" s="174">
        <f t="shared" si="5"/>
        <v>9</v>
      </c>
      <c r="AA27" s="175">
        <f t="shared" si="6"/>
        <v>3.66</v>
      </c>
      <c r="AB27" s="176">
        <f t="shared" si="7"/>
        <v>6</v>
      </c>
      <c r="AC27" s="365" t="str">
        <f t="shared" si="8"/>
        <v>/</v>
      </c>
      <c r="AD27" s="174">
        <f t="shared" si="9"/>
        <v>9</v>
      </c>
      <c r="AE27" s="177">
        <f t="shared" si="10"/>
        <v>3.99</v>
      </c>
      <c r="AF27" s="178" t="s">
        <v>10</v>
      </c>
      <c r="AG27" s="179" t="s">
        <v>11</v>
      </c>
      <c r="AH27" s="180" t="s">
        <v>60</v>
      </c>
      <c r="AI27" s="181" t="s">
        <v>11</v>
      </c>
      <c r="AJ27" s="182">
        <v>2015</v>
      </c>
      <c r="AK27" s="183"/>
      <c r="AL27" s="184"/>
      <c r="AM27" s="152">
        <f t="shared" si="11"/>
        <v>3</v>
      </c>
      <c r="AN27" s="152">
        <f t="shared" si="12"/>
        <v>-24184</v>
      </c>
      <c r="AO27" s="146"/>
      <c r="AP27" s="185"/>
      <c r="AQ27" s="154">
        <f>VLOOKUP(U27,'[1]- DLiêu Gốc -'!$B$1:$E$56,3,0)</f>
        <v>2.34</v>
      </c>
      <c r="AR27" s="148">
        <f>VLOOKUP(U27,'[1]- DLiêu Gốc -'!$B$1:$E$56,4,0)</f>
        <v>0.33</v>
      </c>
      <c r="AS27" s="186"/>
      <c r="AT27" s="187" t="str">
        <f t="shared" si="13"/>
        <v>PCTN</v>
      </c>
      <c r="AU27" s="188">
        <v>11</v>
      </c>
      <c r="AV27" s="188" t="s">
        <v>39</v>
      </c>
      <c r="AW27" s="148">
        <f t="shared" si="14"/>
        <v>12</v>
      </c>
      <c r="AX27" s="189" t="s">
        <v>39</v>
      </c>
      <c r="AY27" s="190" t="s">
        <v>10</v>
      </c>
      <c r="AZ27" s="151" t="s">
        <v>11</v>
      </c>
      <c r="BA27" s="151">
        <v>2015</v>
      </c>
      <c r="BB27" s="151"/>
      <c r="BC27" s="151"/>
      <c r="BD27" s="151"/>
      <c r="BE27" s="151">
        <v>1</v>
      </c>
      <c r="BF27" s="153">
        <f t="shared" si="15"/>
        <v>-24181</v>
      </c>
      <c r="BG27" s="191" t="str">
        <f t="shared" si="16"/>
        <v>- - -</v>
      </c>
      <c r="BH27" s="351" t="str">
        <f t="shared" si="17"/>
        <v>CC,VC</v>
      </c>
      <c r="BI27" s="148"/>
      <c r="BJ27" s="149"/>
      <c r="BK27" s="146" t="s">
        <v>9</v>
      </c>
      <c r="BL27" s="371" t="str">
        <f t="shared" si="18"/>
        <v>A</v>
      </c>
      <c r="BM27" s="146" t="str">
        <f t="shared" si="19"/>
        <v>=&gt; s</v>
      </c>
      <c r="BN27" s="372">
        <f t="shared" si="20"/>
        <v>24208</v>
      </c>
      <c r="BO27" s="373" t="str">
        <f t="shared" si="21"/>
        <v>---</v>
      </c>
      <c r="BP27" s="374"/>
      <c r="BQ27" s="375"/>
      <c r="BR27" s="376"/>
      <c r="BS27" s="376"/>
      <c r="BT27" s="374" t="str">
        <f t="shared" si="22"/>
        <v>- - -</v>
      </c>
      <c r="BU27" s="377" t="str">
        <f t="shared" si="23"/>
        <v>- - -</v>
      </c>
      <c r="BV27" s="146"/>
      <c r="BW27" s="146"/>
      <c r="BZ27" s="142" t="str">
        <f t="shared" si="24"/>
        <v>- - -</v>
      </c>
      <c r="CE27" s="142" t="str">
        <f t="shared" si="25"/>
        <v>---</v>
      </c>
      <c r="CF27" s="142" t="str">
        <f t="shared" si="26"/>
        <v>/-/ /-/</v>
      </c>
      <c r="CG27" s="142">
        <f t="shared" si="27"/>
        <v>3</v>
      </c>
      <c r="CH27" s="142">
        <f t="shared" si="28"/>
        <v>2031</v>
      </c>
      <c r="CI27" s="142">
        <f t="shared" si="29"/>
        <v>12</v>
      </c>
      <c r="CJ27" s="142">
        <f t="shared" si="30"/>
        <v>2030</v>
      </c>
      <c r="CK27" s="142">
        <f t="shared" si="31"/>
        <v>9</v>
      </c>
      <c r="CL27" s="142">
        <f t="shared" si="32"/>
        <v>2030</v>
      </c>
      <c r="CM27" s="142" t="str">
        <f t="shared" si="33"/>
        <v>- - -</v>
      </c>
      <c r="CN27" s="366" t="str">
        <f t="shared" si="34"/>
        <v>. .</v>
      </c>
      <c r="CO27" s="367"/>
      <c r="CP27" s="152">
        <f t="shared" si="35"/>
        <v>660</v>
      </c>
      <c r="CQ27" s="147">
        <f t="shared" si="36"/>
        <v>-23702</v>
      </c>
      <c r="CR27" s="185">
        <f t="shared" si="37"/>
        <v>-1976</v>
      </c>
      <c r="CS27" s="154" t="str">
        <f t="shared" si="38"/>
        <v>Nữ dưới 30</v>
      </c>
      <c r="CT27" s="148"/>
      <c r="CU27" s="186"/>
      <c r="CV27" s="187" t="str">
        <f t="shared" si="39"/>
        <v>Đến 30</v>
      </c>
      <c r="CW27" s="192" t="str">
        <f t="shared" si="40"/>
        <v>--</v>
      </c>
      <c r="CX27" s="192"/>
      <c r="CY27" s="148"/>
      <c r="CZ27" s="193"/>
      <c r="DA27" s="194"/>
      <c r="DB27" s="151"/>
      <c r="DC27" s="151"/>
      <c r="DH27" s="142" t="s">
        <v>10</v>
      </c>
      <c r="DI27" s="142" t="s">
        <v>11</v>
      </c>
      <c r="DJ27" s="142" t="s">
        <v>60</v>
      </c>
      <c r="DK27" s="142" t="s">
        <v>11</v>
      </c>
      <c r="DL27" s="142">
        <v>2012</v>
      </c>
      <c r="DM27" s="142">
        <f t="shared" si="41"/>
        <v>0</v>
      </c>
      <c r="DN27" s="142" t="str">
        <f t="shared" si="42"/>
        <v>- - -</v>
      </c>
      <c r="DO27" s="142" t="s">
        <v>10</v>
      </c>
      <c r="DP27" s="142" t="s">
        <v>11</v>
      </c>
      <c r="DQ27" s="142" t="s">
        <v>60</v>
      </c>
      <c r="DR27" s="142" t="s">
        <v>11</v>
      </c>
      <c r="DS27" s="142">
        <v>2012</v>
      </c>
      <c r="DU27" s="142" t="str">
        <f t="shared" si="43"/>
        <v>- - -</v>
      </c>
      <c r="DV27" s="142" t="str">
        <f t="shared" si="44"/>
        <v>---</v>
      </c>
    </row>
    <row r="28" spans="1:126" s="142" customFormat="1" ht="33" customHeight="1" x14ac:dyDescent="0.25">
      <c r="A28" s="364">
        <v>454</v>
      </c>
      <c r="B28" s="149">
        <v>13</v>
      </c>
      <c r="C28" s="149" t="str">
        <f t="shared" si="0"/>
        <v>Bà</v>
      </c>
      <c r="D28" s="350" t="s">
        <v>163</v>
      </c>
      <c r="E28" s="149" t="s">
        <v>33</v>
      </c>
      <c r="F28" s="164" t="s">
        <v>44</v>
      </c>
      <c r="G28" s="165" t="s">
        <v>11</v>
      </c>
      <c r="H28" s="165" t="s">
        <v>41</v>
      </c>
      <c r="I28" s="165" t="s">
        <v>11</v>
      </c>
      <c r="J28" s="166">
        <v>1988</v>
      </c>
      <c r="K28" s="365"/>
      <c r="L28" s="365"/>
      <c r="M28" s="365" t="e">
        <f>VLOOKUP(L28,'[1]- DLiêu Gốc -'!$B$2:$G$121,2,0)</f>
        <v>#N/A</v>
      </c>
      <c r="N28" s="370"/>
      <c r="O28" s="352" t="s">
        <v>162</v>
      </c>
      <c r="P28" s="167" t="str">
        <f>VLOOKUP(U28,'[1]- DLiêu Gốc -'!$B$2:$G$56,5,0)</f>
        <v>A1</v>
      </c>
      <c r="Q28" s="167" t="str">
        <f>VLOOKUP(U28,'[1]- DLiêu Gốc -'!$B$2:$G$56,6,0)</f>
        <v>- - -</v>
      </c>
      <c r="R28" s="168" t="s">
        <v>42</v>
      </c>
      <c r="S28" s="353" t="str">
        <f t="shared" si="1"/>
        <v>Chuyên viên</v>
      </c>
      <c r="T28" s="169" t="str">
        <f t="shared" si="2"/>
        <v>01.003</v>
      </c>
      <c r="U28" s="170" t="s">
        <v>43</v>
      </c>
      <c r="V28" s="169" t="str">
        <f>VLOOKUP(U28,'[1]- DLiêu Gốc -'!$B$1:$G$121,2,0)</f>
        <v>01.003</v>
      </c>
      <c r="W28" s="171" t="str">
        <f t="shared" si="3"/>
        <v>Lương</v>
      </c>
      <c r="X28" s="172">
        <v>1</v>
      </c>
      <c r="Y28" s="173" t="str">
        <f t="shared" si="4"/>
        <v>/</v>
      </c>
      <c r="Z28" s="174">
        <f t="shared" si="5"/>
        <v>9</v>
      </c>
      <c r="AA28" s="175">
        <f t="shared" si="6"/>
        <v>2.34</v>
      </c>
      <c r="AB28" s="176">
        <f t="shared" si="7"/>
        <v>2</v>
      </c>
      <c r="AC28" s="365" t="str">
        <f t="shared" si="8"/>
        <v>/</v>
      </c>
      <c r="AD28" s="174">
        <f t="shared" si="9"/>
        <v>9</v>
      </c>
      <c r="AE28" s="177">
        <f t="shared" si="10"/>
        <v>2.67</v>
      </c>
      <c r="AF28" s="178" t="s">
        <v>10</v>
      </c>
      <c r="AG28" s="179" t="s">
        <v>11</v>
      </c>
      <c r="AH28" s="180" t="s">
        <v>60</v>
      </c>
      <c r="AI28" s="181" t="s">
        <v>11</v>
      </c>
      <c r="AJ28" s="182">
        <v>2015</v>
      </c>
      <c r="AK28" s="183"/>
      <c r="AL28" s="184"/>
      <c r="AM28" s="152">
        <f t="shared" si="11"/>
        <v>3</v>
      </c>
      <c r="AN28" s="152">
        <f t="shared" si="12"/>
        <v>-24184</v>
      </c>
      <c r="AO28" s="146"/>
      <c r="AP28" s="185"/>
      <c r="AQ28" s="154">
        <f>VLOOKUP(U28,'[1]- DLiêu Gốc -'!$B$1:$E$56,3,0)</f>
        <v>2.34</v>
      </c>
      <c r="AR28" s="148">
        <f>VLOOKUP(U28,'[1]- DLiêu Gốc -'!$B$1:$E$56,4,0)</f>
        <v>0.33</v>
      </c>
      <c r="AS28" s="186"/>
      <c r="AT28" s="187" t="str">
        <f t="shared" si="13"/>
        <v>o-o-o</v>
      </c>
      <c r="AU28" s="188"/>
      <c r="AV28" s="188"/>
      <c r="AW28" s="148">
        <f t="shared" si="14"/>
        <v>0</v>
      </c>
      <c r="AX28" s="189"/>
      <c r="AY28" s="190"/>
      <c r="AZ28" s="151"/>
      <c r="BA28" s="151"/>
      <c r="BB28" s="151"/>
      <c r="BC28" s="151"/>
      <c r="BD28" s="151"/>
      <c r="BE28" s="151"/>
      <c r="BF28" s="153" t="str">
        <f t="shared" si="15"/>
        <v>- - -</v>
      </c>
      <c r="BG28" s="191" t="str">
        <f t="shared" si="16"/>
        <v>- - -</v>
      </c>
      <c r="BH28" s="351" t="str">
        <f t="shared" si="17"/>
        <v>NLĐ</v>
      </c>
      <c r="BI28" s="148"/>
      <c r="BJ28" s="149"/>
      <c r="BK28" s="146" t="s">
        <v>49</v>
      </c>
      <c r="BL28" s="371" t="str">
        <f t="shared" si="18"/>
        <v>A</v>
      </c>
      <c r="BM28" s="146" t="str">
        <f t="shared" si="19"/>
        <v>=&gt; s</v>
      </c>
      <c r="BN28" s="372">
        <f t="shared" si="20"/>
        <v>24208</v>
      </c>
      <c r="BO28" s="373" t="str">
        <f t="shared" si="21"/>
        <v>---</v>
      </c>
      <c r="BP28" s="374"/>
      <c r="BQ28" s="375"/>
      <c r="BR28" s="376"/>
      <c r="BS28" s="376"/>
      <c r="BT28" s="374" t="str">
        <f t="shared" si="22"/>
        <v>- - -</v>
      </c>
      <c r="BU28" s="377" t="str">
        <f t="shared" si="23"/>
        <v>- - -</v>
      </c>
      <c r="BV28" s="146"/>
      <c r="BW28" s="146"/>
      <c r="BZ28" s="142" t="str">
        <f t="shared" si="24"/>
        <v>- - -</v>
      </c>
      <c r="CE28" s="142" t="str">
        <f t="shared" si="25"/>
        <v>---</v>
      </c>
      <c r="CF28" s="142" t="str">
        <f t="shared" si="26"/>
        <v>/-/ /-/</v>
      </c>
      <c r="CG28" s="142">
        <f t="shared" si="27"/>
        <v>12</v>
      </c>
      <c r="CH28" s="142">
        <f t="shared" si="28"/>
        <v>2043</v>
      </c>
      <c r="CI28" s="142">
        <f t="shared" si="29"/>
        <v>9</v>
      </c>
      <c r="CJ28" s="142">
        <f t="shared" si="30"/>
        <v>2043</v>
      </c>
      <c r="CK28" s="142">
        <f t="shared" si="31"/>
        <v>6</v>
      </c>
      <c r="CL28" s="142">
        <f t="shared" si="32"/>
        <v>2043</v>
      </c>
      <c r="CM28" s="142" t="str">
        <f t="shared" si="33"/>
        <v>- - -</v>
      </c>
      <c r="CN28" s="366" t="str">
        <f t="shared" si="34"/>
        <v>. .</v>
      </c>
      <c r="CO28" s="367"/>
      <c r="CP28" s="152">
        <f t="shared" si="35"/>
        <v>660</v>
      </c>
      <c r="CQ28" s="147">
        <f t="shared" si="36"/>
        <v>-23855</v>
      </c>
      <c r="CR28" s="185">
        <f t="shared" si="37"/>
        <v>-1988</v>
      </c>
      <c r="CS28" s="154" t="str">
        <f t="shared" si="38"/>
        <v>Nữ dưới 30</v>
      </c>
      <c r="CT28" s="148"/>
      <c r="CU28" s="186"/>
      <c r="CV28" s="187" t="str">
        <f t="shared" si="39"/>
        <v>Đến 30</v>
      </c>
      <c r="CW28" s="192" t="str">
        <f t="shared" si="40"/>
        <v>--</v>
      </c>
      <c r="CX28" s="192"/>
      <c r="CY28" s="148"/>
      <c r="CZ28" s="193"/>
      <c r="DA28" s="194"/>
      <c r="DB28" s="151"/>
      <c r="DC28" s="151"/>
      <c r="DH28" s="142" t="s">
        <v>10</v>
      </c>
      <c r="DI28" s="142" t="s">
        <v>11</v>
      </c>
      <c r="DJ28" s="142" t="s">
        <v>60</v>
      </c>
      <c r="DK28" s="142" t="s">
        <v>11</v>
      </c>
      <c r="DL28" s="142" t="s">
        <v>45</v>
      </c>
      <c r="DM28" s="142">
        <f t="shared" si="41"/>
        <v>0</v>
      </c>
      <c r="DN28" s="142" t="str">
        <f t="shared" si="42"/>
        <v>- - -</v>
      </c>
      <c r="DO28" s="142" t="s">
        <v>10</v>
      </c>
      <c r="DP28" s="142" t="s">
        <v>11</v>
      </c>
      <c r="DQ28" s="142" t="s">
        <v>60</v>
      </c>
      <c r="DR28" s="142" t="s">
        <v>11</v>
      </c>
      <c r="DS28" s="142" t="s">
        <v>45</v>
      </c>
      <c r="DU28" s="142" t="str">
        <f t="shared" si="43"/>
        <v>- - -</v>
      </c>
      <c r="DV28" s="142" t="str">
        <f t="shared" si="44"/>
        <v>---</v>
      </c>
    </row>
    <row r="29" spans="1:126" s="142" customFormat="1" ht="51" customHeight="1" x14ac:dyDescent="0.25">
      <c r="A29" s="364">
        <v>480</v>
      </c>
      <c r="B29" s="149">
        <v>14</v>
      </c>
      <c r="C29" s="149" t="str">
        <f t="shared" si="0"/>
        <v>Bà</v>
      </c>
      <c r="D29" s="163" t="s">
        <v>164</v>
      </c>
      <c r="E29" s="149" t="s">
        <v>33</v>
      </c>
      <c r="F29" s="164" t="s">
        <v>59</v>
      </c>
      <c r="G29" s="165" t="s">
        <v>11</v>
      </c>
      <c r="H29" s="165" t="s">
        <v>12</v>
      </c>
      <c r="I29" s="165" t="s">
        <v>11</v>
      </c>
      <c r="J29" s="166">
        <v>1988</v>
      </c>
      <c r="K29" s="365"/>
      <c r="L29" s="365"/>
      <c r="M29" s="365" t="e">
        <f>VLOOKUP(L29,'[1]- DLiêu Gốc -'!$B$2:$G$121,2,0)</f>
        <v>#N/A</v>
      </c>
      <c r="N29" s="378" t="s">
        <v>131</v>
      </c>
      <c r="O29" s="352" t="s">
        <v>57</v>
      </c>
      <c r="P29" s="167" t="str">
        <f>VLOOKUP(U29,'[1]- DLiêu Gốc -'!$B$2:$G$56,5,0)</f>
        <v>B</v>
      </c>
      <c r="Q29" s="167" t="str">
        <f>VLOOKUP(U29,'[1]- DLiêu Gốc -'!$B$2:$G$56,6,0)</f>
        <v>- - -</v>
      </c>
      <c r="R29" s="168" t="s">
        <v>42</v>
      </c>
      <c r="S29" s="353" t="str">
        <f t="shared" si="1"/>
        <v>Cán sự</v>
      </c>
      <c r="T29" s="169" t="str">
        <f t="shared" si="2"/>
        <v>01.004</v>
      </c>
      <c r="U29" s="170" t="s">
        <v>165</v>
      </c>
      <c r="V29" s="169" t="str">
        <f>VLOOKUP(U29,'[1]- DLiêu Gốc -'!$B$1:$G$121,2,0)</f>
        <v>01.004</v>
      </c>
      <c r="W29" s="171" t="str">
        <f t="shared" si="3"/>
        <v>Lương</v>
      </c>
      <c r="X29" s="172">
        <v>2</v>
      </c>
      <c r="Y29" s="173" t="str">
        <f t="shared" si="4"/>
        <v>/</v>
      </c>
      <c r="Z29" s="174">
        <f t="shared" si="5"/>
        <v>12</v>
      </c>
      <c r="AA29" s="175">
        <f t="shared" si="6"/>
        <v>2.06</v>
      </c>
      <c r="AB29" s="176">
        <f t="shared" si="7"/>
        <v>3</v>
      </c>
      <c r="AC29" s="365" t="str">
        <f t="shared" si="8"/>
        <v>/</v>
      </c>
      <c r="AD29" s="174">
        <f t="shared" si="9"/>
        <v>12</v>
      </c>
      <c r="AE29" s="177">
        <f t="shared" si="10"/>
        <v>2.2600000000000002</v>
      </c>
      <c r="AF29" s="178" t="s">
        <v>10</v>
      </c>
      <c r="AG29" s="179" t="s">
        <v>11</v>
      </c>
      <c r="AH29" s="180" t="s">
        <v>60</v>
      </c>
      <c r="AI29" s="181" t="s">
        <v>11</v>
      </c>
      <c r="AJ29" s="182">
        <v>2015</v>
      </c>
      <c r="AK29" s="183" t="s">
        <v>166</v>
      </c>
      <c r="AL29" s="184"/>
      <c r="AM29" s="152">
        <f t="shared" si="11"/>
        <v>2</v>
      </c>
      <c r="AN29" s="152">
        <f t="shared" si="12"/>
        <v>-24184</v>
      </c>
      <c r="AO29" s="146"/>
      <c r="AP29" s="185"/>
      <c r="AQ29" s="154">
        <f>VLOOKUP(U29,'[1]- DLiêu Gốc -'!$B$1:$E$56,3,0)</f>
        <v>1.86</v>
      </c>
      <c r="AR29" s="148">
        <f>VLOOKUP(U29,'[1]- DLiêu Gốc -'!$B$1:$E$56,4,0)</f>
        <v>0.2</v>
      </c>
      <c r="AS29" s="186"/>
      <c r="AT29" s="187" t="str">
        <f t="shared" si="13"/>
        <v>o-o-o</v>
      </c>
      <c r="AU29" s="188"/>
      <c r="AV29" s="188"/>
      <c r="AW29" s="148">
        <f t="shared" si="14"/>
        <v>0</v>
      </c>
      <c r="AX29" s="189"/>
      <c r="AY29" s="190"/>
      <c r="AZ29" s="151"/>
      <c r="BA29" s="151"/>
      <c r="BB29" s="151"/>
      <c r="BC29" s="151"/>
      <c r="BD29" s="151"/>
      <c r="BE29" s="151"/>
      <c r="BF29" s="153" t="str">
        <f t="shared" si="15"/>
        <v>- - -</v>
      </c>
      <c r="BG29" s="191" t="str">
        <f t="shared" si="16"/>
        <v>- - -</v>
      </c>
      <c r="BH29" s="351" t="str">
        <f t="shared" si="17"/>
        <v>NLĐ</v>
      </c>
      <c r="BI29" s="148"/>
      <c r="BJ29" s="149"/>
      <c r="BK29" s="146" t="s">
        <v>49</v>
      </c>
      <c r="BL29" s="371" t="str">
        <f t="shared" si="18"/>
        <v>A</v>
      </c>
      <c r="BM29" s="146" t="str">
        <f t="shared" si="19"/>
        <v>=&gt; s</v>
      </c>
      <c r="BN29" s="372">
        <f t="shared" si="20"/>
        <v>24196</v>
      </c>
      <c r="BO29" s="373" t="str">
        <f t="shared" si="21"/>
        <v>---</v>
      </c>
      <c r="BP29" s="374"/>
      <c r="BQ29" s="375"/>
      <c r="BR29" s="376"/>
      <c r="BS29" s="376"/>
      <c r="BT29" s="374" t="str">
        <f t="shared" si="22"/>
        <v>- - -</v>
      </c>
      <c r="BU29" s="377" t="str">
        <f t="shared" si="23"/>
        <v>- - -</v>
      </c>
      <c r="BV29" s="146"/>
      <c r="BW29" s="146"/>
      <c r="BZ29" s="142" t="str">
        <f t="shared" si="24"/>
        <v>- - -</v>
      </c>
      <c r="CE29" s="142" t="str">
        <f t="shared" si="25"/>
        <v>---</v>
      </c>
      <c r="CF29" s="142" t="str">
        <f t="shared" si="26"/>
        <v>/-/ /-/</v>
      </c>
      <c r="CG29" s="142">
        <f t="shared" si="27"/>
        <v>8</v>
      </c>
      <c r="CH29" s="142">
        <f t="shared" si="28"/>
        <v>2043</v>
      </c>
      <c r="CI29" s="142">
        <f t="shared" si="29"/>
        <v>5</v>
      </c>
      <c r="CJ29" s="142">
        <f t="shared" si="30"/>
        <v>2043</v>
      </c>
      <c r="CK29" s="142">
        <f t="shared" si="31"/>
        <v>2</v>
      </c>
      <c r="CL29" s="142">
        <f t="shared" si="32"/>
        <v>2043</v>
      </c>
      <c r="CM29" s="142" t="str">
        <f t="shared" si="33"/>
        <v>- - -</v>
      </c>
      <c r="CN29" s="366" t="str">
        <f t="shared" si="34"/>
        <v>. .</v>
      </c>
      <c r="CO29" s="367"/>
      <c r="CP29" s="152">
        <f t="shared" si="35"/>
        <v>660</v>
      </c>
      <c r="CQ29" s="147">
        <f t="shared" si="36"/>
        <v>-23851</v>
      </c>
      <c r="CR29" s="185">
        <f t="shared" si="37"/>
        <v>-1988</v>
      </c>
      <c r="CS29" s="154" t="str">
        <f t="shared" si="38"/>
        <v>Nữ dưới 30</v>
      </c>
      <c r="CT29" s="148"/>
      <c r="CU29" s="186"/>
      <c r="CV29" s="187" t="str">
        <f t="shared" si="39"/>
        <v>Đến 30</v>
      </c>
      <c r="CW29" s="192" t="str">
        <f t="shared" si="40"/>
        <v>--</v>
      </c>
      <c r="CX29" s="192"/>
      <c r="CY29" s="148"/>
      <c r="CZ29" s="193"/>
      <c r="DA29" s="194"/>
      <c r="DB29" s="151"/>
      <c r="DC29" s="151"/>
      <c r="DG29" s="142" t="s">
        <v>131</v>
      </c>
      <c r="DH29" s="142" t="s">
        <v>10</v>
      </c>
      <c r="DI29" s="142" t="s">
        <v>11</v>
      </c>
      <c r="DJ29" s="142" t="s">
        <v>60</v>
      </c>
      <c r="DK29" s="142" t="s">
        <v>11</v>
      </c>
      <c r="DL29" s="142">
        <v>2013</v>
      </c>
      <c r="DM29" s="142">
        <f t="shared" si="41"/>
        <v>0</v>
      </c>
      <c r="DN29" s="142" t="str">
        <f t="shared" si="42"/>
        <v>- - -</v>
      </c>
      <c r="DO29" s="142" t="s">
        <v>10</v>
      </c>
      <c r="DP29" s="142" t="s">
        <v>11</v>
      </c>
      <c r="DQ29" s="142" t="s">
        <v>60</v>
      </c>
      <c r="DR29" s="142" t="s">
        <v>11</v>
      </c>
      <c r="DS29" s="142">
        <v>2013</v>
      </c>
      <c r="DU29" s="142" t="str">
        <f t="shared" si="43"/>
        <v>- - -</v>
      </c>
      <c r="DV29" s="142" t="str">
        <f t="shared" si="44"/>
        <v>---</v>
      </c>
    </row>
    <row r="30" spans="1:126" s="142" customFormat="1" ht="33" customHeight="1" x14ac:dyDescent="0.25">
      <c r="A30" s="364">
        <v>493</v>
      </c>
      <c r="B30" s="149">
        <v>15</v>
      </c>
      <c r="C30" s="149" t="str">
        <f t="shared" si="0"/>
        <v>Bà</v>
      </c>
      <c r="D30" s="163" t="s">
        <v>167</v>
      </c>
      <c r="E30" s="149" t="s">
        <v>33</v>
      </c>
      <c r="F30" s="164" t="s">
        <v>122</v>
      </c>
      <c r="G30" s="165" t="s">
        <v>11</v>
      </c>
      <c r="H30" s="165" t="s">
        <v>54</v>
      </c>
      <c r="I30" s="165" t="s">
        <v>11</v>
      </c>
      <c r="J30" s="166" t="s">
        <v>168</v>
      </c>
      <c r="K30" s="365"/>
      <c r="L30" s="365"/>
      <c r="M30" s="365" t="e">
        <f>VLOOKUP(L30,'[1]- DLiêu Gốc -'!$B$2:$G$121,2,0)</f>
        <v>#N/A</v>
      </c>
      <c r="N30" s="378" t="s">
        <v>62</v>
      </c>
      <c r="O30" s="352" t="s">
        <v>57</v>
      </c>
      <c r="P30" s="167" t="str">
        <f>VLOOKUP(U30,'[1]- DLiêu Gốc -'!$B$2:$G$56,5,0)</f>
        <v>A1</v>
      </c>
      <c r="Q30" s="167" t="str">
        <f>VLOOKUP(U30,'[1]- DLiêu Gốc -'!$B$2:$G$56,6,0)</f>
        <v>- - -</v>
      </c>
      <c r="R30" s="168" t="s">
        <v>42</v>
      </c>
      <c r="S30" s="353" t="str">
        <f t="shared" si="1"/>
        <v>Chuyên viên</v>
      </c>
      <c r="T30" s="169" t="str">
        <f t="shared" si="2"/>
        <v>01.003</v>
      </c>
      <c r="U30" s="170" t="s">
        <v>43</v>
      </c>
      <c r="V30" s="169" t="str">
        <f>VLOOKUP(U30,'[1]- DLiêu Gốc -'!$B$1:$G$121,2,0)</f>
        <v>01.003</v>
      </c>
      <c r="W30" s="171" t="str">
        <f t="shared" si="3"/>
        <v>Lương</v>
      </c>
      <c r="X30" s="172">
        <v>6</v>
      </c>
      <c r="Y30" s="173" t="str">
        <f t="shared" si="4"/>
        <v>/</v>
      </c>
      <c r="Z30" s="174">
        <f t="shared" si="5"/>
        <v>9</v>
      </c>
      <c r="AA30" s="175">
        <f t="shared" si="6"/>
        <v>3.99</v>
      </c>
      <c r="AB30" s="176">
        <f t="shared" si="7"/>
        <v>7</v>
      </c>
      <c r="AC30" s="365" t="str">
        <f t="shared" si="8"/>
        <v>/</v>
      </c>
      <c r="AD30" s="174">
        <f t="shared" si="9"/>
        <v>9</v>
      </c>
      <c r="AE30" s="177">
        <f t="shared" si="10"/>
        <v>4.32</v>
      </c>
      <c r="AF30" s="178" t="s">
        <v>10</v>
      </c>
      <c r="AG30" s="179" t="s">
        <v>11</v>
      </c>
      <c r="AH30" s="180" t="s">
        <v>60</v>
      </c>
      <c r="AI30" s="181" t="s">
        <v>11</v>
      </c>
      <c r="AJ30" s="182">
        <v>2015</v>
      </c>
      <c r="AK30" s="183"/>
      <c r="AL30" s="184"/>
      <c r="AM30" s="152">
        <f t="shared" si="11"/>
        <v>3</v>
      </c>
      <c r="AN30" s="152">
        <f t="shared" si="12"/>
        <v>-24184</v>
      </c>
      <c r="AO30" s="146"/>
      <c r="AP30" s="185"/>
      <c r="AQ30" s="154">
        <f>VLOOKUP(U30,'[1]- DLiêu Gốc -'!$B$1:$E$56,3,0)</f>
        <v>2.34</v>
      </c>
      <c r="AR30" s="148">
        <f>VLOOKUP(U30,'[1]- DLiêu Gốc -'!$B$1:$E$56,4,0)</f>
        <v>0.33</v>
      </c>
      <c r="AS30" s="186"/>
      <c r="AT30" s="187" t="str">
        <f t="shared" si="13"/>
        <v>o-o-o</v>
      </c>
      <c r="AU30" s="188"/>
      <c r="AV30" s="188"/>
      <c r="AW30" s="148">
        <f t="shared" si="14"/>
        <v>0</v>
      </c>
      <c r="AX30" s="189"/>
      <c r="AY30" s="190"/>
      <c r="AZ30" s="151"/>
      <c r="BA30" s="151"/>
      <c r="BB30" s="151"/>
      <c r="BC30" s="151"/>
      <c r="BD30" s="151"/>
      <c r="BE30" s="151"/>
      <c r="BF30" s="153" t="str">
        <f t="shared" si="15"/>
        <v>- - -</v>
      </c>
      <c r="BG30" s="191" t="str">
        <f t="shared" si="16"/>
        <v>- - -</v>
      </c>
      <c r="BH30" s="351" t="str">
        <f t="shared" si="17"/>
        <v>CC,VC</v>
      </c>
      <c r="BI30" s="148"/>
      <c r="BJ30" s="149"/>
      <c r="BK30" s="146" t="s">
        <v>9</v>
      </c>
      <c r="BL30" s="371" t="str">
        <f t="shared" si="18"/>
        <v>A</v>
      </c>
      <c r="BM30" s="146" t="str">
        <f t="shared" si="19"/>
        <v>=&gt; s</v>
      </c>
      <c r="BN30" s="372">
        <f t="shared" si="20"/>
        <v>24208</v>
      </c>
      <c r="BO30" s="373" t="str">
        <f t="shared" si="21"/>
        <v>---</v>
      </c>
      <c r="BP30" s="374"/>
      <c r="BQ30" s="375"/>
      <c r="BR30" s="376"/>
      <c r="BS30" s="376"/>
      <c r="BT30" s="374" t="str">
        <f t="shared" si="22"/>
        <v>- - -</v>
      </c>
      <c r="BU30" s="377" t="str">
        <f t="shared" si="23"/>
        <v>- - -</v>
      </c>
      <c r="BV30" s="146"/>
      <c r="BW30" s="146"/>
      <c r="BZ30" s="142" t="str">
        <f t="shared" si="24"/>
        <v>- - -</v>
      </c>
      <c r="CE30" s="142" t="str">
        <f t="shared" si="25"/>
        <v>---</v>
      </c>
      <c r="CF30" s="142" t="str">
        <f t="shared" si="26"/>
        <v>/-/ /-/</v>
      </c>
      <c r="CG30" s="142">
        <f t="shared" si="27"/>
        <v>11</v>
      </c>
      <c r="CH30" s="142">
        <f t="shared" si="28"/>
        <v>2028</v>
      </c>
      <c r="CI30" s="142">
        <f t="shared" si="29"/>
        <v>8</v>
      </c>
      <c r="CJ30" s="142">
        <f t="shared" si="30"/>
        <v>2028</v>
      </c>
      <c r="CK30" s="142">
        <f t="shared" si="31"/>
        <v>5</v>
      </c>
      <c r="CL30" s="142">
        <f t="shared" si="32"/>
        <v>2028</v>
      </c>
      <c r="CM30" s="142" t="str">
        <f t="shared" si="33"/>
        <v>- - -</v>
      </c>
      <c r="CN30" s="366" t="str">
        <f t="shared" si="34"/>
        <v>. .</v>
      </c>
      <c r="CO30" s="367"/>
      <c r="CP30" s="152">
        <f t="shared" si="35"/>
        <v>660</v>
      </c>
      <c r="CQ30" s="147">
        <f t="shared" si="36"/>
        <v>-23674</v>
      </c>
      <c r="CR30" s="185">
        <f t="shared" si="37"/>
        <v>-1973</v>
      </c>
      <c r="CS30" s="154" t="str">
        <f t="shared" si="38"/>
        <v>Nữ dưới 30</v>
      </c>
      <c r="CT30" s="148"/>
      <c r="CU30" s="186"/>
      <c r="CV30" s="187" t="str">
        <f t="shared" si="39"/>
        <v>Đến 30</v>
      </c>
      <c r="CW30" s="192" t="str">
        <f t="shared" si="40"/>
        <v>--</v>
      </c>
      <c r="CX30" s="192"/>
      <c r="CY30" s="148"/>
      <c r="CZ30" s="193"/>
      <c r="DA30" s="194"/>
      <c r="DB30" s="151"/>
      <c r="DC30" s="151"/>
      <c r="DG30" s="142" t="s">
        <v>62</v>
      </c>
      <c r="DH30" s="142" t="s">
        <v>10</v>
      </c>
      <c r="DI30" s="142" t="s">
        <v>11</v>
      </c>
      <c r="DJ30" s="142" t="s">
        <v>60</v>
      </c>
      <c r="DK30" s="142" t="s">
        <v>11</v>
      </c>
      <c r="DL30" s="142">
        <v>2012</v>
      </c>
      <c r="DM30" s="142">
        <f t="shared" si="41"/>
        <v>0</v>
      </c>
      <c r="DN30" s="142" t="str">
        <f t="shared" si="42"/>
        <v>- - -</v>
      </c>
      <c r="DO30" s="142" t="s">
        <v>10</v>
      </c>
      <c r="DP30" s="142" t="s">
        <v>11</v>
      </c>
      <c r="DQ30" s="142" t="s">
        <v>60</v>
      </c>
      <c r="DR30" s="142" t="s">
        <v>11</v>
      </c>
      <c r="DS30" s="142">
        <v>2012</v>
      </c>
      <c r="DU30" s="142" t="str">
        <f t="shared" si="43"/>
        <v>- - -</v>
      </c>
      <c r="DV30" s="142" t="str">
        <f t="shared" si="44"/>
        <v>---</v>
      </c>
    </row>
    <row r="31" spans="1:126" s="201" customFormat="1" ht="21" customHeight="1" x14ac:dyDescent="0.3">
      <c r="A31" s="195"/>
      <c r="B31" s="196" t="s">
        <v>63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8"/>
      <c r="Q31" s="198"/>
      <c r="R31" s="198"/>
      <c r="S31" s="199"/>
      <c r="T31" s="200"/>
      <c r="U31" s="199"/>
      <c r="V31" s="131"/>
      <c r="W31" s="131"/>
      <c r="X31" s="417" t="s">
        <v>64</v>
      </c>
      <c r="Y31" s="417"/>
      <c r="Z31" s="417"/>
      <c r="AA31" s="417"/>
      <c r="AB31" s="417"/>
      <c r="AC31" s="417"/>
      <c r="AD31" s="417"/>
      <c r="AE31" s="417"/>
      <c r="AF31" s="417"/>
      <c r="AG31" s="417"/>
      <c r="AH31" s="417"/>
      <c r="AI31" s="417"/>
      <c r="AJ31" s="417"/>
      <c r="AK31" s="417"/>
      <c r="AL31" s="417"/>
      <c r="AM31" s="417"/>
      <c r="AN31" s="417"/>
      <c r="AO31" s="417"/>
      <c r="AP31" s="417"/>
      <c r="AQ31" s="417"/>
      <c r="AR31" s="417"/>
      <c r="AS31" s="417"/>
      <c r="AT31" s="417"/>
      <c r="AU31" s="417"/>
      <c r="AV31" s="417"/>
      <c r="AW31" s="417"/>
      <c r="AX31" s="417"/>
      <c r="AY31" s="417"/>
      <c r="AZ31" s="417"/>
      <c r="BA31" s="417"/>
      <c r="BB31" s="417"/>
      <c r="BC31" s="417"/>
      <c r="BD31" s="417"/>
      <c r="BE31" s="417"/>
      <c r="BF31" s="417"/>
      <c r="BG31" s="417"/>
      <c r="BH31" s="417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/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/>
      <c r="CV31" s="236"/>
      <c r="CW31" s="236"/>
      <c r="CX31" s="236"/>
      <c r="CY31" s="236"/>
    </row>
    <row r="32" spans="1:126" s="209" customFormat="1" ht="15.75" x14ac:dyDescent="0.25">
      <c r="A32" s="202"/>
      <c r="B32" s="211" t="s">
        <v>67</v>
      </c>
      <c r="C32" s="203"/>
      <c r="D32" s="201"/>
      <c r="E32" s="204"/>
      <c r="F32" s="203"/>
      <c r="G32" s="205"/>
      <c r="H32" s="201"/>
      <c r="I32" s="206"/>
      <c r="J32" s="206"/>
      <c r="K32" s="206"/>
      <c r="L32" s="206"/>
      <c r="M32" s="206"/>
      <c r="N32" s="207"/>
      <c r="O32" s="207"/>
      <c r="P32" s="206"/>
      <c r="Q32" s="206"/>
      <c r="R32" s="206"/>
      <c r="S32" s="207"/>
      <c r="T32" s="204"/>
      <c r="U32" s="207"/>
      <c r="V32" s="208"/>
      <c r="W32" s="208"/>
      <c r="X32" s="417" t="s">
        <v>66</v>
      </c>
      <c r="Y32" s="417"/>
      <c r="Z32" s="417"/>
      <c r="AA32" s="417"/>
      <c r="AB32" s="417"/>
      <c r="AC32" s="417"/>
      <c r="AD32" s="417"/>
      <c r="AE32" s="417"/>
      <c r="AF32" s="417"/>
      <c r="AG32" s="417"/>
      <c r="AH32" s="417"/>
      <c r="AI32" s="417"/>
      <c r="AJ32" s="417"/>
      <c r="AK32" s="417"/>
      <c r="AL32" s="417"/>
      <c r="AM32" s="417"/>
      <c r="AN32" s="417"/>
      <c r="AO32" s="417"/>
      <c r="AP32" s="417"/>
      <c r="AQ32" s="417"/>
      <c r="AR32" s="417"/>
      <c r="AS32" s="417"/>
      <c r="AT32" s="417"/>
      <c r="AU32" s="417"/>
      <c r="AV32" s="417"/>
      <c r="AW32" s="417"/>
      <c r="AX32" s="417"/>
      <c r="AY32" s="417"/>
      <c r="AZ32" s="417"/>
      <c r="BA32" s="417"/>
      <c r="BB32" s="417"/>
      <c r="BC32" s="417"/>
      <c r="BD32" s="417"/>
      <c r="BE32" s="417"/>
      <c r="BF32" s="417"/>
      <c r="BG32" s="417"/>
      <c r="BH32" s="41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7"/>
      <c r="BW32" s="237"/>
      <c r="BX32" s="237"/>
      <c r="BY32" s="237"/>
      <c r="BZ32" s="237"/>
      <c r="CA32" s="237"/>
      <c r="CB32" s="237"/>
      <c r="CC32" s="237"/>
      <c r="CD32" s="237"/>
      <c r="CE32" s="237"/>
      <c r="CF32" s="237"/>
      <c r="CG32" s="237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237"/>
      <c r="CY32" s="237"/>
    </row>
    <row r="33" spans="1:107" s="219" customFormat="1" ht="15.75" x14ac:dyDescent="0.25">
      <c r="A33" s="210">
        <v>690</v>
      </c>
      <c r="B33" s="211" t="s">
        <v>69</v>
      </c>
      <c r="C33" s="203"/>
      <c r="D33" s="201"/>
      <c r="E33" s="204"/>
      <c r="F33" s="203"/>
      <c r="G33" s="205"/>
      <c r="H33" s="201"/>
      <c r="I33" s="206"/>
      <c r="J33" s="206"/>
      <c r="K33" s="206"/>
      <c r="L33" s="206"/>
      <c r="M33" s="206"/>
      <c r="N33" s="207"/>
      <c r="O33" s="207"/>
      <c r="P33" s="206"/>
      <c r="Q33" s="206"/>
      <c r="R33" s="206"/>
      <c r="S33" s="207"/>
      <c r="T33" s="204"/>
      <c r="U33" s="207"/>
      <c r="V33" s="208"/>
      <c r="W33" s="208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3"/>
      <c r="AL33" s="214"/>
      <c r="AM33" s="214"/>
      <c r="AN33" s="214"/>
      <c r="AO33" s="214"/>
      <c r="AP33" s="214"/>
      <c r="AQ33" s="214"/>
      <c r="AR33" s="214"/>
      <c r="AS33" s="214"/>
      <c r="AT33" s="214"/>
      <c r="AU33" s="215"/>
      <c r="AV33" s="215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73"/>
      <c r="BJ33" s="274"/>
      <c r="BK33" s="275"/>
      <c r="BL33" s="276"/>
      <c r="BM33" s="275"/>
      <c r="BN33" s="239"/>
      <c r="BO33" s="240"/>
      <c r="BP33" s="241"/>
      <c r="BQ33" s="242"/>
      <c r="BR33" s="243"/>
      <c r="BS33" s="243"/>
      <c r="BT33" s="241"/>
      <c r="BU33" s="244"/>
      <c r="BV33" s="238"/>
      <c r="BW33" s="238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6"/>
      <c r="CO33" s="247"/>
      <c r="CP33" s="248"/>
      <c r="CQ33" s="249"/>
      <c r="CR33" s="250"/>
      <c r="CS33" s="251"/>
      <c r="CT33" s="252"/>
      <c r="CU33" s="253"/>
      <c r="CV33" s="254"/>
      <c r="CW33" s="255"/>
      <c r="CX33" s="255"/>
      <c r="CY33" s="252"/>
      <c r="CZ33" s="216"/>
      <c r="DA33" s="217"/>
      <c r="DB33" s="218"/>
      <c r="DC33" s="218"/>
    </row>
    <row r="34" spans="1:107" s="219" customFormat="1" ht="15.75" x14ac:dyDescent="0.25">
      <c r="A34" s="210">
        <v>721</v>
      </c>
      <c r="B34" s="211"/>
      <c r="C34" s="203"/>
      <c r="D34" s="201"/>
      <c r="E34" s="204"/>
      <c r="F34" s="203"/>
      <c r="G34" s="205"/>
      <c r="H34" s="201"/>
      <c r="I34" s="220"/>
      <c r="J34" s="220"/>
      <c r="K34" s="220"/>
      <c r="L34" s="220"/>
      <c r="M34" s="220"/>
      <c r="N34" s="221"/>
      <c r="O34" s="221"/>
      <c r="P34" s="220"/>
      <c r="Q34" s="220"/>
      <c r="R34" s="220"/>
      <c r="S34" s="221"/>
      <c r="T34" s="222"/>
      <c r="U34" s="221"/>
      <c r="V34" s="208"/>
      <c r="W34" s="208"/>
      <c r="X34" s="418" t="s">
        <v>68</v>
      </c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418"/>
      <c r="AJ34" s="418"/>
      <c r="AK34" s="418"/>
      <c r="AL34" s="418"/>
      <c r="AM34" s="418"/>
      <c r="AN34" s="418"/>
      <c r="AO34" s="418"/>
      <c r="AP34" s="418"/>
      <c r="AQ34" s="418"/>
      <c r="AR34" s="418"/>
      <c r="AS34" s="418"/>
      <c r="AT34" s="418"/>
      <c r="AU34" s="418"/>
      <c r="AV34" s="418"/>
      <c r="AW34" s="418"/>
      <c r="AX34" s="418"/>
      <c r="AY34" s="418"/>
      <c r="AZ34" s="418"/>
      <c r="BA34" s="418"/>
      <c r="BB34" s="418"/>
      <c r="BC34" s="418"/>
      <c r="BD34" s="418"/>
      <c r="BE34" s="418"/>
      <c r="BF34" s="418"/>
      <c r="BG34" s="418"/>
      <c r="BH34" s="418"/>
      <c r="BI34" s="273"/>
      <c r="BJ34" s="274"/>
      <c r="BK34" s="275"/>
      <c r="BL34" s="276"/>
      <c r="BM34" s="275"/>
      <c r="BN34" s="239"/>
      <c r="BO34" s="240"/>
      <c r="BP34" s="241"/>
      <c r="BQ34" s="242"/>
      <c r="BR34" s="243"/>
      <c r="BS34" s="243"/>
      <c r="BT34" s="241"/>
      <c r="BU34" s="244"/>
      <c r="BV34" s="238"/>
      <c r="BW34" s="238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6"/>
      <c r="CO34" s="247"/>
      <c r="CP34" s="248"/>
      <c r="CQ34" s="249"/>
      <c r="CR34" s="250"/>
      <c r="CS34" s="251"/>
      <c r="CT34" s="252"/>
      <c r="CU34" s="253"/>
      <c r="CV34" s="254"/>
      <c r="CW34" s="255"/>
      <c r="CX34" s="255"/>
      <c r="CY34" s="252"/>
      <c r="CZ34" s="216"/>
      <c r="DA34" s="217"/>
      <c r="DB34" s="218"/>
      <c r="DC34" s="218"/>
    </row>
    <row r="35" spans="1:107" s="219" customFormat="1" ht="15.75" x14ac:dyDescent="0.25">
      <c r="A35" s="210">
        <v>746</v>
      </c>
      <c r="C35" s="203"/>
      <c r="D35" s="201"/>
      <c r="E35" s="204"/>
      <c r="F35" s="203"/>
      <c r="G35" s="205"/>
      <c r="H35" s="201"/>
      <c r="I35" s="220"/>
      <c r="J35" s="220"/>
      <c r="K35" s="220"/>
      <c r="L35" s="220"/>
      <c r="M35" s="220"/>
      <c r="N35" s="221"/>
      <c r="O35" s="221"/>
      <c r="P35" s="220"/>
      <c r="Q35" s="220"/>
      <c r="R35" s="220"/>
      <c r="S35" s="221"/>
      <c r="T35" s="222"/>
      <c r="U35" s="221"/>
      <c r="V35" s="208"/>
      <c r="W35" s="208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73"/>
      <c r="BJ35" s="274"/>
      <c r="BK35" s="275"/>
      <c r="BL35" s="276"/>
      <c r="BM35" s="275"/>
      <c r="BN35" s="239"/>
      <c r="BO35" s="240"/>
      <c r="BP35" s="241"/>
      <c r="BQ35" s="242"/>
      <c r="BR35" s="243"/>
      <c r="BS35" s="243"/>
      <c r="BT35" s="241"/>
      <c r="BU35" s="244"/>
      <c r="BV35" s="238"/>
      <c r="BW35" s="238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6"/>
      <c r="CO35" s="247"/>
      <c r="CP35" s="248"/>
      <c r="CQ35" s="249"/>
      <c r="CR35" s="250"/>
      <c r="CS35" s="251"/>
      <c r="CT35" s="252"/>
      <c r="CU35" s="253"/>
      <c r="CV35" s="254"/>
      <c r="CW35" s="255"/>
      <c r="CX35" s="255"/>
      <c r="CY35" s="252"/>
      <c r="CZ35" s="216"/>
      <c r="DA35" s="217"/>
      <c r="DB35" s="218"/>
      <c r="DC35" s="218"/>
    </row>
    <row r="36" spans="1:107" s="219" customFormat="1" ht="16.5" customHeight="1" x14ac:dyDescent="0.3">
      <c r="A36" s="210">
        <v>749</v>
      </c>
      <c r="B36" s="224"/>
      <c r="C36" s="203"/>
      <c r="D36" s="225"/>
      <c r="E36" s="204"/>
      <c r="F36" s="203"/>
      <c r="G36" s="205"/>
      <c r="H36" s="201"/>
      <c r="I36" s="220"/>
      <c r="J36" s="220"/>
      <c r="K36" s="220"/>
      <c r="L36" s="220"/>
      <c r="M36" s="220"/>
      <c r="N36" s="221"/>
      <c r="O36" s="221"/>
      <c r="P36" s="220"/>
      <c r="Q36" s="220"/>
      <c r="R36" s="220"/>
      <c r="S36" s="221"/>
      <c r="T36" s="222"/>
      <c r="U36" s="221"/>
      <c r="V36" s="208"/>
      <c r="W36" s="208"/>
      <c r="X36" s="419" t="s">
        <v>70</v>
      </c>
      <c r="Y36" s="419"/>
      <c r="Z36" s="419"/>
      <c r="AA36" s="419"/>
      <c r="AB36" s="419"/>
      <c r="AC36" s="419"/>
      <c r="AD36" s="419"/>
      <c r="AE36" s="419"/>
      <c r="AF36" s="419"/>
      <c r="AG36" s="419"/>
      <c r="AH36" s="419"/>
      <c r="AI36" s="419"/>
      <c r="AJ36" s="419"/>
      <c r="AK36" s="419"/>
      <c r="AL36" s="419"/>
      <c r="AM36" s="419"/>
      <c r="AN36" s="419"/>
      <c r="AO36" s="419"/>
      <c r="AP36" s="419"/>
      <c r="AQ36" s="419"/>
      <c r="AR36" s="419"/>
      <c r="AS36" s="419"/>
      <c r="AT36" s="419"/>
      <c r="AU36" s="419"/>
      <c r="AV36" s="419"/>
      <c r="AW36" s="419"/>
      <c r="AX36" s="419"/>
      <c r="AY36" s="419"/>
      <c r="AZ36" s="419"/>
      <c r="BA36" s="419"/>
      <c r="BB36" s="419"/>
      <c r="BC36" s="419"/>
      <c r="BD36" s="419"/>
      <c r="BE36" s="419"/>
      <c r="BF36" s="419"/>
      <c r="BG36" s="419"/>
      <c r="BH36" s="419"/>
      <c r="BI36" s="277"/>
      <c r="BJ36" s="274"/>
      <c r="BK36" s="275"/>
      <c r="BL36" s="276"/>
      <c r="BM36" s="275"/>
      <c r="BN36" s="239"/>
      <c r="BO36" s="240"/>
      <c r="BP36" s="241"/>
      <c r="BQ36" s="242"/>
      <c r="BR36" s="243"/>
      <c r="BS36" s="243"/>
      <c r="BT36" s="241"/>
      <c r="BU36" s="244"/>
      <c r="BV36" s="238"/>
      <c r="BW36" s="238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6"/>
      <c r="CO36" s="247"/>
      <c r="CP36" s="248"/>
      <c r="CQ36" s="249"/>
      <c r="CR36" s="250"/>
      <c r="CS36" s="251"/>
      <c r="CT36" s="252"/>
      <c r="CU36" s="253"/>
      <c r="CV36" s="254"/>
      <c r="CW36" s="255"/>
      <c r="CX36" s="255"/>
      <c r="CY36" s="252"/>
      <c r="CZ36" s="216"/>
      <c r="DA36" s="217"/>
      <c r="DB36" s="218"/>
      <c r="DC36" s="218"/>
    </row>
  </sheetData>
  <mergeCells count="31">
    <mergeCell ref="X31:BH31"/>
    <mergeCell ref="X32:BH32"/>
    <mergeCell ref="X34:BH34"/>
    <mergeCell ref="X36:BH36"/>
    <mergeCell ref="N15:O15"/>
    <mergeCell ref="S15:T15"/>
    <mergeCell ref="X15:Z15"/>
    <mergeCell ref="AB15:AD15"/>
    <mergeCell ref="AF15:AJ15"/>
    <mergeCell ref="AK13:AK14"/>
    <mergeCell ref="AM13:AM14"/>
    <mergeCell ref="AX13:AX14"/>
    <mergeCell ref="BH13:BH14"/>
    <mergeCell ref="X14:Z14"/>
    <mergeCell ref="AB14:AD14"/>
    <mergeCell ref="AF14:AJ14"/>
    <mergeCell ref="AF6:AJ6"/>
    <mergeCell ref="B13:B14"/>
    <mergeCell ref="D13:D14"/>
    <mergeCell ref="E13:E14"/>
    <mergeCell ref="N13:O14"/>
    <mergeCell ref="S13:T14"/>
    <mergeCell ref="U13:U14"/>
    <mergeCell ref="V13:V14"/>
    <mergeCell ref="X13:AJ13"/>
    <mergeCell ref="A4:BH5"/>
    <mergeCell ref="B1:N1"/>
    <mergeCell ref="S1:AE1"/>
    <mergeCell ref="B2:N2"/>
    <mergeCell ref="S2:AE2"/>
    <mergeCell ref="S3:AE3"/>
  </mergeCells>
  <conditionalFormatting sqref="BI12:BI14">
    <cfRule type="expression" dxfId="355" priority="1801" stopIfTrue="1">
      <formula>IF(BJ12="Trên 45",1,0)</formula>
    </cfRule>
    <cfRule type="expression" dxfId="354" priority="1802" stopIfTrue="1">
      <formula>IF(BJ12="30 - 45",1,0)</formula>
    </cfRule>
    <cfRule type="expression" dxfId="353" priority="1803" stopIfTrue="1">
      <formula>IF(BJ12="Dưới 30",1,0)</formula>
    </cfRule>
  </conditionalFormatting>
  <conditionalFormatting sqref="CU12:CU14">
    <cfRule type="expression" dxfId="352" priority="1804" stopIfTrue="1">
      <formula>IF(CV12&gt;0,1,0)</formula>
    </cfRule>
    <cfRule type="expression" dxfId="351" priority="1805" stopIfTrue="1">
      <formula>IF(CV12=0,1,0)</formula>
    </cfRule>
  </conditionalFormatting>
  <conditionalFormatting sqref="CT12:CT14">
    <cfRule type="expression" dxfId="350" priority="1795" stopIfTrue="1">
      <formula>12*(#REF!-CM12)+(#REF!-CK12)</formula>
    </cfRule>
  </conditionalFormatting>
  <conditionalFormatting sqref="CY12:CY14">
    <cfRule type="expression" dxfId="349" priority="1796" stopIfTrue="1">
      <formula>12*(#REF!-CQ12)+(#REF!-CO12)</formula>
    </cfRule>
  </conditionalFormatting>
  <conditionalFormatting sqref="BJ10">
    <cfRule type="expression" dxfId="348" priority="1581" stopIfTrue="1">
      <formula>IF(BK10="Trên 45",1,0)</formula>
    </cfRule>
    <cfRule type="expression" dxfId="347" priority="1582" stopIfTrue="1">
      <formula>IF(BK10="30 - 45",1,0)</formula>
    </cfRule>
    <cfRule type="expression" dxfId="346" priority="1583" stopIfTrue="1">
      <formula>IF(BK10="Dưới 30",1,0)</formula>
    </cfRule>
  </conditionalFormatting>
  <conditionalFormatting sqref="CV10">
    <cfRule type="expression" dxfId="345" priority="1584" stopIfTrue="1">
      <formula>IF(CW10&gt;0,1,0)</formula>
    </cfRule>
    <cfRule type="expression" dxfId="344" priority="1585" stopIfTrue="1">
      <formula>IF(CW10=0,1,0)</formula>
    </cfRule>
  </conditionalFormatting>
  <conditionalFormatting sqref="BI10">
    <cfRule type="cellIs" dxfId="343" priority="1586" stopIfTrue="1" operator="between">
      <formula>"720"</formula>
      <formula>"720"</formula>
    </cfRule>
    <cfRule type="cellIs" dxfId="342" priority="1587" stopIfTrue="1" operator="between">
      <formula>"660"</formula>
      <formula>"660"</formula>
    </cfRule>
  </conditionalFormatting>
  <conditionalFormatting sqref="CY10">
    <cfRule type="expression" dxfId="341" priority="1593" stopIfTrue="1">
      <formula>IF(OR(CY10=0.36),1,0)</formula>
    </cfRule>
    <cfRule type="expression" dxfId="340" priority="1594" stopIfTrue="1">
      <formula>IF(CY10=0.34,1,0)</formula>
    </cfRule>
    <cfRule type="expression" dxfId="339" priority="1595" stopIfTrue="1">
      <formula>IF(CY10&lt;0.33,1,0)</formula>
    </cfRule>
  </conditionalFormatting>
  <conditionalFormatting sqref="DB10">
    <cfRule type="cellIs" dxfId="338" priority="1596" stopIfTrue="1" operator="between">
      <formula>"Hưu"</formula>
      <formula>"Hưu"</formula>
    </cfRule>
    <cfRule type="cellIs" dxfId="337" priority="1597" stopIfTrue="1" operator="between">
      <formula>"---"</formula>
      <formula>"---"</formula>
    </cfRule>
    <cfRule type="cellIs" dxfId="336" priority="1598" stopIfTrue="1" operator="between">
      <formula>"Quá"</formula>
      <formula>"Quá"</formula>
    </cfRule>
  </conditionalFormatting>
  <conditionalFormatting sqref="CX10">
    <cfRule type="expression" dxfId="335" priority="1599" stopIfTrue="1">
      <formula>IF(OR(CX10=5.57,CX10=6.2),1,0)</formula>
    </cfRule>
    <cfRule type="expression" dxfId="334" priority="1600" stopIfTrue="1">
      <formula>IF(OR(CX10=4,CX10=4.4),1,0)</formula>
    </cfRule>
    <cfRule type="expression" dxfId="333" priority="1601" stopIfTrue="1">
      <formula>IF(AND(CX10&gt;0.9,CX10&lt;2.34),1,0)</formula>
    </cfRule>
  </conditionalFormatting>
  <conditionalFormatting sqref="CT10">
    <cfRule type="cellIs" dxfId="332" priority="1602" stopIfTrue="1" operator="between">
      <formula>1</formula>
      <formula>1</formula>
    </cfRule>
    <cfRule type="cellIs" dxfId="331" priority="1603" stopIfTrue="1" operator="between">
      <formula>2</formula>
      <formula>2</formula>
    </cfRule>
    <cfRule type="cellIs" dxfId="330" priority="1604" stopIfTrue="1" operator="between">
      <formula>3</formula>
      <formula>3</formula>
    </cfRule>
  </conditionalFormatting>
  <conditionalFormatting sqref="CW10">
    <cfRule type="expression" dxfId="329" priority="1605" stopIfTrue="1">
      <formula>IF(CW10&gt;0,1,0)</formula>
    </cfRule>
    <cfRule type="expression" dxfId="328" priority="1606" stopIfTrue="1">
      <formula>IF(CW10&lt;1,1,0)</formula>
    </cfRule>
  </conditionalFormatting>
  <conditionalFormatting sqref="CS10">
    <cfRule type="cellIs" dxfId="327" priority="1607" stopIfTrue="1" operator="between">
      <formula>"Đến"</formula>
      <formula>"Đến"</formula>
    </cfRule>
    <cfRule type="cellIs" dxfId="326" priority="1608" stopIfTrue="1" operator="between">
      <formula>"Quá"</formula>
      <formula>"Quá"</formula>
    </cfRule>
    <cfRule type="expression" dxfId="325" priority="1609" stopIfTrue="1">
      <formula>IF(OR(CS10="Lương Sớm Hưu",CS10="Nâng Ngạch Hưu"),1,0)</formula>
    </cfRule>
  </conditionalFormatting>
  <conditionalFormatting sqref="DC10:DD10">
    <cfRule type="expression" dxfId="324" priority="1610" stopIfTrue="1">
      <formula>IF(DC10&gt;0,1,0)</formula>
    </cfRule>
  </conditionalFormatting>
  <conditionalFormatting sqref="CR10">
    <cfRule type="cellIs" dxfId="323" priority="1611" stopIfTrue="1" operator="between">
      <formula>"B"</formula>
      <formula>"B"</formula>
    </cfRule>
    <cfRule type="cellIs" dxfId="322" priority="1612" stopIfTrue="1" operator="between">
      <formula>"C"</formula>
      <formula>"C"</formula>
    </cfRule>
    <cfRule type="cellIs" dxfId="321" priority="1613" stopIfTrue="1" operator="between">
      <formula>"D"</formula>
      <formula>"D"</formula>
    </cfRule>
  </conditionalFormatting>
  <conditionalFormatting sqref="CQ10">
    <cfRule type="cellIs" dxfId="320" priority="1614" stopIfTrue="1" operator="between">
      <formula>"công chức, viên chức"</formula>
      <formula>"công chức, viên chức"</formula>
    </cfRule>
    <cfRule type="cellIs" dxfId="319" priority="1615" stopIfTrue="1" operator="between">
      <formula>"lao động hợp đồng"</formula>
      <formula>"lao động hợp đồng"</formula>
    </cfRule>
  </conditionalFormatting>
  <conditionalFormatting sqref="DA10">
    <cfRule type="expression" dxfId="318" priority="1616" stopIfTrue="1">
      <formula>IF(DA10="Nâg Ngạch sau TB",1,0)</formula>
    </cfRule>
    <cfRule type="expression" dxfId="317" priority="1617" stopIfTrue="1">
      <formula>IF(DA10="Nâg Lươg Sớm sau TB",1,0)</formula>
    </cfRule>
    <cfRule type="expression" dxfId="316" priority="1618" stopIfTrue="1">
      <formula>IF(DA10="Nâg PC TNVK cùng QĐ",1,0)</formula>
    </cfRule>
  </conditionalFormatting>
  <conditionalFormatting sqref="CP10">
    <cfRule type="expression" dxfId="315" priority="1619" stopIfTrue="1">
      <formula>IF(CP10=0,1,0)</formula>
    </cfRule>
    <cfRule type="expression" dxfId="314" priority="1620" stopIfTrue="1">
      <formula>IF(CP10&gt;0,1,0)</formula>
    </cfRule>
  </conditionalFormatting>
  <conditionalFormatting sqref="BK10">
    <cfRule type="expression" dxfId="313" priority="1588" stopIfTrue="1">
      <formula>IF(BK10="Trên 45",1,0)</formula>
    </cfRule>
    <cfRule type="expression" dxfId="312" priority="1589" stopIfTrue="1">
      <formula>IF(BK10="30 - 45",1,0)</formula>
    </cfRule>
    <cfRule type="expression" dxfId="311" priority="1590" stopIfTrue="1">
      <formula>IF(BK10="Dưới 30",1,0)</formula>
    </cfRule>
  </conditionalFormatting>
  <conditionalFormatting sqref="BM10">
    <cfRule type="cellIs" dxfId="310" priority="1591" stopIfTrue="1" operator="between">
      <formula>"Có hạn"</formula>
      <formula>"Có hạn"</formula>
    </cfRule>
    <cfRule type="cellIs" dxfId="309" priority="1592" stopIfTrue="1" operator="between">
      <formula>"Ko hạn"</formula>
      <formula>"Ko hạn"</formula>
    </cfRule>
  </conditionalFormatting>
  <conditionalFormatting sqref="CX12:CX14">
    <cfRule type="expression" dxfId="308" priority="1553" stopIfTrue="1">
      <formula>IF(OR(CX12=0.36),1,0)</formula>
    </cfRule>
    <cfRule type="expression" dxfId="307" priority="1554" stopIfTrue="1">
      <formula>IF(CX12=0.34,1,0)</formula>
    </cfRule>
    <cfRule type="expression" dxfId="306" priority="1555" stopIfTrue="1">
      <formula>IF(CX12&lt;0.33,1,0)</formula>
    </cfRule>
  </conditionalFormatting>
  <conditionalFormatting sqref="DA12:DA14">
    <cfRule type="cellIs" dxfId="305" priority="1556" stopIfTrue="1" operator="between">
      <formula>"Hưu"</formula>
      <formula>"Hưu"</formula>
    </cfRule>
    <cfRule type="cellIs" dxfId="304" priority="1557" stopIfTrue="1" operator="between">
      <formula>"---"</formula>
      <formula>"---"</formula>
    </cfRule>
    <cfRule type="cellIs" dxfId="303" priority="1558" stopIfTrue="1" operator="between">
      <formula>"Quá"</formula>
      <formula>"Quá"</formula>
    </cfRule>
  </conditionalFormatting>
  <conditionalFormatting sqref="CW12:CW14">
    <cfRule type="expression" dxfId="302" priority="1559" stopIfTrue="1">
      <formula>IF(OR(CW12=5.57,CW12=6.2),1,0)</formula>
    </cfRule>
    <cfRule type="expression" dxfId="301" priority="1560" stopIfTrue="1">
      <formula>IF(OR(CW12=4,CW12=4.4),1,0)</formula>
    </cfRule>
    <cfRule type="expression" dxfId="300" priority="1561" stopIfTrue="1">
      <formula>IF(AND(CW12&gt;0.9,CW12&lt;2.34),1,0)</formula>
    </cfRule>
  </conditionalFormatting>
  <conditionalFormatting sqref="CS12:CS14">
    <cfRule type="cellIs" dxfId="299" priority="1562" stopIfTrue="1" operator="between">
      <formula>1</formula>
      <formula>1</formula>
    </cfRule>
    <cfRule type="cellIs" dxfId="298" priority="1563" stopIfTrue="1" operator="between">
      <formula>2</formula>
      <formula>2</formula>
    </cfRule>
    <cfRule type="cellIs" dxfId="297" priority="1564" stopIfTrue="1" operator="between">
      <formula>3</formula>
      <formula>3</formula>
    </cfRule>
  </conditionalFormatting>
  <conditionalFormatting sqref="CV12:CV14">
    <cfRule type="expression" dxfId="296" priority="1565" stopIfTrue="1">
      <formula>IF(CV12&gt;0,1,0)</formula>
    </cfRule>
    <cfRule type="expression" dxfId="295" priority="1566" stopIfTrue="1">
      <formula>IF(CV12&lt;1,1,0)</formula>
    </cfRule>
  </conditionalFormatting>
  <conditionalFormatting sqref="CR12:CR14">
    <cfRule type="cellIs" dxfId="294" priority="1567" stopIfTrue="1" operator="between">
      <formula>"Đến"</formula>
      <formula>"Đến"</formula>
    </cfRule>
    <cfRule type="cellIs" dxfId="293" priority="1568" stopIfTrue="1" operator="between">
      <formula>"Quá"</formula>
      <formula>"Quá"</formula>
    </cfRule>
    <cfRule type="expression" dxfId="292" priority="1569" stopIfTrue="1">
      <formula>IF(OR(CR12="Lương Sớm Hưu",CR12="Nâng Ngạch Hưu"),1,0)</formula>
    </cfRule>
  </conditionalFormatting>
  <conditionalFormatting sqref="DB12:DC14">
    <cfRule type="expression" dxfId="291" priority="1570" stopIfTrue="1">
      <formula>IF(DB12&gt;0,1,0)</formula>
    </cfRule>
  </conditionalFormatting>
  <conditionalFormatting sqref="CQ12:CQ14">
    <cfRule type="cellIs" dxfId="290" priority="1571" stopIfTrue="1" operator="between">
      <formula>"B"</formula>
      <formula>"B"</formula>
    </cfRule>
    <cfRule type="cellIs" dxfId="289" priority="1572" stopIfTrue="1" operator="between">
      <formula>"C"</formula>
      <formula>"C"</formula>
    </cfRule>
    <cfRule type="cellIs" dxfId="288" priority="1573" stopIfTrue="1" operator="between">
      <formula>"D"</formula>
      <formula>"D"</formula>
    </cfRule>
  </conditionalFormatting>
  <conditionalFormatting sqref="CP12:CP14">
    <cfRule type="cellIs" dxfId="287" priority="1574" stopIfTrue="1" operator="between">
      <formula>"công chức, viên chức"</formula>
      <formula>"công chức, viên chức"</formula>
    </cfRule>
    <cfRule type="cellIs" dxfId="286" priority="1575" stopIfTrue="1" operator="between">
      <formula>"lao động hợp đồng"</formula>
      <formula>"lao động hợp đồng"</formula>
    </cfRule>
  </conditionalFormatting>
  <conditionalFormatting sqref="CZ12:CZ14">
    <cfRule type="expression" dxfId="285" priority="1576" stopIfTrue="1">
      <formula>IF(CZ12="Nâg Ngạch sau TB",1,0)</formula>
    </cfRule>
    <cfRule type="expression" dxfId="284" priority="1577" stopIfTrue="1">
      <formula>IF(CZ12="Nâg Lươg Sớm sau TB",1,0)</formula>
    </cfRule>
    <cfRule type="expression" dxfId="283" priority="1578" stopIfTrue="1">
      <formula>IF(CZ12="Nâg PC TNVK cùng QĐ",1,0)</formula>
    </cfRule>
  </conditionalFormatting>
  <conditionalFormatting sqref="CO12:CO14">
    <cfRule type="expression" dxfId="282" priority="1579" stopIfTrue="1">
      <formula>IF(CO12=0,1,0)</formula>
    </cfRule>
    <cfRule type="expression" dxfId="281" priority="1580" stopIfTrue="1">
      <formula>IF(CO12&gt;0,1,0)</formula>
    </cfRule>
  </conditionalFormatting>
  <conditionalFormatting sqref="BJ12:BJ14">
    <cfRule type="expression" dxfId="280" priority="1548" stopIfTrue="1">
      <formula>IF(BJ12="Trên 45",1,0)</formula>
    </cfRule>
    <cfRule type="expression" dxfId="279" priority="1549" stopIfTrue="1">
      <formula>IF(BJ12="30 - 45",1,0)</formula>
    </cfRule>
    <cfRule type="expression" dxfId="278" priority="1550" stopIfTrue="1">
      <formula>IF(BJ12="Dưới 30",1,0)</formula>
    </cfRule>
  </conditionalFormatting>
  <conditionalFormatting sqref="BL12:BL14">
    <cfRule type="cellIs" dxfId="277" priority="1551" stopIfTrue="1" operator="between">
      <formula>"Có hạn"</formula>
      <formula>"Có hạn"</formula>
    </cfRule>
    <cfRule type="cellIs" dxfId="276" priority="1552" stopIfTrue="1" operator="between">
      <formula>"Ko hạn"</formula>
      <formula>"Ko hạn"</formula>
    </cfRule>
  </conditionalFormatting>
  <conditionalFormatting sqref="CZ10">
    <cfRule type="expression" dxfId="275" priority="1851" stopIfTrue="1">
      <formula>12*(#REF!-CR10)+(#REF!-CP10)</formula>
    </cfRule>
  </conditionalFormatting>
  <conditionalFormatting sqref="CU10">
    <cfRule type="expression" dxfId="274" priority="1852" stopIfTrue="1">
      <formula>12*(#REF!-CN10)+(#REF!-CL10)</formula>
    </cfRule>
  </conditionalFormatting>
  <conditionalFormatting sqref="BI33:BI35">
    <cfRule type="expression" dxfId="273" priority="1504" stopIfTrue="1">
      <formula>IF(BJ33="Trên 45",1,0)</formula>
    </cfRule>
    <cfRule type="expression" dxfId="272" priority="1505" stopIfTrue="1">
      <formula>IF(BJ33="30 - 45",1,0)</formula>
    </cfRule>
    <cfRule type="expression" dxfId="271" priority="1506" stopIfTrue="1">
      <formula>IF(BJ33="Dưới 30",1,0)</formula>
    </cfRule>
  </conditionalFormatting>
  <conditionalFormatting sqref="CU33:CU36">
    <cfRule type="expression" dxfId="270" priority="1507" stopIfTrue="1">
      <formula>IF(CV33&gt;0,1,0)</formula>
    </cfRule>
    <cfRule type="expression" dxfId="269" priority="1508" stopIfTrue="1">
      <formula>IF(CV33=0,1,0)</formula>
    </cfRule>
  </conditionalFormatting>
  <conditionalFormatting sqref="CT33:CT36">
    <cfRule type="expression" dxfId="268" priority="1509" stopIfTrue="1">
      <formula>12*(#REF!-CM33)+(#REF!-CK33)</formula>
    </cfRule>
  </conditionalFormatting>
  <conditionalFormatting sqref="CY33:CY36">
    <cfRule type="expression" dxfId="267" priority="1510" stopIfTrue="1">
      <formula>12*(#REF!-CQ33)+(#REF!-CO33)</formula>
    </cfRule>
  </conditionalFormatting>
  <conditionalFormatting sqref="AV33 CX33:CX36">
    <cfRule type="expression" dxfId="266" priority="1516" stopIfTrue="1">
      <formula>IF(OR(AV33=0.36),1,0)</formula>
    </cfRule>
    <cfRule type="expression" dxfId="265" priority="1517" stopIfTrue="1">
      <formula>IF(AV33=0.34,1,0)</formula>
    </cfRule>
    <cfRule type="expression" dxfId="264" priority="1518" stopIfTrue="1">
      <formula>IF(AV33&lt;0.33,1,0)</formula>
    </cfRule>
  </conditionalFormatting>
  <conditionalFormatting sqref="DA33:DA36">
    <cfRule type="cellIs" dxfId="263" priority="1519" stopIfTrue="1" operator="between">
      <formula>"Hưu"</formula>
      <formula>"Hưu"</formula>
    </cfRule>
    <cfRule type="cellIs" dxfId="262" priority="1520" stopIfTrue="1" operator="between">
      <formula>"---"</formula>
      <formula>"---"</formula>
    </cfRule>
    <cfRule type="cellIs" dxfId="261" priority="1521" stopIfTrue="1" operator="between">
      <formula>"Quá"</formula>
      <formula>"Quá"</formula>
    </cfRule>
  </conditionalFormatting>
  <conditionalFormatting sqref="AU33 CW33:CW36">
    <cfRule type="expression" dxfId="260" priority="1522" stopIfTrue="1">
      <formula>IF(OR(AU33=5.57,AU33=6.2),1,0)</formula>
    </cfRule>
    <cfRule type="expression" dxfId="259" priority="1523" stopIfTrue="1">
      <formula>IF(OR(AU33=4,AU33=4.4),1,0)</formula>
    </cfRule>
    <cfRule type="expression" dxfId="258" priority="1524" stopIfTrue="1">
      <formula>IF(AND(AU33&gt;0.9,AU33&lt;2.34),1,0)</formula>
    </cfRule>
  </conditionalFormatting>
  <conditionalFormatting sqref="CS33:CS36">
    <cfRule type="cellIs" dxfId="257" priority="1525" stopIfTrue="1" operator="between">
      <formula>1</formula>
      <formula>1</formula>
    </cfRule>
    <cfRule type="cellIs" dxfId="256" priority="1526" stopIfTrue="1" operator="between">
      <formula>2</formula>
      <formula>2</formula>
    </cfRule>
    <cfRule type="cellIs" dxfId="255" priority="1527" stopIfTrue="1" operator="between">
      <formula>3</formula>
      <formula>3</formula>
    </cfRule>
  </conditionalFormatting>
  <conditionalFormatting sqref="CV33:CV36">
    <cfRule type="expression" dxfId="254" priority="1528" stopIfTrue="1">
      <formula>IF(CV33&gt;0,1,0)</formula>
    </cfRule>
    <cfRule type="expression" dxfId="253" priority="1529" stopIfTrue="1">
      <formula>IF(CV33&lt;1,1,0)</formula>
    </cfRule>
  </conditionalFormatting>
  <conditionalFormatting sqref="CR33:CR36">
    <cfRule type="cellIs" dxfId="252" priority="1530" stopIfTrue="1" operator="between">
      <formula>"Đến"</formula>
      <formula>"Đến"</formula>
    </cfRule>
    <cfRule type="cellIs" dxfId="251" priority="1531" stopIfTrue="1" operator="between">
      <formula>"Quá"</formula>
      <formula>"Quá"</formula>
    </cfRule>
    <cfRule type="expression" dxfId="250" priority="1532" stopIfTrue="1">
      <formula>IF(OR(CR33="Lương Sớm Hưu",CR33="Nâng Ngạch Hưu"),1,0)</formula>
    </cfRule>
  </conditionalFormatting>
  <conditionalFormatting sqref="DB33:DC36">
    <cfRule type="expression" dxfId="249" priority="1533" stopIfTrue="1">
      <formula>IF(DB33&gt;0,1,0)</formula>
    </cfRule>
  </conditionalFormatting>
  <conditionalFormatting sqref="CQ33:CQ36">
    <cfRule type="cellIs" dxfId="248" priority="1534" stopIfTrue="1" operator="between">
      <formula>"B"</formula>
      <formula>"B"</formula>
    </cfRule>
    <cfRule type="cellIs" dxfId="247" priority="1535" stopIfTrue="1" operator="between">
      <formula>"C"</formula>
      <formula>"C"</formula>
    </cfRule>
    <cfRule type="cellIs" dxfId="246" priority="1536" stopIfTrue="1" operator="between">
      <formula>"D"</formula>
      <formula>"D"</formula>
    </cfRule>
  </conditionalFormatting>
  <conditionalFormatting sqref="CP33:CP36">
    <cfRule type="cellIs" dxfId="245" priority="1537" stopIfTrue="1" operator="between">
      <formula>"công chức, viên chức"</formula>
      <formula>"công chức, viên chức"</formula>
    </cfRule>
    <cfRule type="cellIs" dxfId="244" priority="1538" stopIfTrue="1" operator="between">
      <formula>"lao động hợp đồng"</formula>
      <formula>"lao động hợp đồng"</formula>
    </cfRule>
  </conditionalFormatting>
  <conditionalFormatting sqref="CZ33:CZ36">
    <cfRule type="expression" dxfId="243" priority="1539" stopIfTrue="1">
      <formula>IF(CZ33="Nâg Ngạch sau TB",1,0)</formula>
    </cfRule>
    <cfRule type="expression" dxfId="242" priority="1540" stopIfTrue="1">
      <formula>IF(CZ33="Nâg Lươg Sớm sau TB",1,0)</formula>
    </cfRule>
    <cfRule type="expression" dxfId="241" priority="1541" stopIfTrue="1">
      <formula>IF(CZ33="Nâg PC TNVK cùng QĐ",1,0)</formula>
    </cfRule>
  </conditionalFormatting>
  <conditionalFormatting sqref="CO33:CO36">
    <cfRule type="expression" dxfId="240" priority="1542" stopIfTrue="1">
      <formula>IF(CO33=0,1,0)</formula>
    </cfRule>
    <cfRule type="expression" dxfId="239" priority="1543" stopIfTrue="1">
      <formula>IF(CO33&gt;0,1,0)</formula>
    </cfRule>
  </conditionalFormatting>
  <conditionalFormatting sqref="BJ33:BJ36">
    <cfRule type="expression" dxfId="238" priority="1511" stopIfTrue="1">
      <formula>IF(BJ33="Trên 45",1,0)</formula>
    </cfRule>
    <cfRule type="expression" dxfId="237" priority="1512" stopIfTrue="1">
      <formula>IF(BJ33="30 - 45",1,0)</formula>
    </cfRule>
    <cfRule type="expression" dxfId="236" priority="1513" stopIfTrue="1">
      <formula>IF(BJ33="Dưới 30",1,0)</formula>
    </cfRule>
  </conditionalFormatting>
  <conditionalFormatting sqref="BL33:BL36">
    <cfRule type="cellIs" dxfId="235" priority="1514" stopIfTrue="1" operator="between">
      <formula>"Có hạn"</formula>
      <formula>"Có hạn"</formula>
    </cfRule>
    <cfRule type="cellIs" dxfId="234" priority="1515" stopIfTrue="1" operator="between">
      <formula>"Ko hạn"</formula>
      <formula>"Ko hạn"</formula>
    </cfRule>
  </conditionalFormatting>
  <conditionalFormatting sqref="A34:A36">
    <cfRule type="expression" dxfId="233" priority="1544" stopIfTrue="1">
      <formula>IF(#REF!="Hưu",1,0)</formula>
    </cfRule>
    <cfRule type="expression" dxfId="232" priority="1545" stopIfTrue="1">
      <formula>IF(#REF!="Quá",1,0)</formula>
    </cfRule>
  </conditionalFormatting>
  <conditionalFormatting sqref="A33">
    <cfRule type="expression" dxfId="231" priority="1546" stopIfTrue="1">
      <formula>IF(#REF!="Hưu",1,0)</formula>
    </cfRule>
    <cfRule type="expression" dxfId="230" priority="1547" stopIfTrue="1">
      <formula>IF(#REF!="Quá",1,0)</formula>
    </cfRule>
  </conditionalFormatting>
  <conditionalFormatting sqref="BD15">
    <cfRule type="expression" dxfId="229" priority="1459" stopIfTrue="1">
      <formula>IF(BA15&gt;6,BB15,IF(BA15&lt;7,BB15-1))</formula>
    </cfRule>
  </conditionalFormatting>
  <conditionalFormatting sqref="AT15">
    <cfRule type="expression" dxfId="228" priority="1460" stopIfTrue="1">
      <formula>IF(AU15&gt;0,1,0)</formula>
    </cfRule>
    <cfRule type="expression" dxfId="227" priority="1461" stopIfTrue="1">
      <formula>IF(AU15=0,1,0)</formula>
    </cfRule>
  </conditionalFormatting>
  <conditionalFormatting sqref="BF15">
    <cfRule type="expression" dxfId="226" priority="1462" stopIfTrue="1">
      <formula>IF(BC15&gt;6,BD15,IF(BC15&lt;7,BD15-1))</formula>
    </cfRule>
  </conditionalFormatting>
  <conditionalFormatting sqref="AW15">
    <cfRule type="expression" dxfId="225" priority="1463" stopIfTrue="1">
      <formula>IF(OR(AW15=0.36),1,0)</formula>
    </cfRule>
    <cfRule type="expression" dxfId="224" priority="1464" stopIfTrue="1">
      <formula>IF(AW15=0.34,1,0)</formula>
    </cfRule>
    <cfRule type="expression" dxfId="223" priority="1465" stopIfTrue="1">
      <formula>IF(AW15&lt;0.33,1,0)</formula>
    </cfRule>
  </conditionalFormatting>
  <conditionalFormatting sqref="AZ15">
    <cfRule type="cellIs" dxfId="222" priority="1466" stopIfTrue="1" operator="between">
      <formula>"Hưu"</formula>
      <formula>"Hưu"</formula>
    </cfRule>
    <cfRule type="cellIs" dxfId="221" priority="1467" stopIfTrue="1" operator="between">
      <formula>"---"</formula>
      <formula>"---"</formula>
    </cfRule>
    <cfRule type="cellIs" dxfId="220" priority="1468" stopIfTrue="1" operator="between">
      <formula>"Quá"</formula>
      <formula>"Quá"</formula>
    </cfRule>
  </conditionalFormatting>
  <conditionalFormatting sqref="AV15">
    <cfRule type="expression" dxfId="219" priority="1469" stopIfTrue="1">
      <formula>IF(OR(AV15=5.57,AV15=6.2),1,0)</formula>
    </cfRule>
    <cfRule type="expression" dxfId="218" priority="1470" stopIfTrue="1">
      <formula>IF(OR(AV15=4,AV15=4.4),1,0)</formula>
    </cfRule>
    <cfRule type="expression" dxfId="217" priority="1471" stopIfTrue="1">
      <formula>IF(AND(AV15&gt;0.9,AV15&lt;2.34),1,0)</formula>
    </cfRule>
  </conditionalFormatting>
  <conditionalFormatting sqref="AR15">
    <cfRule type="cellIs" dxfId="216" priority="1472" stopIfTrue="1" operator="between">
      <formula>1</formula>
      <formula>1</formula>
    </cfRule>
    <cfRule type="cellIs" dxfId="215" priority="1473" stopIfTrue="1" operator="between">
      <formula>2</formula>
      <formula>2</formula>
    </cfRule>
    <cfRule type="cellIs" dxfId="214" priority="1474" stopIfTrue="1" operator="between">
      <formula>3</formula>
      <formula>3</formula>
    </cfRule>
  </conditionalFormatting>
  <conditionalFormatting sqref="AU15">
    <cfRule type="expression" dxfId="213" priority="1475" stopIfTrue="1">
      <formula>IF(AU15&gt;0,1,0)</formula>
    </cfRule>
    <cfRule type="expression" dxfId="212" priority="1476" stopIfTrue="1">
      <formula>IF(AU15&lt;1,1,0)</formula>
    </cfRule>
  </conditionalFormatting>
  <conditionalFormatting sqref="AQ15">
    <cfRule type="cellIs" dxfId="211" priority="1477" stopIfTrue="1" operator="between">
      <formula>"Đến"</formula>
      <formula>"Đến"</formula>
    </cfRule>
    <cfRule type="cellIs" dxfId="210" priority="1478" stopIfTrue="1" operator="between">
      <formula>"Quá"</formula>
      <formula>"Quá"</formula>
    </cfRule>
    <cfRule type="expression" dxfId="209" priority="1479" stopIfTrue="1">
      <formula>IF(OR(AQ15="Lương Sớm Hưu",AQ15="Nâng Ngạch Hưu"),1,0)</formula>
    </cfRule>
  </conditionalFormatting>
  <conditionalFormatting sqref="BA15:BB15 G15">
    <cfRule type="expression" dxfId="208" priority="1480" stopIfTrue="1">
      <formula>IF(G15&gt;0,1,0)</formula>
    </cfRule>
  </conditionalFormatting>
  <conditionalFormatting sqref="AP15">
    <cfRule type="cellIs" dxfId="207" priority="1481" stopIfTrue="1" operator="between">
      <formula>"B"</formula>
      <formula>"B"</formula>
    </cfRule>
    <cfRule type="cellIs" dxfId="206" priority="1482" stopIfTrue="1" operator="between">
      <formula>"C"</formula>
      <formula>"C"</formula>
    </cfRule>
    <cfRule type="cellIs" dxfId="205" priority="1483" stopIfTrue="1" operator="between">
      <formula>"D"</formula>
      <formula>"D"</formula>
    </cfRule>
  </conditionalFormatting>
  <conditionalFormatting sqref="AO15">
    <cfRule type="cellIs" dxfId="204" priority="1484" stopIfTrue="1" operator="between">
      <formula>"công chức, viên chức"</formula>
      <formula>"công chức, viên chức"</formula>
    </cfRule>
    <cfRule type="cellIs" dxfId="203" priority="1485" stopIfTrue="1" operator="between">
      <formula>"lao động hợp đồng"</formula>
      <formula>"lao động hợp đồng"</formula>
    </cfRule>
  </conditionalFormatting>
  <conditionalFormatting sqref="AY15">
    <cfRule type="expression" dxfId="202" priority="1486" stopIfTrue="1">
      <formula>IF(AY15="Nâg Ngạch sau TB",1,0)</formula>
    </cfRule>
    <cfRule type="expression" dxfId="201" priority="1487" stopIfTrue="1">
      <formula>IF(AY15="Nâg Lươg Sớm sau TB",1,0)</formula>
    </cfRule>
    <cfRule type="expression" dxfId="200" priority="1488" stopIfTrue="1">
      <formula>IF(AY15="Nâg PC TNVK cùng QĐ",1,0)</formula>
    </cfRule>
  </conditionalFormatting>
  <conditionalFormatting sqref="AN15">
    <cfRule type="expression" dxfId="199" priority="1489" stopIfTrue="1">
      <formula>IF(AN15=0,1,0)</formula>
    </cfRule>
    <cfRule type="expression" dxfId="198" priority="1490" stopIfTrue="1">
      <formula>IF(AN15&gt;0,1,0)</formula>
    </cfRule>
  </conditionalFormatting>
  <conditionalFormatting sqref="BE15">
    <cfRule type="expression" dxfId="197" priority="1491" stopIfTrue="1">
      <formula>IF(#REF!&gt;6,#REF!-6,IF(#REF!=6,12,IF(#REF!&lt;6,#REF!+6)))</formula>
    </cfRule>
  </conditionalFormatting>
  <conditionalFormatting sqref="BG15">
    <cfRule type="cellIs" dxfId="196" priority="1492" stopIfTrue="1" operator="between">
      <formula>"-"</formula>
      <formula>"-"</formula>
    </cfRule>
    <cfRule type="cellIs" dxfId="195" priority="1493" stopIfTrue="1" operator="between">
      <formula>1</formula>
      <formula>40</formula>
    </cfRule>
  </conditionalFormatting>
  <conditionalFormatting sqref="U15">
    <cfRule type="expression" dxfId="194" priority="1494" stopIfTrue="1">
      <formula>IF(U15="A0-CĐ",1,0)</formula>
    </cfRule>
    <cfRule type="expression" dxfId="193" priority="1495" stopIfTrue="1">
      <formula>IF(U15="B-TC",1,0)</formula>
    </cfRule>
    <cfRule type="expression" dxfId="192" priority="1496" stopIfTrue="1">
      <formula>IF(U15="C-NV",1,0)</formula>
    </cfRule>
  </conditionalFormatting>
  <conditionalFormatting sqref="F15">
    <cfRule type="cellIs" dxfId="191" priority="1497" stopIfTrue="1" operator="between">
      <formula>"Nam"</formula>
      <formula>"Nam"</formula>
    </cfRule>
    <cfRule type="cellIs" dxfId="190" priority="1498" stopIfTrue="1" operator="between">
      <formula>"Nữ"</formula>
      <formula>"Nữ"</formula>
    </cfRule>
  </conditionalFormatting>
  <conditionalFormatting sqref="BC15">
    <cfRule type="expression" dxfId="189" priority="1499" stopIfTrue="1">
      <formula>IF(#REF!&gt;6,#REF!-6,IF(#REF!=6,12,IF(#REF!&lt;6,#REF!+6)))</formula>
    </cfRule>
  </conditionalFormatting>
  <conditionalFormatting sqref="BI15">
    <cfRule type="expression" dxfId="188" priority="1419" stopIfTrue="1">
      <formula>IF(BJ15="Trên 45",1,0)</formula>
    </cfRule>
    <cfRule type="expression" dxfId="187" priority="1420" stopIfTrue="1">
      <formula>IF(BJ15="30 - 45",1,0)</formula>
    </cfRule>
    <cfRule type="expression" dxfId="186" priority="1421" stopIfTrue="1">
      <formula>IF(BJ15="Dưới 30",1,0)</formula>
    </cfRule>
  </conditionalFormatting>
  <conditionalFormatting sqref="CU15">
    <cfRule type="expression" dxfId="185" priority="1422" stopIfTrue="1">
      <formula>IF(CV15&gt;0,1,0)</formula>
    </cfRule>
    <cfRule type="expression" dxfId="184" priority="1423" stopIfTrue="1">
      <formula>IF(CV15=0,1,0)</formula>
    </cfRule>
  </conditionalFormatting>
  <conditionalFormatting sqref="CT15">
    <cfRule type="expression" dxfId="183" priority="1424" stopIfTrue="1">
      <formula>12*(#REF!-CM15)+(#REF!-CK15)</formula>
    </cfRule>
  </conditionalFormatting>
  <conditionalFormatting sqref="CY15">
    <cfRule type="expression" dxfId="182" priority="1425" stopIfTrue="1">
      <formula>12*(#REF!-CQ15)+(#REF!-CO15)</formula>
    </cfRule>
  </conditionalFormatting>
  <conditionalFormatting sqref="CX15">
    <cfRule type="expression" dxfId="181" priority="1431" stopIfTrue="1">
      <formula>IF(OR(CX15=0.36),1,0)</formula>
    </cfRule>
    <cfRule type="expression" dxfId="180" priority="1432" stopIfTrue="1">
      <formula>IF(CX15=0.34,1,0)</formula>
    </cfRule>
    <cfRule type="expression" dxfId="179" priority="1433" stopIfTrue="1">
      <formula>IF(CX15&lt;0.33,1,0)</formula>
    </cfRule>
  </conditionalFormatting>
  <conditionalFormatting sqref="DA15">
    <cfRule type="cellIs" dxfId="178" priority="1434" stopIfTrue="1" operator="between">
      <formula>"Hưu"</formula>
      <formula>"Hưu"</formula>
    </cfRule>
    <cfRule type="cellIs" dxfId="177" priority="1435" stopIfTrue="1" operator="between">
      <formula>"---"</formula>
      <formula>"---"</formula>
    </cfRule>
    <cfRule type="cellIs" dxfId="176" priority="1436" stopIfTrue="1" operator="between">
      <formula>"Quá"</formula>
      <formula>"Quá"</formula>
    </cfRule>
  </conditionalFormatting>
  <conditionalFormatting sqref="CW15">
    <cfRule type="expression" dxfId="175" priority="1437" stopIfTrue="1">
      <formula>IF(OR(CW15=5.57,CW15=6.2),1,0)</formula>
    </cfRule>
    <cfRule type="expression" dxfId="174" priority="1438" stopIfTrue="1">
      <formula>IF(OR(CW15=4,CW15=4.4),1,0)</formula>
    </cfRule>
    <cfRule type="expression" dxfId="173" priority="1439" stopIfTrue="1">
      <formula>IF(AND(CW15&gt;0.9,CW15&lt;2.34),1,0)</formula>
    </cfRule>
  </conditionalFormatting>
  <conditionalFormatting sqref="CS15">
    <cfRule type="cellIs" dxfId="172" priority="1440" stopIfTrue="1" operator="between">
      <formula>1</formula>
      <formula>1</formula>
    </cfRule>
    <cfRule type="cellIs" dxfId="171" priority="1441" stopIfTrue="1" operator="between">
      <formula>2</formula>
      <formula>2</formula>
    </cfRule>
    <cfRule type="cellIs" dxfId="170" priority="1442" stopIfTrue="1" operator="between">
      <formula>3</formula>
      <formula>3</formula>
    </cfRule>
  </conditionalFormatting>
  <conditionalFormatting sqref="CV15">
    <cfRule type="expression" dxfId="169" priority="1443" stopIfTrue="1">
      <formula>IF(CV15&gt;0,1,0)</formula>
    </cfRule>
    <cfRule type="expression" dxfId="168" priority="1444" stopIfTrue="1">
      <formula>IF(CV15&lt;1,1,0)</formula>
    </cfRule>
  </conditionalFormatting>
  <conditionalFormatting sqref="CR15">
    <cfRule type="cellIs" dxfId="167" priority="1445" stopIfTrue="1" operator="between">
      <formula>"Đến"</formula>
      <formula>"Đến"</formula>
    </cfRule>
    <cfRule type="cellIs" dxfId="166" priority="1446" stopIfTrue="1" operator="between">
      <formula>"Quá"</formula>
      <formula>"Quá"</formula>
    </cfRule>
    <cfRule type="expression" dxfId="165" priority="1447" stopIfTrue="1">
      <formula>IF(OR(CR15="Lương Sớm Hưu",CR15="Nâng Ngạch Hưu"),1,0)</formula>
    </cfRule>
  </conditionalFormatting>
  <conditionalFormatting sqref="DB15:DC15">
    <cfRule type="expression" dxfId="164" priority="1448" stopIfTrue="1">
      <formula>IF(DB15&gt;0,1,0)</formula>
    </cfRule>
  </conditionalFormatting>
  <conditionalFormatting sqref="CQ15">
    <cfRule type="cellIs" dxfId="163" priority="1449" stopIfTrue="1" operator="between">
      <formula>"B"</formula>
      <formula>"B"</formula>
    </cfRule>
    <cfRule type="cellIs" dxfId="162" priority="1450" stopIfTrue="1" operator="between">
      <formula>"C"</formula>
      <formula>"C"</formula>
    </cfRule>
    <cfRule type="cellIs" dxfId="161" priority="1451" stopIfTrue="1" operator="between">
      <formula>"D"</formula>
      <formula>"D"</formula>
    </cfRule>
  </conditionalFormatting>
  <conditionalFormatting sqref="CP15">
    <cfRule type="cellIs" dxfId="160" priority="1452" stopIfTrue="1" operator="between">
      <formula>"công chức, viên chức"</formula>
      <formula>"công chức, viên chức"</formula>
    </cfRule>
    <cfRule type="cellIs" dxfId="159" priority="1453" stopIfTrue="1" operator="between">
      <formula>"lao động hợp đồng"</formula>
      <formula>"lao động hợp đồng"</formula>
    </cfRule>
  </conditionalFormatting>
  <conditionalFormatting sqref="CZ15">
    <cfRule type="expression" dxfId="158" priority="1454" stopIfTrue="1">
      <formula>IF(CZ15="Nâg Ngạch sau TB",1,0)</formula>
    </cfRule>
    <cfRule type="expression" dxfId="157" priority="1455" stopIfTrue="1">
      <formula>IF(CZ15="Nâg Lươg Sớm sau TB",1,0)</formula>
    </cfRule>
    <cfRule type="expression" dxfId="156" priority="1456" stopIfTrue="1">
      <formula>IF(CZ15="Nâg PC TNVK cùng QĐ",1,0)</formula>
    </cfRule>
  </conditionalFormatting>
  <conditionalFormatting sqref="CO15">
    <cfRule type="expression" dxfId="155" priority="1457" stopIfTrue="1">
      <formula>IF(CO15=0,1,0)</formula>
    </cfRule>
    <cfRule type="expression" dxfId="154" priority="1458" stopIfTrue="1">
      <formula>IF(CO15&gt;0,1,0)</formula>
    </cfRule>
  </conditionalFormatting>
  <conditionalFormatting sqref="BJ15">
    <cfRule type="expression" dxfId="153" priority="1426" stopIfTrue="1">
      <formula>IF(BJ15="Trên 45",1,0)</formula>
    </cfRule>
    <cfRule type="expression" dxfId="152" priority="1427" stopIfTrue="1">
      <formula>IF(BJ15="30 - 45",1,0)</formula>
    </cfRule>
    <cfRule type="expression" dxfId="151" priority="1428" stopIfTrue="1">
      <formula>IF(BJ15="Dưới 30",1,0)</formula>
    </cfRule>
  </conditionalFormatting>
  <conditionalFormatting sqref="BL15">
    <cfRule type="cellIs" dxfId="150" priority="1429" stopIfTrue="1" operator="between">
      <formula>"Có hạn"</formula>
      <formula>"Có hạn"</formula>
    </cfRule>
    <cfRule type="cellIs" dxfId="149" priority="1430" stopIfTrue="1" operator="between">
      <formula>"Ko hạn"</formula>
      <formula>"Ko hạn"</formula>
    </cfRule>
  </conditionalFormatting>
  <conditionalFormatting sqref="A15">
    <cfRule type="expression" dxfId="148" priority="1500" stopIfTrue="1">
      <formula>IF(#REF!="Hưu",1,0)</formula>
    </cfRule>
    <cfRule type="expression" dxfId="147" priority="1501" stopIfTrue="1">
      <formula>IF(#REF!="Quá",1,0)</formula>
    </cfRule>
  </conditionalFormatting>
  <conditionalFormatting sqref="AX15">
    <cfRule type="expression" dxfId="146" priority="1502" stopIfTrue="1">
      <formula>12*(#REF!-AP15)+(#REF!-AN15)</formula>
    </cfRule>
  </conditionalFormatting>
  <conditionalFormatting sqref="AS15">
    <cfRule type="expression" dxfId="145" priority="1503" stopIfTrue="1">
      <formula>12*(#REF!-AK15)+(#REF!-#REF!)</formula>
    </cfRule>
  </conditionalFormatting>
  <conditionalFormatting sqref="A10">
    <cfRule type="expression" dxfId="144" priority="1855" stopIfTrue="1">
      <formula>IF(#REF!="Hưu",1,0)</formula>
    </cfRule>
    <cfRule type="expression" dxfId="143" priority="1856" stopIfTrue="1">
      <formula>IF(#REF!="Quá",1,0)</formula>
    </cfRule>
  </conditionalFormatting>
  <conditionalFormatting sqref="A12:A14">
    <cfRule type="expression" dxfId="142" priority="1859" stopIfTrue="1">
      <formula>IF(#REF!="Hưu",1,0)</formula>
    </cfRule>
    <cfRule type="expression" dxfId="141" priority="1860" stopIfTrue="1">
      <formula>IF(#REF!="Quá",1,0)</formula>
    </cfRule>
  </conditionalFormatting>
  <conditionalFormatting sqref="BI19:BI20 BI23 BI25:BI30">
    <cfRule type="expression" dxfId="140" priority="137" stopIfTrue="1">
      <formula>IF(BJ19="Trên 45",1,0)</formula>
    </cfRule>
    <cfRule type="expression" dxfId="139" priority="138" stopIfTrue="1">
      <formula>IF(BJ19="30 - 45",1,0)</formula>
    </cfRule>
    <cfRule type="expression" dxfId="138" priority="139" stopIfTrue="1">
      <formula>IF(BJ19="Dưới 30",1,0)</formula>
    </cfRule>
  </conditionalFormatting>
  <conditionalFormatting sqref="AS19:AS20 CU19:CU20 AS23 CU23 CU25:CU30 AS25:AS30">
    <cfRule type="expression" dxfId="137" priority="135" stopIfTrue="1">
      <formula>IF(AT19&gt;0,1,0)</formula>
    </cfRule>
    <cfRule type="expression" dxfId="136" priority="136" stopIfTrue="1">
      <formula>IF(AT19=0,1,0)</formula>
    </cfRule>
  </conditionalFormatting>
  <conditionalFormatting sqref="AV19:AV20 CX19:CX20 AV23 CX23 CX25:CX30 AV25:AV30">
    <cfRule type="expression" dxfId="135" priority="132" stopIfTrue="1">
      <formula>IF(OR(AV19=0.36),1,0)</formula>
    </cfRule>
    <cfRule type="expression" dxfId="134" priority="133" stopIfTrue="1">
      <formula>IF(AV19=0.34,1,0)</formula>
    </cfRule>
    <cfRule type="expression" dxfId="133" priority="134" stopIfTrue="1">
      <formula>IF(AV19&lt;0.33,1,0)</formula>
    </cfRule>
  </conditionalFormatting>
  <conditionalFormatting sqref="AU19:AU20 CW19:CW20 AU23 CW23 CW25:CW30 AU25:AU30">
    <cfRule type="expression" dxfId="132" priority="129" stopIfTrue="1">
      <formula>IF(OR(AU19=5.57,AU19=6.2),1,0)</formula>
    </cfRule>
    <cfRule type="expression" dxfId="131" priority="130" stopIfTrue="1">
      <formula>IF(OR(AU19=4,AU19=4.4),1,0)</formula>
    </cfRule>
    <cfRule type="expression" dxfId="130" priority="131" stopIfTrue="1">
      <formula>IF(AND(AU19&gt;0.9,AU19&lt;2.34),1,0)</formula>
    </cfRule>
  </conditionalFormatting>
  <conditionalFormatting sqref="AM19:AM20 AM23 AM25:AM30">
    <cfRule type="cellIs" dxfId="129" priority="127" stopIfTrue="1" operator="between">
      <formula>"CC,VC"</formula>
      <formula>"CC,VC"</formula>
    </cfRule>
    <cfRule type="cellIs" dxfId="128" priority="128" stopIfTrue="1" operator="between">
      <formula>"LĐHĐ"</formula>
      <formula>"LĐHĐ"</formula>
    </cfRule>
  </conditionalFormatting>
  <conditionalFormatting sqref="BC19:BC20 BC23 BC25:BC30">
    <cfRule type="expression" dxfId="127" priority="126" stopIfTrue="1">
      <formula>IF(AZ19&gt;6,BA19,IF(AZ19&lt;7,BA19-1))</formula>
    </cfRule>
  </conditionalFormatting>
  <conditionalFormatting sqref="BE19:BE20 BE23 BE25:BE30">
    <cfRule type="expression" dxfId="126" priority="125" stopIfTrue="1">
      <formula>IF(BB19&gt;6,BC19,IF(BB19&lt;7,BC19-1))</formula>
    </cfRule>
  </conditionalFormatting>
  <conditionalFormatting sqref="AY19:AY20 DA19:DA20 AY23 DA23 DA25:DA30 AY25:AY30">
    <cfRule type="cellIs" dxfId="125" priority="122" stopIfTrue="1" operator="between">
      <formula>"Hưu"</formula>
      <formula>"Hưu"</formula>
    </cfRule>
    <cfRule type="cellIs" dxfId="124" priority="123" stopIfTrue="1" operator="between">
      <formula>"---"</formula>
      <formula>"---"</formula>
    </cfRule>
    <cfRule type="cellIs" dxfId="123" priority="124" stopIfTrue="1" operator="between">
      <formula>"Quá"</formula>
      <formula>"Quá"</formula>
    </cfRule>
  </conditionalFormatting>
  <conditionalFormatting sqref="AQ19:AQ20 CS19:CS20 AQ23 CS23 CS25:CS30 AQ25:AQ30">
    <cfRule type="cellIs" dxfId="122" priority="119" stopIfTrue="1" operator="between">
      <formula>1</formula>
      <formula>1</formula>
    </cfRule>
    <cfRule type="cellIs" dxfId="121" priority="120" stopIfTrue="1" operator="between">
      <formula>2</formula>
      <formula>2</formula>
    </cfRule>
    <cfRule type="cellIs" dxfId="120" priority="121" stopIfTrue="1" operator="between">
      <formula>3</formula>
      <formula>3</formula>
    </cfRule>
  </conditionalFormatting>
  <conditionalFormatting sqref="AT19:AT20 CV19:CV20 AT23 CV23 CV25:CV30 AT25:AT30">
    <cfRule type="expression" dxfId="119" priority="117" stopIfTrue="1">
      <formula>IF(AT19&gt;0,1,0)</formula>
    </cfRule>
    <cfRule type="expression" dxfId="118" priority="118" stopIfTrue="1">
      <formula>IF(AT19&lt;1,1,0)</formula>
    </cfRule>
  </conditionalFormatting>
  <conditionalFormatting sqref="AP19:AP20 CR19:CR20 AP23 CR23 CR25:CR30 AP25:AP30">
    <cfRule type="cellIs" dxfId="117" priority="114" stopIfTrue="1" operator="between">
      <formula>"Đến"</formula>
      <formula>"Đến"</formula>
    </cfRule>
    <cfRule type="cellIs" dxfId="116" priority="115" stopIfTrue="1" operator="between">
      <formula>"Quá"</formula>
      <formula>"Quá"</formula>
    </cfRule>
    <cfRule type="expression" dxfId="115" priority="116" stopIfTrue="1">
      <formula>IF(OR(AP19="Lương Sớm Hưu",AP19="Nâng Ngạch Hưu"),1,0)</formula>
    </cfRule>
  </conditionalFormatting>
  <conditionalFormatting sqref="AZ19:BA20 J19:M20 F19:F20 DB19:DC20 AZ23:BA23 J23:M23 F23 DB23:DC23 DB25:DC30 F25:F30 J25:M30 AZ25:BA30">
    <cfRule type="expression" dxfId="114" priority="113" stopIfTrue="1">
      <formula>IF(F19&gt;0,1,0)</formula>
    </cfRule>
  </conditionalFormatting>
  <conditionalFormatting sqref="AO19:AO20 CQ19:CQ20 AO23 CQ23 CQ25:CQ30 AO25:AO30">
    <cfRule type="cellIs" dxfId="113" priority="110" stopIfTrue="1" operator="between">
      <formula>"B"</formula>
      <formula>"B"</formula>
    </cfRule>
    <cfRule type="cellIs" dxfId="112" priority="111" stopIfTrue="1" operator="between">
      <formula>"C"</formula>
      <formula>"C"</formula>
    </cfRule>
    <cfRule type="cellIs" dxfId="111" priority="112" stopIfTrue="1" operator="between">
      <formula>"D"</formula>
      <formula>"D"</formula>
    </cfRule>
  </conditionalFormatting>
  <conditionalFormatting sqref="AN19:AN20 CP19:CP20 AN23 CP23 CP25:CP30 AN25:AN30">
    <cfRule type="cellIs" dxfId="110" priority="108" stopIfTrue="1" operator="between">
      <formula>"công chức, viên chức"</formula>
      <formula>"công chức, viên chức"</formula>
    </cfRule>
    <cfRule type="cellIs" dxfId="109" priority="109" stopIfTrue="1" operator="between">
      <formula>"lao động hợp đồng"</formula>
      <formula>"lao động hợp đồng"</formula>
    </cfRule>
  </conditionalFormatting>
  <conditionalFormatting sqref="AX19:AX20 CZ19:CZ20 AX23 CZ23 CZ25:CZ30 AX25:AX30">
    <cfRule type="expression" dxfId="108" priority="105" stopIfTrue="1">
      <formula>IF(AX19="Nâg Ngạch sau TB",1,0)</formula>
    </cfRule>
    <cfRule type="expression" dxfId="107" priority="106" stopIfTrue="1">
      <formula>IF(AX19="Nâg Lươg Sớm sau TB",1,0)</formula>
    </cfRule>
    <cfRule type="expression" dxfId="106" priority="107" stopIfTrue="1">
      <formula>IF(AX19="Nâg PC TNVK cùng QĐ",1,0)</formula>
    </cfRule>
  </conditionalFormatting>
  <conditionalFormatting sqref="AL19:AL20 CO19:CO20 AL23 CO23 CO25:CO30 AL25:AL30">
    <cfRule type="expression" dxfId="105" priority="103" stopIfTrue="1">
      <formula>IF(AL19=0,1,0)</formula>
    </cfRule>
    <cfRule type="expression" dxfId="104" priority="104" stopIfTrue="1">
      <formula>IF(AL19&gt;0,1,0)</formula>
    </cfRule>
  </conditionalFormatting>
  <conditionalFormatting sqref="BF19:BF20 BF23 BF25:BF30">
    <cfRule type="cellIs" dxfId="103" priority="101" stopIfTrue="1" operator="between">
      <formula>"-"</formula>
      <formula>"-"</formula>
    </cfRule>
    <cfRule type="cellIs" dxfId="102" priority="102" stopIfTrue="1" operator="between">
      <formula>1</formula>
      <formula>40</formula>
    </cfRule>
  </conditionalFormatting>
  <conditionalFormatting sqref="P19:T20 P23:T23 P25:T30">
    <cfRule type="expression" dxfId="101" priority="98" stopIfTrue="1">
      <formula>IF(P19="A0-CĐ",1,0)</formula>
    </cfRule>
    <cfRule type="expression" dxfId="100" priority="99" stopIfTrue="1">
      <formula>IF(P19="B-TC",1,0)</formula>
    </cfRule>
    <cfRule type="expression" dxfId="99" priority="100" stopIfTrue="1">
      <formula>IF(P19="C-NV",1,0)</formula>
    </cfRule>
  </conditionalFormatting>
  <conditionalFormatting sqref="BJ19:BJ20 BJ23 BJ25:BJ30">
    <cfRule type="expression" dxfId="98" priority="95" stopIfTrue="1">
      <formula>IF(BJ19="Trên 45",1,0)</formula>
    </cfRule>
    <cfRule type="expression" dxfId="97" priority="96" stopIfTrue="1">
      <formula>IF(BJ19="30 - 45",1,0)</formula>
    </cfRule>
    <cfRule type="expression" dxfId="96" priority="97" stopIfTrue="1">
      <formula>IF(BJ19="Dưới 30",1,0)</formula>
    </cfRule>
  </conditionalFormatting>
  <conditionalFormatting sqref="BL19:BL20 BL23 BL25:BL30">
    <cfRule type="cellIs" dxfId="95" priority="93" stopIfTrue="1" operator="between">
      <formula>"Có hạn"</formula>
      <formula>"Có hạn"</formula>
    </cfRule>
    <cfRule type="cellIs" dxfId="94" priority="94" stopIfTrue="1" operator="between">
      <formula>"Ko hạn"</formula>
      <formula>"Ko hạn"</formula>
    </cfRule>
  </conditionalFormatting>
  <conditionalFormatting sqref="A26:A27">
    <cfRule type="expression" dxfId="93" priority="91" stopIfTrue="1">
      <formula>IF(AY29="Hưu",1,0)</formula>
    </cfRule>
    <cfRule type="expression" dxfId="92" priority="92" stopIfTrue="1">
      <formula>IF(AY29="Quá",1,0)</formula>
    </cfRule>
  </conditionalFormatting>
  <conditionalFormatting sqref="BD19:BD20 BD25 BD23">
    <cfRule type="expression" dxfId="91" priority="90" stopIfTrue="1">
      <formula>IF(#REF!&gt;6,#REF!-6,IF(#REF!=6,12,IF(#REF!&lt;6,#REF!+6)))</formula>
    </cfRule>
  </conditionalFormatting>
  <conditionalFormatting sqref="AW19:AW20 AW25 AW23">
    <cfRule type="expression" dxfId="90" priority="89" stopIfTrue="1">
      <formula>12*(#REF!-AO19)+(#REF!-AL19)</formula>
    </cfRule>
  </conditionalFormatting>
  <conditionalFormatting sqref="CT19:CT20 CT25 CT23">
    <cfRule type="expression" dxfId="89" priority="88" stopIfTrue="1">
      <formula>12*(#REF!-CM19)+(#REF!-CK19)</formula>
    </cfRule>
  </conditionalFormatting>
  <conditionalFormatting sqref="CY19:CY20 CY25 CY23">
    <cfRule type="expression" dxfId="88" priority="87" stopIfTrue="1">
      <formula>12*(#REF!-CQ19)+(#REF!-CO19)</formula>
    </cfRule>
  </conditionalFormatting>
  <conditionalFormatting sqref="BG19:BG20 BG25 BG23">
    <cfRule type="expression" dxfId="87" priority="84" stopIfTrue="1">
      <formula>IF(AND(#REF!&gt;0,#REF!&lt;5),1,0)</formula>
    </cfRule>
    <cfRule type="expression" dxfId="86" priority="85" stopIfTrue="1">
      <formula>IF(#REF!=5,1,0)</formula>
    </cfRule>
    <cfRule type="expression" dxfId="85" priority="86" stopIfTrue="1">
      <formula>IF(#REF!&gt;5,1,0)</formula>
    </cfRule>
  </conditionalFormatting>
  <conditionalFormatting sqref="BB19:BB20 BB25 BB23">
    <cfRule type="expression" dxfId="84" priority="83" stopIfTrue="1">
      <formula>IF(#REF!&gt;6,#REF!-6,IF(#REF!=6,12,IF(#REF!&lt;6,#REF!+6)))</formula>
    </cfRule>
  </conditionalFormatting>
  <conditionalFormatting sqref="AR19:AR20 AR25 AR23">
    <cfRule type="expression" dxfId="83" priority="82" stopIfTrue="1">
      <formula>12*(#REF!-#REF!)+(#REF!-#REF!)</formula>
    </cfRule>
  </conditionalFormatting>
  <conditionalFormatting sqref="BD26:BD30">
    <cfRule type="expression" dxfId="82" priority="81" stopIfTrue="1">
      <formula>IF(#REF!&gt;6,#REF!-6,IF(#REF!=6,12,IF(#REF!&lt;6,#REF!+6)))</formula>
    </cfRule>
  </conditionalFormatting>
  <conditionalFormatting sqref="AW26:AW30">
    <cfRule type="expression" dxfId="81" priority="80" stopIfTrue="1">
      <formula>12*(#REF!-AO26)+(#REF!-AL26)</formula>
    </cfRule>
  </conditionalFormatting>
  <conditionalFormatting sqref="CT26:CT30">
    <cfRule type="expression" dxfId="80" priority="79" stopIfTrue="1">
      <formula>12*(#REF!-CM26)+(#REF!-CK26)</formula>
    </cfRule>
  </conditionalFormatting>
  <conditionalFormatting sqref="CY26:CY30">
    <cfRule type="expression" dxfId="79" priority="78" stopIfTrue="1">
      <formula>12*(#REF!-CQ26)+(#REF!-CO26)</formula>
    </cfRule>
  </conditionalFormatting>
  <conditionalFormatting sqref="BG26:BG30">
    <cfRule type="expression" dxfId="78" priority="75" stopIfTrue="1">
      <formula>IF(AND(#REF!&gt;0,#REF!&lt;5),1,0)</formula>
    </cfRule>
    <cfRule type="expression" dxfId="77" priority="76" stopIfTrue="1">
      <formula>IF(#REF!=5,1,0)</formula>
    </cfRule>
    <cfRule type="expression" dxfId="76" priority="77" stopIfTrue="1">
      <formula>IF(#REF!&gt;5,1,0)</formula>
    </cfRule>
  </conditionalFormatting>
  <conditionalFormatting sqref="BB26:BB30">
    <cfRule type="expression" dxfId="75" priority="74" stopIfTrue="1">
      <formula>IF(#REF!&gt;6,#REF!-6,IF(#REF!=6,12,IF(#REF!&lt;6,#REF!+6)))</formula>
    </cfRule>
  </conditionalFormatting>
  <conditionalFormatting sqref="AR26:AR30">
    <cfRule type="expression" dxfId="74" priority="73" stopIfTrue="1">
      <formula>12*(#REF!-#REF!)+(#REF!-#REF!)</formula>
    </cfRule>
  </conditionalFormatting>
  <conditionalFormatting sqref="BC16:BC18 BC21:BC22 BC24">
    <cfRule type="expression" dxfId="73" priority="72" stopIfTrue="1">
      <formula>IF(AZ16&gt;6,BA16,IF(AZ16&lt;7,BA16-1))</formula>
    </cfRule>
  </conditionalFormatting>
  <conditionalFormatting sqref="BI16:BI18 BI21:BI22 BI24">
    <cfRule type="expression" dxfId="72" priority="69" stopIfTrue="1">
      <formula>IF(BJ16="Trên 45",1,0)</formula>
    </cfRule>
    <cfRule type="expression" dxfId="71" priority="70" stopIfTrue="1">
      <formula>IF(BJ16="30 - 45",1,0)</formula>
    </cfRule>
    <cfRule type="expression" dxfId="70" priority="71" stopIfTrue="1">
      <formula>IF(BJ16="Dưới 30",1,0)</formula>
    </cfRule>
  </conditionalFormatting>
  <conditionalFormatting sqref="AS16:AS18 CU16:CU18 CU21:CU22 AS21:AS22 AS24 CU24">
    <cfRule type="expression" dxfId="69" priority="67" stopIfTrue="1">
      <formula>IF(AT16&gt;0,1,0)</formula>
    </cfRule>
    <cfRule type="expression" dxfId="68" priority="68" stopIfTrue="1">
      <formula>IF(AT16=0,1,0)</formula>
    </cfRule>
  </conditionalFormatting>
  <conditionalFormatting sqref="BE16:BE18 BE21:BE22 BE24">
    <cfRule type="expression" dxfId="67" priority="66" stopIfTrue="1">
      <formula>IF(BB16&gt;6,BC16,IF(BB16&lt;7,BC16-1))</formula>
    </cfRule>
  </conditionalFormatting>
  <conditionalFormatting sqref="AV16:AV18 CX16:CX18 CX21:CX22 AV21:AV22 AV24 CX24">
    <cfRule type="expression" dxfId="66" priority="63" stopIfTrue="1">
      <formula>IF(OR(AV16=0.36),1,0)</formula>
    </cfRule>
    <cfRule type="expression" dxfId="65" priority="64" stopIfTrue="1">
      <formula>IF(AV16=0.34,1,0)</formula>
    </cfRule>
    <cfRule type="expression" dxfId="64" priority="65" stopIfTrue="1">
      <formula>IF(AV16&lt;0.33,1,0)</formula>
    </cfRule>
  </conditionalFormatting>
  <conditionalFormatting sqref="AY16:AY18 DA16:DA18 DA21:DA22 AY21:AY22 AY24 DA24">
    <cfRule type="cellIs" dxfId="63" priority="60" stopIfTrue="1" operator="between">
      <formula>"Hưu"</formula>
      <formula>"Hưu"</formula>
    </cfRule>
    <cfRule type="cellIs" dxfId="62" priority="61" stopIfTrue="1" operator="between">
      <formula>"---"</formula>
      <formula>"---"</formula>
    </cfRule>
    <cfRule type="cellIs" dxfId="61" priority="62" stopIfTrue="1" operator="between">
      <formula>"Quá"</formula>
      <formula>"Quá"</formula>
    </cfRule>
  </conditionalFormatting>
  <conditionalFormatting sqref="AU16:AU18 CW16:CW18 CW21:CW22 AU21:AU22 AU24 CW24">
    <cfRule type="expression" dxfId="60" priority="57" stopIfTrue="1">
      <formula>IF(OR(AU16=5.57,AU16=6.2),1,0)</formula>
    </cfRule>
    <cfRule type="expression" dxfId="59" priority="58" stopIfTrue="1">
      <formula>IF(OR(AU16=4,AU16=4.4),1,0)</formula>
    </cfRule>
    <cfRule type="expression" dxfId="58" priority="59" stopIfTrue="1">
      <formula>IF(AND(AU16&gt;0.9,AU16&lt;2.34),1,0)</formula>
    </cfRule>
  </conditionalFormatting>
  <conditionalFormatting sqref="AQ16:AQ18 CS16:CS18 CS21:CS22 AQ21:AQ22 AQ24 CS24">
    <cfRule type="cellIs" dxfId="57" priority="54" stopIfTrue="1" operator="between">
      <formula>1</formula>
      <formula>1</formula>
    </cfRule>
    <cfRule type="cellIs" dxfId="56" priority="55" stopIfTrue="1" operator="between">
      <formula>2</formula>
      <formula>2</formula>
    </cfRule>
    <cfRule type="cellIs" dxfId="55" priority="56" stopIfTrue="1" operator="between">
      <formula>3</formula>
      <formula>3</formula>
    </cfRule>
  </conditionalFormatting>
  <conditionalFormatting sqref="AT16:AT18 CV16:CV18 CV21:CV22 AT21:AT22 AT24 CV24">
    <cfRule type="expression" dxfId="54" priority="52" stopIfTrue="1">
      <formula>IF(AT16&gt;0,1,0)</formula>
    </cfRule>
    <cfRule type="expression" dxfId="53" priority="53" stopIfTrue="1">
      <formula>IF(AT16&lt;1,1,0)</formula>
    </cfRule>
  </conditionalFormatting>
  <conditionalFormatting sqref="AP16:AP18 CR16:CR18 CR21:CR22 AP21:AP22 AP24 CR24">
    <cfRule type="cellIs" dxfId="52" priority="49" stopIfTrue="1" operator="between">
      <formula>"Đến"</formula>
      <formula>"Đến"</formula>
    </cfRule>
    <cfRule type="cellIs" dxfId="51" priority="50" stopIfTrue="1" operator="between">
      <formula>"Quá"</formula>
      <formula>"Quá"</formula>
    </cfRule>
    <cfRule type="expression" dxfId="50" priority="51" stopIfTrue="1">
      <formula>IF(OR(AP16="Lương Sớm Hưu",AP16="Nâng Ngạch Hưu"),1,0)</formula>
    </cfRule>
  </conditionalFormatting>
  <conditionalFormatting sqref="AZ16:BA18 J16:M18 F16:F18 DB16:DC18 DB21:DC22 F21:F22 J21:M22 AZ21:BA22 AZ24:BA24 J24:M24 F24 DB24:DC24">
    <cfRule type="expression" dxfId="49" priority="48" stopIfTrue="1">
      <formula>IF(F16&gt;0,1,0)</formula>
    </cfRule>
  </conditionalFormatting>
  <conditionalFormatting sqref="AO16:AO18 CQ16:CQ18 CQ21:CQ22 AO21:AO22 AO24 CQ24">
    <cfRule type="cellIs" dxfId="48" priority="45" stopIfTrue="1" operator="between">
      <formula>"B"</formula>
      <formula>"B"</formula>
    </cfRule>
    <cfRule type="cellIs" dxfId="47" priority="46" stopIfTrue="1" operator="between">
      <formula>"C"</formula>
      <formula>"C"</formula>
    </cfRule>
    <cfRule type="cellIs" dxfId="46" priority="47" stopIfTrue="1" operator="between">
      <formula>"D"</formula>
      <formula>"D"</formula>
    </cfRule>
  </conditionalFormatting>
  <conditionalFormatting sqref="AN16:AN18 CP16:CP18 CP21:CP22 AN21:AN22 AN24 CP24">
    <cfRule type="cellIs" dxfId="45" priority="43" stopIfTrue="1" operator="between">
      <formula>"công chức, viên chức"</formula>
      <formula>"công chức, viên chức"</formula>
    </cfRule>
    <cfRule type="cellIs" dxfId="44" priority="44" stopIfTrue="1" operator="between">
      <formula>"lao động hợp đồng"</formula>
      <formula>"lao động hợp đồng"</formula>
    </cfRule>
  </conditionalFormatting>
  <conditionalFormatting sqref="AX16:AX18 CZ16:CZ18 CZ21:CZ22 AX21:AX22 AX24 CZ24">
    <cfRule type="expression" dxfId="43" priority="40" stopIfTrue="1">
      <formula>IF(AX16="Nâg Ngạch sau TB",1,0)</formula>
    </cfRule>
    <cfRule type="expression" dxfId="42" priority="41" stopIfTrue="1">
      <formula>IF(AX16="Nâg Lươg Sớm sau TB",1,0)</formula>
    </cfRule>
    <cfRule type="expression" dxfId="41" priority="42" stopIfTrue="1">
      <formula>IF(AX16="Nâg PC TNVK cùng QĐ",1,0)</formula>
    </cfRule>
  </conditionalFormatting>
  <conditionalFormatting sqref="AL16:AL18 CO16:CO18 CO21:CO22 AL21:AL22 AL24 CO24">
    <cfRule type="expression" dxfId="40" priority="38" stopIfTrue="1">
      <formula>IF(AL16=0,1,0)</formula>
    </cfRule>
    <cfRule type="expression" dxfId="39" priority="39" stopIfTrue="1">
      <formula>IF(AL16&gt;0,1,0)</formula>
    </cfRule>
  </conditionalFormatting>
  <conditionalFormatting sqref="BJ16:BJ18 BJ21:BJ22 BJ24">
    <cfRule type="expression" dxfId="38" priority="35" stopIfTrue="1">
      <formula>IF(BJ16="Trên 45",1,0)</formula>
    </cfRule>
    <cfRule type="expression" dxfId="37" priority="36" stopIfTrue="1">
      <formula>IF(BJ16="30 - 45",1,0)</formula>
    </cfRule>
    <cfRule type="expression" dxfId="36" priority="37" stopIfTrue="1">
      <formula>IF(BJ16="Dưới 30",1,0)</formula>
    </cfRule>
  </conditionalFormatting>
  <conditionalFormatting sqref="BL16:BL18 BL21:BL22 BL24">
    <cfRule type="cellIs" dxfId="35" priority="33" stopIfTrue="1" operator="between">
      <formula>"Có hạn"</formula>
      <formula>"Có hạn"</formula>
    </cfRule>
    <cfRule type="cellIs" dxfId="34" priority="34" stopIfTrue="1" operator="between">
      <formula>"Ko hạn"</formula>
      <formula>"Ko hạn"</formula>
    </cfRule>
  </conditionalFormatting>
  <conditionalFormatting sqref="BD16:BD18 BD21:BD22 BD24">
    <cfRule type="expression" dxfId="33" priority="32" stopIfTrue="1">
      <formula>IF(#REF!&gt;6,#REF!-6,IF(#REF!=6,12,IF(#REF!&lt;6,#REF!+6)))</formula>
    </cfRule>
  </conditionalFormatting>
  <conditionalFormatting sqref="BF16:BF18 BF21:BF22 BF24">
    <cfRule type="cellIs" dxfId="32" priority="30" stopIfTrue="1" operator="between">
      <formula>"-"</formula>
      <formula>"-"</formula>
    </cfRule>
    <cfRule type="cellIs" dxfId="31" priority="31" stopIfTrue="1" operator="between">
      <formula>1</formula>
      <formula>40</formula>
    </cfRule>
  </conditionalFormatting>
  <conditionalFormatting sqref="P16:T18 P21:T22 P24:T24">
    <cfRule type="expression" dxfId="30" priority="27" stopIfTrue="1">
      <formula>IF(P16="A0-CĐ",1,0)</formula>
    </cfRule>
    <cfRule type="expression" dxfId="29" priority="28" stopIfTrue="1">
      <formula>IF(P16="B-TC",1,0)</formula>
    </cfRule>
    <cfRule type="expression" dxfId="28" priority="29" stopIfTrue="1">
      <formula>IF(P16="C-NV",1,0)</formula>
    </cfRule>
  </conditionalFormatting>
  <conditionalFormatting sqref="AM16:AM18 AM21:AM22 AM24">
    <cfRule type="cellIs" dxfId="27" priority="25" stopIfTrue="1" operator="between">
      <formula>"CC,VC"</formula>
      <formula>"CC,VC"</formula>
    </cfRule>
    <cfRule type="cellIs" dxfId="26" priority="26" stopIfTrue="1" operator="between">
      <formula>"LĐHĐ"</formula>
      <formula>"LĐHĐ"</formula>
    </cfRule>
  </conditionalFormatting>
  <conditionalFormatting sqref="AW16:AW18 AW21:AW22 AW24">
    <cfRule type="expression" dxfId="25" priority="24" stopIfTrue="1">
      <formula>12*(#REF!-AO16)+(#REF!-AL16)</formula>
    </cfRule>
  </conditionalFormatting>
  <conditionalFormatting sqref="CT16:CT18 CT21:CT22 CT24">
    <cfRule type="expression" dxfId="24" priority="23" stopIfTrue="1">
      <formula>12*(#REF!-CM16)+(#REF!-CK16)</formula>
    </cfRule>
  </conditionalFormatting>
  <conditionalFormatting sqref="CY16:CY18 CY21:CY22 CY24">
    <cfRule type="expression" dxfId="23" priority="22" stopIfTrue="1">
      <formula>12*(#REF!-CQ16)+(#REF!-CO16)</formula>
    </cfRule>
  </conditionalFormatting>
  <conditionalFormatting sqref="BG16:BG18 BG21:BG22 BG24">
    <cfRule type="expression" dxfId="22" priority="19" stopIfTrue="1">
      <formula>IF(AND(#REF!&gt;0,#REF!&lt;5),1,0)</formula>
    </cfRule>
    <cfRule type="expression" dxfId="21" priority="20" stopIfTrue="1">
      <formula>IF(#REF!=5,1,0)</formula>
    </cfRule>
    <cfRule type="expression" dxfId="20" priority="21" stopIfTrue="1">
      <formula>IF(#REF!&gt;5,1,0)</formula>
    </cfRule>
  </conditionalFormatting>
  <conditionalFormatting sqref="BB16:BB18 BB21:BB22 BB24">
    <cfRule type="expression" dxfId="19" priority="18" stopIfTrue="1">
      <formula>IF(#REF!&gt;6,#REF!-6,IF(#REF!=6,12,IF(#REF!&lt;6,#REF!+6)))</formula>
    </cfRule>
  </conditionalFormatting>
  <conditionalFormatting sqref="AR16:AR18 AR21:AR22 AR24">
    <cfRule type="expression" dxfId="18" priority="17" stopIfTrue="1">
      <formula>12*(#REF!-#REF!)+(#REF!-#REF!)</formula>
    </cfRule>
  </conditionalFormatting>
  <conditionalFormatting sqref="A16:A17">
    <cfRule type="expression" dxfId="17" priority="15" stopIfTrue="1">
      <formula>IF(AY21="Hưu",1,0)</formula>
    </cfRule>
    <cfRule type="expression" dxfId="16" priority="16" stopIfTrue="1">
      <formula>IF(AY21="Quá",1,0)</formula>
    </cfRule>
  </conditionalFormatting>
  <conditionalFormatting sqref="A21:A22">
    <cfRule type="expression" dxfId="15" priority="13" stopIfTrue="1">
      <formula>IF(AY26="Hưu",1,0)</formula>
    </cfRule>
    <cfRule type="expression" dxfId="14" priority="14" stopIfTrue="1">
      <formula>IF(AY26="Quá",1,0)</formula>
    </cfRule>
  </conditionalFormatting>
  <conditionalFormatting sqref="A18:A19">
    <cfRule type="expression" dxfId="13" priority="11" stopIfTrue="1">
      <formula>IF(AY24="Hưu",1,0)</formula>
    </cfRule>
    <cfRule type="expression" dxfId="12" priority="12" stopIfTrue="1">
      <formula>IF(AY24="Quá",1,0)</formula>
    </cfRule>
  </conditionalFormatting>
  <conditionalFormatting sqref="A24">
    <cfRule type="expression" dxfId="11" priority="9" stopIfTrue="1">
      <formula>IF(AY28="Hưu",1,0)</formula>
    </cfRule>
    <cfRule type="expression" dxfId="10" priority="10" stopIfTrue="1">
      <formula>IF(AY28="Quá",1,0)</formula>
    </cfRule>
  </conditionalFormatting>
  <conditionalFormatting sqref="A25">
    <cfRule type="expression" dxfId="9" priority="7" stopIfTrue="1">
      <formula>IF(AY97="Hưu",1,0)</formula>
    </cfRule>
    <cfRule type="expression" dxfId="8" priority="8" stopIfTrue="1">
      <formula>IF(AY97="Quá",1,0)</formula>
    </cfRule>
  </conditionalFormatting>
  <conditionalFormatting sqref="A28:A30">
    <cfRule type="expression" dxfId="7" priority="5" stopIfTrue="1">
      <formula>IF(AY37="Hưu",1,0)</formula>
    </cfRule>
    <cfRule type="expression" dxfId="6" priority="6" stopIfTrue="1">
      <formula>IF(AY37="Quá",1,0)</formula>
    </cfRule>
  </conditionalFormatting>
  <conditionalFormatting sqref="A20">
    <cfRule type="expression" dxfId="5" priority="3" stopIfTrue="1">
      <formula>IF(AY48="Hưu",1,0)</formula>
    </cfRule>
    <cfRule type="expression" dxfId="4" priority="4" stopIfTrue="1">
      <formula>IF(AY48="Quá",1,0)</formula>
    </cfRule>
  </conditionalFormatting>
  <conditionalFormatting sqref="A23">
    <cfRule type="expression" dxfId="3" priority="1" stopIfTrue="1">
      <formula>IF(AY49="Hưu",1,0)</formula>
    </cfRule>
    <cfRule type="expression" dxfId="2" priority="2" stopIfTrue="1">
      <formula>IF(AY49="Quá",1,0)</formula>
    </cfRule>
  </conditionalFormatting>
  <pageMargins left="0.45" right="0.2" top="0.25" bottom="0.2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1"/>
  <sheetViews>
    <sheetView tabSelected="1" topLeftCell="B19" workbookViewId="0">
      <selection activeCell="O3" sqref="O3:BA3"/>
    </sheetView>
  </sheetViews>
  <sheetFormatPr defaultRowHeight="15" x14ac:dyDescent="0.25"/>
  <cols>
    <col min="1" max="1" width="9.140625" hidden="1" customWidth="1"/>
    <col min="2" max="2" width="5.5703125" customWidth="1"/>
    <col min="3" max="3" width="9.140625" hidden="1" customWidth="1"/>
    <col min="4" max="4" width="22" customWidth="1"/>
    <col min="5" max="5" width="5.140625" customWidth="1"/>
    <col min="6" max="13" width="9.140625" hidden="1" customWidth="1"/>
    <col min="14" max="14" width="8.42578125" customWidth="1"/>
    <col min="15" max="15" width="25.28515625" customWidth="1"/>
    <col min="16" max="16" width="0.140625" hidden="1" customWidth="1"/>
    <col min="17" max="18" width="9.140625" hidden="1" customWidth="1"/>
    <col min="19" max="19" width="27" customWidth="1"/>
    <col min="20" max="20" width="12.5703125" customWidth="1"/>
    <col min="21" max="45" width="9.140625" hidden="1" customWidth="1"/>
    <col min="46" max="46" width="1.85546875" hidden="1" customWidth="1"/>
    <col min="47" max="47" width="3" customWidth="1"/>
    <col min="48" max="48" width="2.42578125" customWidth="1"/>
    <col min="49" max="49" width="3.140625" customWidth="1"/>
    <col min="50" max="50" width="2.7109375" customWidth="1"/>
    <col min="51" max="51" width="3.42578125" customWidth="1"/>
    <col min="52" max="52" width="1.28515625" customWidth="1"/>
    <col min="53" max="53" width="5" customWidth="1"/>
    <col min="54" max="60" width="9.140625" hidden="1" customWidth="1"/>
    <col min="61" max="61" width="8.7109375" customWidth="1"/>
  </cols>
  <sheetData>
    <row r="1" spans="1:77" s="278" customFormat="1" ht="15.75" customHeight="1" x14ac:dyDescent="0.25">
      <c r="B1" s="421" t="s">
        <v>0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 t="s">
        <v>1</v>
      </c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1"/>
      <c r="AK1" s="421"/>
      <c r="AL1" s="421"/>
      <c r="AM1" s="421"/>
      <c r="AN1" s="421"/>
      <c r="AO1" s="421"/>
      <c r="AP1" s="421"/>
      <c r="AQ1" s="421"/>
      <c r="AR1" s="421"/>
      <c r="AS1" s="421"/>
      <c r="AT1" s="421"/>
      <c r="AU1" s="421"/>
      <c r="AV1" s="421"/>
      <c r="AW1" s="421"/>
      <c r="AX1" s="421"/>
      <c r="AY1" s="421"/>
      <c r="AZ1" s="421"/>
      <c r="BA1" s="421"/>
    </row>
    <row r="2" spans="1:77" s="278" customFormat="1" ht="17.25" customHeight="1" x14ac:dyDescent="0.25">
      <c r="B2" s="421" t="s">
        <v>2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2" t="s">
        <v>3</v>
      </c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422"/>
      <c r="AF2" s="422"/>
      <c r="AG2" s="422"/>
      <c r="AH2" s="422"/>
      <c r="AI2" s="422"/>
      <c r="AJ2" s="422"/>
      <c r="AK2" s="422"/>
      <c r="AL2" s="422"/>
      <c r="AM2" s="422"/>
      <c r="AN2" s="422"/>
      <c r="AO2" s="422"/>
      <c r="AP2" s="422"/>
      <c r="AQ2" s="422"/>
      <c r="AR2" s="422"/>
      <c r="AS2" s="422"/>
      <c r="AT2" s="422"/>
      <c r="AU2" s="422"/>
      <c r="AV2" s="422"/>
      <c r="AW2" s="422"/>
      <c r="AX2" s="422"/>
      <c r="AY2" s="422"/>
      <c r="AZ2" s="422"/>
      <c r="BA2" s="422"/>
    </row>
    <row r="3" spans="1:77" s="285" customFormat="1" ht="22.5" customHeight="1" x14ac:dyDescent="0.25">
      <c r="A3" s="279"/>
      <c r="B3" s="280"/>
      <c r="C3" s="279"/>
      <c r="D3" s="281"/>
      <c r="E3" s="282"/>
      <c r="F3" s="282"/>
      <c r="G3" s="282"/>
      <c r="H3" s="282"/>
      <c r="I3" s="282"/>
      <c r="J3" s="282"/>
      <c r="K3" s="282"/>
      <c r="L3" s="282"/>
      <c r="M3" s="282"/>
      <c r="N3" s="283"/>
      <c r="O3" s="406" t="s">
        <v>187</v>
      </c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  <c r="BB3" s="284"/>
      <c r="BC3" s="284"/>
      <c r="BD3" s="284"/>
      <c r="BE3" s="284"/>
      <c r="BF3" s="284"/>
      <c r="BG3" s="284"/>
      <c r="BH3" s="284"/>
    </row>
    <row r="4" spans="1:77" s="286" customFormat="1" ht="28.5" customHeight="1" x14ac:dyDescent="0.25">
      <c r="A4" s="281" t="s">
        <v>72</v>
      </c>
      <c r="B4" s="422" t="s">
        <v>186</v>
      </c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M4" s="422"/>
      <c r="AN4" s="422"/>
      <c r="AO4" s="422"/>
      <c r="AP4" s="422"/>
      <c r="AQ4" s="422"/>
      <c r="AR4" s="422"/>
      <c r="AS4" s="422"/>
      <c r="AT4" s="422"/>
      <c r="AU4" s="422"/>
      <c r="AV4" s="422"/>
      <c r="AW4" s="422"/>
      <c r="AX4" s="422"/>
      <c r="AY4" s="422"/>
      <c r="AZ4" s="422"/>
      <c r="BA4" s="422"/>
      <c r="BB4" s="422"/>
      <c r="BC4" s="422"/>
      <c r="BD4" s="422"/>
      <c r="BE4" s="422"/>
      <c r="BF4" s="422"/>
      <c r="BG4" s="422"/>
      <c r="BH4" s="422"/>
      <c r="BI4" s="422"/>
    </row>
    <row r="5" spans="1:77" s="289" customFormat="1" ht="15" hidden="1" customHeight="1" x14ac:dyDescent="0.25">
      <c r="A5" s="280"/>
      <c r="B5" s="280"/>
      <c r="C5" s="280"/>
      <c r="D5" s="287" t="s">
        <v>73</v>
      </c>
      <c r="E5" s="288" t="e">
        <f>#REF!</f>
        <v>#REF!</v>
      </c>
      <c r="G5" s="290"/>
      <c r="H5" s="291"/>
      <c r="I5" s="292"/>
      <c r="J5" s="290"/>
      <c r="K5" s="290"/>
      <c r="L5" s="290"/>
      <c r="M5" s="290"/>
      <c r="N5" s="293" t="s">
        <v>74</v>
      </c>
      <c r="O5" s="294"/>
      <c r="P5" s="294"/>
      <c r="Q5" s="294"/>
      <c r="R5" s="294"/>
      <c r="S5" s="286"/>
      <c r="T5" s="295"/>
      <c r="U5" s="296"/>
      <c r="V5" s="296"/>
      <c r="W5" s="290"/>
      <c r="X5" s="292"/>
      <c r="Y5" s="290"/>
      <c r="Z5" s="292"/>
      <c r="AA5" s="290"/>
      <c r="AB5" s="291"/>
      <c r="AC5" s="291"/>
      <c r="AD5" s="297"/>
      <c r="AE5" s="290"/>
      <c r="AF5" s="298"/>
      <c r="AG5" s="299"/>
      <c r="AH5" s="286" t="s">
        <v>75</v>
      </c>
      <c r="AI5" s="286"/>
      <c r="AU5" s="286"/>
      <c r="AV5" s="300"/>
      <c r="AX5" s="286"/>
      <c r="BA5" s="300"/>
    </row>
    <row r="6" spans="1:77" s="286" customFormat="1" ht="1.5" hidden="1" customHeight="1" x14ac:dyDescent="0.25">
      <c r="B6" s="301" t="s">
        <v>6</v>
      </c>
      <c r="D6" s="293"/>
      <c r="N6" s="293"/>
      <c r="O6" s="293"/>
      <c r="T6" s="301"/>
    </row>
    <row r="7" spans="1:77" s="286" customFormat="1" ht="16.5" x14ac:dyDescent="0.25">
      <c r="A7" s="142"/>
      <c r="B7" s="301"/>
      <c r="D7" s="286" t="s">
        <v>76</v>
      </c>
      <c r="G7" s="302"/>
      <c r="H7" s="303"/>
      <c r="I7" s="303"/>
      <c r="J7" s="303"/>
      <c r="K7" s="303"/>
      <c r="L7" s="303"/>
      <c r="M7" s="303"/>
      <c r="N7" s="293"/>
      <c r="O7" s="304"/>
      <c r="P7" s="305"/>
      <c r="Q7" s="305"/>
      <c r="R7" s="305"/>
      <c r="T7" s="306"/>
      <c r="AF7" s="307"/>
      <c r="BA7" s="308"/>
      <c r="BB7" s="309"/>
      <c r="BH7" s="310"/>
      <c r="BJ7" s="311"/>
      <c r="BK7" s="311"/>
      <c r="BR7" s="301"/>
      <c r="BS7" s="301"/>
      <c r="BT7" s="301"/>
      <c r="BU7" s="301"/>
      <c r="BW7" s="307"/>
      <c r="BX7" s="312"/>
      <c r="BY7" s="142"/>
    </row>
    <row r="8" spans="1:77" s="286" customFormat="1" ht="16.5" x14ac:dyDescent="0.25">
      <c r="A8" s="142"/>
      <c r="B8" s="301"/>
      <c r="D8" s="300" t="s">
        <v>77</v>
      </c>
      <c r="E8" s="300"/>
      <c r="F8" s="300"/>
      <c r="G8" s="300"/>
      <c r="H8" s="300"/>
      <c r="I8" s="300"/>
      <c r="J8" s="300"/>
      <c r="K8" s="300"/>
      <c r="L8" s="300"/>
      <c r="M8" s="300"/>
      <c r="N8" s="293"/>
      <c r="O8" s="294"/>
      <c r="P8" s="300"/>
      <c r="Q8" s="300"/>
      <c r="R8" s="300"/>
      <c r="T8" s="313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 s="300"/>
      <c r="AQ8" s="300"/>
      <c r="AR8" s="300"/>
      <c r="AS8" s="300"/>
      <c r="AT8" s="300"/>
      <c r="AV8" s="300"/>
      <c r="BA8" s="308"/>
      <c r="BB8" s="309"/>
      <c r="BH8" s="310"/>
      <c r="BJ8" s="311"/>
      <c r="BK8" s="311" t="s">
        <v>72</v>
      </c>
      <c r="BR8" s="301"/>
      <c r="BS8" s="301"/>
      <c r="BT8" s="301"/>
      <c r="BU8" s="301"/>
      <c r="BW8" s="307"/>
      <c r="BX8" s="312"/>
      <c r="BY8" s="142"/>
    </row>
    <row r="9" spans="1:77" s="286" customFormat="1" ht="15" customHeight="1" x14ac:dyDescent="0.25">
      <c r="A9" s="142"/>
      <c r="B9" s="301" t="s">
        <v>6</v>
      </c>
      <c r="D9" s="300" t="s">
        <v>190</v>
      </c>
      <c r="E9" s="300"/>
      <c r="F9" s="300"/>
      <c r="G9" s="300"/>
      <c r="H9" s="300"/>
      <c r="I9" s="300"/>
      <c r="J9" s="300"/>
      <c r="K9" s="300"/>
      <c r="L9" s="300"/>
      <c r="M9" s="300"/>
      <c r="N9" s="293"/>
      <c r="O9" s="294"/>
      <c r="P9" s="300"/>
      <c r="Q9" s="300"/>
      <c r="R9" s="300"/>
      <c r="T9" s="313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V9" s="300"/>
      <c r="BA9" s="308"/>
      <c r="BB9" s="309"/>
      <c r="BH9" s="310"/>
      <c r="BJ9" s="311"/>
      <c r="BK9" s="311"/>
      <c r="BR9" s="301"/>
      <c r="BS9" s="301"/>
      <c r="BT9" s="301"/>
      <c r="BU9" s="301"/>
      <c r="BW9" s="307"/>
      <c r="BX9" s="312"/>
      <c r="BY9" s="142"/>
    </row>
    <row r="10" spans="1:77" s="289" customFormat="1" ht="16.5" x14ac:dyDescent="0.25">
      <c r="A10" s="279"/>
      <c r="B10" s="280"/>
      <c r="C10" s="279"/>
      <c r="D10" s="300" t="s">
        <v>78</v>
      </c>
      <c r="E10" s="300"/>
      <c r="F10" s="300"/>
      <c r="G10" s="300"/>
      <c r="H10" s="300"/>
      <c r="I10" s="300"/>
      <c r="J10" s="300"/>
      <c r="K10" s="300"/>
      <c r="L10" s="300"/>
      <c r="M10" s="300"/>
      <c r="N10" s="293"/>
      <c r="O10" s="294"/>
      <c r="P10" s="300"/>
      <c r="Q10" s="300"/>
      <c r="R10" s="300"/>
      <c r="S10" s="286"/>
      <c r="T10" s="313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286"/>
      <c r="AV10" s="300"/>
      <c r="AW10" s="286"/>
      <c r="AX10" s="286"/>
      <c r="BA10" s="300"/>
    </row>
    <row r="11" spans="1:77" s="292" customFormat="1" ht="12.75" customHeight="1" x14ac:dyDescent="0.25">
      <c r="A11" s="279"/>
      <c r="B11" s="280"/>
      <c r="C11" s="279"/>
      <c r="D11" s="314" t="s">
        <v>79</v>
      </c>
      <c r="E11" s="315">
        <v>8</v>
      </c>
      <c r="I11" s="316"/>
      <c r="J11" s="317"/>
      <c r="K11" s="317"/>
      <c r="L11" s="317"/>
      <c r="M11" s="317"/>
      <c r="N11" s="293"/>
      <c r="O11" s="318"/>
      <c r="P11" s="291"/>
      <c r="Q11" s="291"/>
      <c r="R11" s="291"/>
      <c r="S11" s="286"/>
      <c r="T11" s="290"/>
      <c r="W11" s="291"/>
      <c r="Y11" s="291"/>
      <c r="AA11" s="291"/>
      <c r="AB11" s="291"/>
      <c r="AC11" s="291"/>
      <c r="AD11" s="319"/>
      <c r="AE11" s="290"/>
      <c r="AF11" s="278"/>
      <c r="AH11" s="278"/>
      <c r="AI11" s="278"/>
      <c r="AJ11" s="317"/>
      <c r="AK11" s="317"/>
      <c r="AU11" s="286"/>
      <c r="AV11" s="291"/>
      <c r="AX11" s="282"/>
      <c r="BA11" s="291"/>
    </row>
    <row r="12" spans="1:77" s="289" customFormat="1" ht="6.75" hidden="1" customHeight="1" x14ac:dyDescent="0.25">
      <c r="A12" s="279"/>
      <c r="B12" s="280"/>
      <c r="C12" s="279"/>
      <c r="D12" s="293"/>
      <c r="E12" s="290"/>
      <c r="F12" s="292"/>
      <c r="G12" s="292"/>
      <c r="H12" s="292"/>
      <c r="I12" s="316"/>
      <c r="J12" s="317"/>
      <c r="K12" s="317"/>
      <c r="L12" s="317"/>
      <c r="M12" s="317"/>
      <c r="N12" s="293"/>
      <c r="O12" s="318"/>
      <c r="P12" s="291"/>
      <c r="Q12" s="291"/>
      <c r="R12" s="291"/>
      <c r="S12" s="286"/>
      <c r="T12" s="290"/>
      <c r="U12" s="292"/>
      <c r="V12" s="292"/>
      <c r="W12" s="291"/>
      <c r="X12" s="292"/>
      <c r="Y12" s="291"/>
      <c r="Z12" s="292"/>
      <c r="AA12" s="291"/>
      <c r="AB12" s="291"/>
      <c r="AC12" s="291"/>
      <c r="AD12" s="319"/>
      <c r="AE12" s="290"/>
      <c r="AF12" s="286"/>
      <c r="AH12" s="286"/>
      <c r="AI12" s="286"/>
      <c r="AJ12" s="317"/>
      <c r="AK12" s="317"/>
      <c r="AU12" s="286"/>
      <c r="AV12" s="300"/>
      <c r="AX12" s="286"/>
      <c r="BA12" s="300"/>
    </row>
    <row r="13" spans="1:77" s="321" customFormat="1" ht="32.25" customHeight="1" x14ac:dyDescent="0.25">
      <c r="A13" s="286" t="s">
        <v>13</v>
      </c>
      <c r="B13" s="420" t="s">
        <v>13</v>
      </c>
      <c r="C13" s="369"/>
      <c r="D13" s="420" t="s">
        <v>80</v>
      </c>
      <c r="E13" s="420" t="s">
        <v>15</v>
      </c>
      <c r="F13" s="369" t="s">
        <v>81</v>
      </c>
      <c r="G13" s="369"/>
      <c r="H13" s="369"/>
      <c r="I13" s="369"/>
      <c r="J13" s="369"/>
      <c r="K13" s="369"/>
      <c r="L13" s="369"/>
      <c r="M13" s="369"/>
      <c r="N13" s="420" t="s">
        <v>82</v>
      </c>
      <c r="O13" s="420"/>
      <c r="P13" s="369"/>
      <c r="Q13" s="369"/>
      <c r="R13" s="420" t="s">
        <v>83</v>
      </c>
      <c r="S13" s="420"/>
      <c r="T13" s="420"/>
      <c r="U13" s="420" t="s">
        <v>19</v>
      </c>
      <c r="V13" s="320"/>
      <c r="W13" s="320"/>
      <c r="X13" s="369" t="s">
        <v>84</v>
      </c>
      <c r="Y13" s="369"/>
      <c r="Z13" s="369"/>
      <c r="AA13" s="369"/>
      <c r="AB13" s="369"/>
      <c r="AC13" s="369"/>
      <c r="AD13" s="369"/>
      <c r="AE13" s="369" t="s">
        <v>21</v>
      </c>
      <c r="AF13" s="369"/>
      <c r="AG13" s="369"/>
      <c r="AH13" s="369"/>
      <c r="AI13" s="369"/>
      <c r="AJ13" s="369"/>
      <c r="AK13" s="369"/>
      <c r="AL13" s="369"/>
      <c r="AM13" s="369"/>
      <c r="AN13" s="369"/>
      <c r="AO13" s="369"/>
      <c r="AP13" s="369"/>
      <c r="AQ13" s="369"/>
      <c r="AR13" s="369"/>
      <c r="AS13" s="369"/>
      <c r="AT13" s="369"/>
      <c r="AU13" s="420" t="s">
        <v>85</v>
      </c>
      <c r="AV13" s="420"/>
      <c r="AW13" s="420"/>
      <c r="AX13" s="420"/>
      <c r="AY13" s="420"/>
      <c r="AZ13" s="420"/>
      <c r="BA13" s="420"/>
      <c r="BB13" s="369"/>
      <c r="BC13" s="420" t="s">
        <v>86</v>
      </c>
      <c r="BD13" s="420" t="s">
        <v>21</v>
      </c>
      <c r="BE13" s="369"/>
      <c r="BF13" s="369"/>
      <c r="BG13" s="369"/>
      <c r="BH13" s="420" t="s">
        <v>86</v>
      </c>
      <c r="BI13" s="420" t="s">
        <v>86</v>
      </c>
    </row>
    <row r="14" spans="1:77" s="286" customFormat="1" ht="33" customHeight="1" x14ac:dyDescent="0.25">
      <c r="B14" s="420"/>
      <c r="C14" s="369"/>
      <c r="D14" s="420"/>
      <c r="E14" s="420"/>
      <c r="F14" s="369"/>
      <c r="G14" s="369"/>
      <c r="H14" s="369"/>
      <c r="I14" s="369"/>
      <c r="J14" s="369"/>
      <c r="K14" s="369"/>
      <c r="L14" s="369"/>
      <c r="M14" s="369"/>
      <c r="N14" s="420"/>
      <c r="O14" s="420"/>
      <c r="P14" s="369"/>
      <c r="Q14" s="369"/>
      <c r="R14" s="420"/>
      <c r="S14" s="420"/>
      <c r="T14" s="420"/>
      <c r="U14" s="420"/>
      <c r="V14" s="369"/>
      <c r="W14" s="369"/>
      <c r="X14" s="369" t="s">
        <v>87</v>
      </c>
      <c r="Y14" s="369"/>
      <c r="Z14" s="369" t="s">
        <v>88</v>
      </c>
      <c r="AA14" s="369"/>
      <c r="AB14" s="369" t="s">
        <v>89</v>
      </c>
      <c r="AC14" s="369"/>
      <c r="AD14" s="369"/>
      <c r="AE14" s="369"/>
      <c r="AF14" s="369" t="s">
        <v>90</v>
      </c>
      <c r="AG14" s="369" t="s">
        <v>91</v>
      </c>
      <c r="AH14" s="322" t="s">
        <v>92</v>
      </c>
      <c r="AI14" s="369"/>
      <c r="AJ14" s="369"/>
      <c r="AK14" s="320"/>
      <c r="AL14" s="320"/>
      <c r="AM14" s="320"/>
      <c r="AN14" s="320"/>
      <c r="AO14" s="320"/>
      <c r="AP14" s="320"/>
      <c r="AQ14" s="369"/>
      <c r="AR14" s="369"/>
      <c r="AS14" s="369"/>
      <c r="AT14" s="369"/>
      <c r="AU14" s="420" t="s">
        <v>87</v>
      </c>
      <c r="AV14" s="420"/>
      <c r="AW14" s="420" t="s">
        <v>88</v>
      </c>
      <c r="AX14" s="420"/>
      <c r="AY14" s="420" t="s">
        <v>93</v>
      </c>
      <c r="AZ14" s="420"/>
      <c r="BA14" s="420"/>
      <c r="BB14" s="369"/>
      <c r="BC14" s="420"/>
      <c r="BD14" s="420"/>
      <c r="BE14" s="369"/>
      <c r="BF14" s="369"/>
      <c r="BG14" s="369"/>
      <c r="BH14" s="420"/>
      <c r="BI14" s="420"/>
    </row>
    <row r="15" spans="1:77" s="286" customFormat="1" ht="30.75" hidden="1" customHeight="1" x14ac:dyDescent="0.25">
      <c r="A15" s="286" t="s">
        <v>94</v>
      </c>
      <c r="B15" s="323"/>
      <c r="C15" s="324"/>
      <c r="D15" s="325" t="s">
        <v>95</v>
      </c>
      <c r="E15" s="324" t="s">
        <v>96</v>
      </c>
      <c r="F15" s="324"/>
      <c r="G15" s="324"/>
      <c r="H15" s="324"/>
      <c r="I15" s="324"/>
      <c r="J15" s="324"/>
      <c r="K15" s="324"/>
      <c r="L15" s="324"/>
      <c r="M15" s="324"/>
      <c r="N15" s="325" t="s">
        <v>97</v>
      </c>
      <c r="O15" s="325" t="s">
        <v>98</v>
      </c>
      <c r="P15" s="324"/>
      <c r="Q15" s="324"/>
      <c r="R15" s="324"/>
      <c r="S15" s="324"/>
      <c r="T15" s="323"/>
      <c r="U15" s="324" t="s">
        <v>99</v>
      </c>
      <c r="V15" s="324" t="s">
        <v>100</v>
      </c>
      <c r="W15" s="324"/>
      <c r="X15" s="324" t="s">
        <v>101</v>
      </c>
      <c r="Y15" s="324"/>
      <c r="Z15" s="324" t="s">
        <v>102</v>
      </c>
      <c r="AA15" s="324"/>
      <c r="AB15" s="324" t="s">
        <v>103</v>
      </c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 t="s">
        <v>100</v>
      </c>
      <c r="AV15" s="324"/>
      <c r="AW15" s="324" t="s">
        <v>101</v>
      </c>
      <c r="AX15" s="324"/>
      <c r="AY15" s="324" t="s">
        <v>102</v>
      </c>
      <c r="AZ15" s="154"/>
      <c r="BA15" s="324" t="s">
        <v>103</v>
      </c>
      <c r="BB15" s="324"/>
      <c r="BC15" s="324"/>
      <c r="BD15" s="324"/>
      <c r="BE15" s="324"/>
      <c r="BF15" s="324"/>
      <c r="BG15" s="324"/>
      <c r="BH15" s="324"/>
      <c r="BI15" s="324"/>
    </row>
    <row r="16" spans="1:77" x14ac:dyDescent="0.25">
      <c r="A16" t="s">
        <v>104</v>
      </c>
      <c r="B16" s="368">
        <v>1</v>
      </c>
      <c r="C16" s="368"/>
      <c r="D16" s="368">
        <v>2</v>
      </c>
      <c r="E16" s="368">
        <v>3</v>
      </c>
      <c r="F16" s="368"/>
      <c r="G16" s="368"/>
      <c r="H16" s="368"/>
      <c r="I16" s="368"/>
      <c r="J16" s="368"/>
      <c r="K16" s="368"/>
      <c r="L16" s="368"/>
      <c r="M16" s="368"/>
      <c r="N16" s="416">
        <v>4</v>
      </c>
      <c r="O16" s="416"/>
      <c r="P16" s="368"/>
      <c r="Q16" s="368"/>
      <c r="R16" s="416">
        <v>5</v>
      </c>
      <c r="S16" s="416"/>
      <c r="T16" s="416"/>
      <c r="U16" s="368">
        <v>6</v>
      </c>
      <c r="V16" s="368">
        <v>7</v>
      </c>
      <c r="W16" s="368"/>
      <c r="X16" s="368">
        <v>8</v>
      </c>
      <c r="Y16" s="368"/>
      <c r="Z16" s="368"/>
      <c r="AA16" s="368"/>
      <c r="AB16" s="368">
        <v>9</v>
      </c>
      <c r="AC16" s="368">
        <v>10</v>
      </c>
      <c r="AD16" s="368"/>
      <c r="AE16" s="368"/>
      <c r="AF16" s="368"/>
      <c r="AG16" s="368"/>
      <c r="AH16" s="368"/>
      <c r="AI16" s="368"/>
      <c r="AJ16" s="368"/>
      <c r="AK16" s="368"/>
      <c r="AL16" s="368"/>
      <c r="AM16" s="368"/>
      <c r="AN16" s="368"/>
      <c r="AO16" s="368"/>
      <c r="AP16" s="368"/>
      <c r="AQ16" s="368"/>
      <c r="AR16" s="368"/>
      <c r="AS16" s="368"/>
      <c r="AT16" s="368"/>
      <c r="AU16" s="416">
        <v>6</v>
      </c>
      <c r="AV16" s="416"/>
      <c r="AW16" s="416">
        <v>7</v>
      </c>
      <c r="AX16" s="416"/>
      <c r="AY16" s="416">
        <v>8</v>
      </c>
      <c r="AZ16" s="416"/>
      <c r="BA16" s="416"/>
      <c r="BB16" s="368"/>
      <c r="BC16" s="368">
        <v>10</v>
      </c>
      <c r="BD16" s="368"/>
      <c r="BE16" s="368"/>
      <c r="BF16" s="368"/>
      <c r="BG16" s="368"/>
      <c r="BH16" s="368">
        <v>10</v>
      </c>
      <c r="BI16" s="368">
        <v>9</v>
      </c>
    </row>
    <row r="17" spans="1:126" s="149" customFormat="1" ht="22.5" customHeight="1" x14ac:dyDescent="0.25">
      <c r="A17" s="146">
        <v>210</v>
      </c>
      <c r="B17" s="323">
        <v>1</v>
      </c>
      <c r="C17" s="146" t="str">
        <f t="shared" ref="C17:C24" si="0">IF(E17="Nam","Ông","Bà")</f>
        <v>Bà</v>
      </c>
      <c r="D17" s="346" t="s">
        <v>170</v>
      </c>
      <c r="E17" s="146" t="s">
        <v>33</v>
      </c>
      <c r="F17" s="327" t="s">
        <v>108</v>
      </c>
      <c r="G17" s="327" t="s">
        <v>11</v>
      </c>
      <c r="H17" s="327" t="s">
        <v>41</v>
      </c>
      <c r="I17" s="327" t="s">
        <v>11</v>
      </c>
      <c r="J17" s="146">
        <v>1961</v>
      </c>
      <c r="K17" s="146"/>
      <c r="L17" s="146"/>
      <c r="M17" s="150" t="e">
        <f>VLOOKUP(L17,'[2]- DLiêu Gốc -'!$B$2:$G$121,2,0)</f>
        <v>#N/A</v>
      </c>
      <c r="N17" s="348" t="s">
        <v>171</v>
      </c>
      <c r="O17" s="347" t="s">
        <v>132</v>
      </c>
      <c r="P17" s="175" t="str">
        <f>VLOOKUP(U17,'[2]- DLiêu Gốc -'!$B$2:$G$56,5,0)</f>
        <v>A2</v>
      </c>
      <c r="Q17" s="175" t="str">
        <f>VLOOKUP(U17,'[2]- DLiêu Gốc -'!$B$2:$G$56,6,0)</f>
        <v>A2.1</v>
      </c>
      <c r="R17" s="146" t="s">
        <v>35</v>
      </c>
      <c r="S17" s="328" t="str">
        <f t="shared" ref="S17:S24" si="1">IF(OR(U17="Kỹ thuật viên đánh máy",U17="Nhân viên đánh máy",U17="Nhân viên kỹ thuật",U17="Nhân viên văn thư",U17="Nhân viên phục vụ",U17="Lái xe cơ quan",U17="Nhân viên bảo vệ"),"Nhân viên",U17)</f>
        <v>Giảng viên chính (hạng II)</v>
      </c>
      <c r="T17" s="329" t="str">
        <f t="shared" ref="T17:T24" si="2">IF(S17="Nhân viên","01.005",V17)</f>
        <v>V.07.01.02</v>
      </c>
      <c r="U17" s="192" t="s">
        <v>52</v>
      </c>
      <c r="V17" s="148" t="str">
        <f>VLOOKUP(U17,'[2]- DLiêu Gốc -'!$B$1:$G$121,2,0)</f>
        <v>V.07.01.02</v>
      </c>
      <c r="W17" s="324" t="str">
        <f t="shared" ref="W17:W24" si="3">IF(OR(AND(AN17=36,AM17=3),AND(AN17=24,AM17=2),AND(AN17=12,AM17=1)),"Đến $",IF(AND(AN17&lt;12*10,OR(AND(AN17&gt;36,AM17=3),AND(AN17&gt;24,AN17&lt;120,AM17=2),AND(AN17&gt;12,AM17=1))),"Dừng $","Lương"))</f>
        <v>Lương</v>
      </c>
      <c r="X17" s="324">
        <v>1</v>
      </c>
      <c r="Y17" s="324" t="str">
        <f t="shared" ref="Y17:Y22" si="4">IF(Z17&gt;0,"/")</f>
        <v>/</v>
      </c>
      <c r="Z17" s="324">
        <f t="shared" ref="Z17:Z24" si="5">IF(OR(AR17=0.18,AR17=0.2),12,IF(AR17=0.31,10,IF(AR17=0.33,9,IF(AR17=0.34,8,IF(AR17=0.36,6)))))</f>
        <v>8</v>
      </c>
      <c r="AA17" s="324">
        <f t="shared" ref="AA17:AA24" si="6">AQ17+(X17-1)*AR17</f>
        <v>4.4000000000000004</v>
      </c>
      <c r="AB17" s="324">
        <f t="shared" ref="AB17:AB24" si="7">X17+1</f>
        <v>2</v>
      </c>
      <c r="AC17" s="324" t="str">
        <f t="shared" ref="AC17:AC24" si="8">IF(Z17=X17,"%",IF(Z17&gt;X17,"/"))</f>
        <v>/</v>
      </c>
      <c r="AD17" s="324">
        <f t="shared" ref="AD17:AD24" si="9">IF(AND(Z17=X17,AB17=4),5,IF(AND(Z17=X17,AB17&gt;4),AB17+1,IF(Z17&gt;X17,Z17)))</f>
        <v>8</v>
      </c>
      <c r="AE17" s="324">
        <f t="shared" ref="AE17:AE24" si="10">IF(Z17=X17,"%",IF(Z17&gt;X17,AA17+AR17))</f>
        <v>4.74</v>
      </c>
      <c r="AF17" s="324" t="s">
        <v>10</v>
      </c>
      <c r="AG17" s="324" t="s">
        <v>11</v>
      </c>
      <c r="AH17" s="324" t="s">
        <v>38</v>
      </c>
      <c r="AI17" s="324" t="s">
        <v>11</v>
      </c>
      <c r="AJ17" s="324">
        <v>2013</v>
      </c>
      <c r="AK17" s="154"/>
      <c r="AL17" s="148"/>
      <c r="AM17" s="324">
        <f t="shared" ref="AM17:AM24" si="11">IF(AND(Z17&gt;X17,OR(AR17=0.18,AR17=0.2)),2,IF(AND(Z17&gt;X17,OR(AR17=0.31,AR17=0.33,AR17=0.34,AR17=0.36)),3,IF(Z17=X17,1)))</f>
        <v>3</v>
      </c>
      <c r="AN17" s="324">
        <f t="shared" ref="AN17:AN24" si="12">12*($W$2-AJ17)+($W$4-AH17)-AO17</f>
        <v>-24158</v>
      </c>
      <c r="AO17" s="192"/>
      <c r="AP17" s="192"/>
      <c r="AQ17" s="324">
        <f>VLOOKUP(U17,'[2]- DLiêu Gốc -'!$B$1:$E$56,3,0)</f>
        <v>4.4000000000000004</v>
      </c>
      <c r="AR17" s="324">
        <f>VLOOKUP(U17,'[2]- DLiêu Gốc -'!$B$1:$E$56,4,0)</f>
        <v>0.34</v>
      </c>
      <c r="AT17" s="324" t="str">
        <f t="shared" ref="AT17:AT24" si="13">IF(AND(AU17&gt;3,BF17=12),"Đến %",IF(AND(AU17&gt;3,BF17&gt;12,BF17&lt;120),"Dừng %",IF(AND(AU17&gt;3,BF17&lt;12),"PCTN","o-o-o")))</f>
        <v>PCTN</v>
      </c>
      <c r="AU17" s="330">
        <v>15</v>
      </c>
      <c r="AV17" s="331" t="s">
        <v>39</v>
      </c>
      <c r="AW17" s="330">
        <f t="shared" ref="AW17:AW24" si="14">IF(AU17&gt;3,AU17+1,0)</f>
        <v>16</v>
      </c>
      <c r="AX17" s="332" t="s">
        <v>39</v>
      </c>
      <c r="AY17" s="333">
        <v>4</v>
      </c>
      <c r="AZ17" s="180" t="s">
        <v>11</v>
      </c>
      <c r="BA17" s="334">
        <v>2015</v>
      </c>
      <c r="BB17" s="286"/>
      <c r="BC17" s="286"/>
      <c r="BD17" s="192"/>
      <c r="BE17" s="286">
        <v>4</v>
      </c>
      <c r="BF17" s="192">
        <f t="shared" ref="BF17:BF24" si="15">IF(AU17&gt;3,(($AT$2-BA17)*12+($AT$4-AY17)-BC17),"- - -")</f>
        <v>-24184</v>
      </c>
      <c r="BG17" s="147" t="str">
        <f t="shared" ref="BG17:BG24" si="16">IF(AND(CF17="Hưu",AU17&gt;3),12-(12*(CL17-BA17)+(CK17-AY17))-BC17,"- - -")</f>
        <v>- - -</v>
      </c>
      <c r="BH17" s="286" t="str">
        <f t="shared" ref="BH17:BH24" si="17">IF(BK17="công chức, viên chức","CC,VC",IF(BK17="người lao động","NLĐ","- - -"))</f>
        <v>CC,VC</v>
      </c>
      <c r="BI17" s="146"/>
      <c r="BJ17" s="146"/>
      <c r="BK17" s="146" t="s">
        <v>9</v>
      </c>
      <c r="BL17" s="286" t="str">
        <f t="shared" ref="BL17:BL24" si="18">IF(O17="Cơ sở Học viện Hành chính khu vực miền Trung","B",IF(O17="Phân viện Khu vực Tây Nguyên","C",IF(O17="Cơ sở Học viện Hành chính tại thành phố Hồ Chí Minh","D","A")))</f>
        <v>A</v>
      </c>
      <c r="BM17" s="150" t="str">
        <f t="shared" ref="BM17:BM24" si="19">IF(AND(AB17&gt;0,X17&lt;(Z17-1),BN17&gt;0,BN17&lt;13,OR(AND(BT17="Cùg Ng",($BM$2-BP17)&gt;AM17),BT17="- - -")),"Sớm TT","=&gt; s")</f>
        <v>=&gt; s</v>
      </c>
      <c r="BN17" s="286">
        <f t="shared" ref="BN17:BN24" si="20">IF(AM17=3,36-(12*($BM$2-AJ17)+(12-AH17)-AO17),IF(AM17=2,24-(12*($BM$2-AJ17)+(12-AH17)-AO17),"---"))</f>
        <v>24182</v>
      </c>
      <c r="BO17" s="146" t="str">
        <f t="shared" ref="BO17:BO24" si="21">IF(BP17&gt;1,"S","---")</f>
        <v>S</v>
      </c>
      <c r="BP17" s="286">
        <v>2013</v>
      </c>
      <c r="BQ17" s="153" t="s">
        <v>53</v>
      </c>
      <c r="BR17" s="153"/>
      <c r="BS17" s="194"/>
      <c r="BT17" s="149" t="str">
        <f t="shared" ref="BT17:BT24" si="22">IF(T17=BQ17,"Cùg Ng","- - -")</f>
        <v>Cùg Ng</v>
      </c>
      <c r="BU17" s="149" t="str">
        <f t="shared" ref="BU17:BU24" si="23">IF(BW17&gt;2000,"NN","- - -")</f>
        <v>NN</v>
      </c>
      <c r="BV17" s="149">
        <v>1</v>
      </c>
      <c r="BW17" s="149" t="s">
        <v>32</v>
      </c>
      <c r="BZ17" s="153" t="str">
        <f t="shared" ref="BZ17:BZ24" si="24">IF(CB17&gt;2000,"CN","- - -")</f>
        <v>- - -</v>
      </c>
      <c r="CA17" s="286"/>
      <c r="CB17" s="286"/>
      <c r="CC17" s="148"/>
      <c r="CD17" s="148"/>
      <c r="CE17" s="149" t="str">
        <f t="shared" ref="CE17:CE24" si="25">IF(AND(CF17="Hưu",X17&lt;(Z17-1),CM17&gt;0,CM17&lt;18,OR(AU17&lt;4,AND(AU17&gt;3,OR(BG17&lt;3,BG17&gt;5)))),"Lg Sớm",IF(AND(CF17="Hưu",X17&gt;(Z17-2),OR(AR17=0.33,AR17=0.34),OR(AU17&lt;4,AND(AU17&gt;3,OR(BG17&lt;3,BG17&gt;5)))),"Nâng Ngạch",IF(AND(CF17="Hưu",AM17=1,CM17&gt;2,CM17&lt;6,OR(AU17&lt;4,AND(AU17&gt;3,OR(BG17&lt;3,BG17&gt;5)))),"Nâng PcVK cùng QĐ",IF(AND(CF17="Hưu",AU17&gt;3,BG17&gt;2,BG17&lt;6,X17&lt;(Z17-1),CM17&gt;17,OR(AM17&gt;1,AND(AM17=1,OR(CM17&lt;3,CM17&gt;5)))),"Nâng PcNG cùng QĐ",IF(AND(CF17="Hưu",X17&lt;(Z17-1),CM17&gt;0,CM17&lt;18,AU17&gt;3,BG17&gt;2,BG17&lt;6),"Nâng Lg Sớm +(PcNG cùng QĐ)",IF(AND(CF17="Hưu",X17&gt;(Z17-2),OR(AR17=0.33,AR17=0.34),AU17&gt;3,BG17&gt;2,BG17&lt;6),"Nâng Ngạch +(PcNG cùng QĐ)",IF(AND(CF17="Hưu",AM17=1,CM17&gt;2,CM17&lt;6,AU17&gt;3,BG17&gt;2,BG17&lt;6),"Nâng (PcVK +PcNG) cùng QĐ",("---"))))))))</f>
        <v>---</v>
      </c>
      <c r="CF17" s="286" t="str">
        <f t="shared" ref="CF17:CF24" si="26">IF(AND(CQ17&gt;CP17,CQ17&lt;(CP17+13)),"Hưu",IF(AND(CQ17&gt;(CP17+12),CQ17&lt;1000),"Quá","/-/ /-/"))</f>
        <v>/-/ /-/</v>
      </c>
      <c r="CG17" s="286">
        <f t="shared" ref="CG17:CG24" si="27">IF((H17+0)&lt;12,(H17+0)+1,IF((H17+0)=12,1,IF((H17+0)&gt;12,(H17+0)-12)))</f>
        <v>12</v>
      </c>
      <c r="CH17" s="286">
        <f t="shared" ref="CH17:CH24" si="28">IF(OR((H17+0)=12,(H17+0)&gt;12),J17+CP17/12+1,IF(AND((H17+0)&gt;0,(H17+0)&lt;12),J17+CP17/12,"---"))</f>
        <v>2016</v>
      </c>
      <c r="CI17" s="149">
        <f t="shared" ref="CI17:CI24" si="29">IF(AND(CG17&gt;3,CG17&lt;13),CG17-3,IF(CG17&lt;4,CG17-3+12))</f>
        <v>9</v>
      </c>
      <c r="CJ17" s="149">
        <f t="shared" ref="CJ17:CJ24" si="30">IF(CI17&lt;CG17,CH17,IF(CI17&gt;CG17,CH17-1))</f>
        <v>2016</v>
      </c>
      <c r="CK17" s="146">
        <f t="shared" ref="CK17:CK24" si="31">IF(CG17&gt;6,CG17-6,IF(CG17=6,12,IF(CG17&lt;6,CG17+6)))</f>
        <v>6</v>
      </c>
      <c r="CL17" s="286">
        <f t="shared" ref="CL17:CL24" si="32">IF(CG17&gt;6,CH17,IF(CG17&lt;7,CH17-1))</f>
        <v>2016</v>
      </c>
      <c r="CM17" s="286" t="str">
        <f t="shared" ref="CM17:CM24" si="33">IF(AND(CF17="Hưu",AM17=3),36+AO17-(12*(CL17-AJ17)+(CK17-AH17)),IF(AND(CF17="Hưu",AM17=2),24+AO17-(12*(CL17-AJ17)+(CK17-AH17)),IF(AND(CF17="Hưu",AM17=1),12+AO17-(12*(CL17-AJ17)+(CK17-AH17)),"- - -")))</f>
        <v>- - -</v>
      </c>
      <c r="CN17" s="286" t="str">
        <f t="shared" ref="CN17:CN24" si="34">IF(CO17&gt;0,"K.Dài",". .")</f>
        <v>. .</v>
      </c>
      <c r="CO17" s="286"/>
      <c r="CP17" s="150">
        <f t="shared" ref="CP17:CP24" si="35">IF(E17="Nam",(60+CO17)*12,IF(E17="Nữ",(55+CO17)*12,))</f>
        <v>660</v>
      </c>
      <c r="CQ17" s="150">
        <f t="shared" ref="CQ17:CQ24" si="36">12*($CF$4-J17)+(12-H17)</f>
        <v>-23531</v>
      </c>
      <c r="CR17" s="286">
        <f t="shared" ref="CR17:CR24" si="37">$CV$4-J17</f>
        <v>-1961</v>
      </c>
      <c r="CS17" s="150" t="str">
        <f t="shared" ref="CS17:CS24" si="38">IF(AND(CR17&lt;35,E17="Nam"),"Nam dưới 35",IF(AND(CR17&lt;30,E17="Nữ"),"Nữ dưới 30",IF(AND(CR17&gt;34,CR17&lt;46,E17="Nam"),"Nam từ 35 - 45",IF(AND(CR17&gt;29,CR17&lt;41,E17="Nữ"),"Nữ từ 30 - 40",IF(AND(CR17&gt;45,CR17&lt;56,E17="Nam"),"Nam trên 45 - 55",IF(AND(CR17&gt;40,CR17&lt;51,E17="Nữ"),"Nữ trên 40 - 50",IF(AND(CR17&gt;55,E17="Nam"),"Nam trên 55","Nữ trên 50")))))))</f>
        <v>Nữ dưới 30</v>
      </c>
      <c r="CV17" s="149" t="str">
        <f t="shared" ref="CV17:CV24" si="39">IF(CR17&lt;31,"Đến 30",IF(AND(CR17&gt;30,CR17&lt;46),"31 - 45",IF(AND(CR17&gt;45,CR17&lt;70),"Trên 45")))</f>
        <v>Đến 30</v>
      </c>
      <c r="CW17" s="149" t="str">
        <f t="shared" ref="CW17:CW24" si="40">IF(CX17&gt;0,"TD","--")</f>
        <v>--</v>
      </c>
      <c r="DG17" s="149" t="s">
        <v>171</v>
      </c>
      <c r="DH17" s="149" t="s">
        <v>10</v>
      </c>
      <c r="DI17" s="149" t="s">
        <v>11</v>
      </c>
      <c r="DJ17" s="149" t="s">
        <v>38</v>
      </c>
      <c r="DK17" s="149" t="s">
        <v>11</v>
      </c>
      <c r="DL17" s="149">
        <v>2013</v>
      </c>
      <c r="DM17" s="149">
        <f t="shared" ref="DM17:DM24" si="41">(DH17+0)-(DO17+0)</f>
        <v>0</v>
      </c>
      <c r="DN17" s="149" t="str">
        <f t="shared" ref="DN17:DN24" si="42">IF(DM17&gt;0,"Sửa","- - -")</f>
        <v>- - -</v>
      </c>
      <c r="DO17" s="149" t="s">
        <v>10</v>
      </c>
      <c r="DP17" s="149" t="s">
        <v>11</v>
      </c>
      <c r="DQ17" s="149" t="s">
        <v>38</v>
      </c>
      <c r="DR17" s="149" t="s">
        <v>11</v>
      </c>
      <c r="DS17" s="149">
        <v>2013</v>
      </c>
      <c r="DT17" s="149">
        <v>3.66</v>
      </c>
      <c r="DU17" s="149" t="str">
        <f t="shared" ref="DU17:DU24" si="43">IF(AND(AR17&gt;0.34,AB17=1,OR(AQ17=6.2,AQ17=5.75)),((AQ17-DT17)-2*0.34),IF(AND(AR17&gt;0.33,AB17=1,OR(AQ17=4.4,AQ17=4)),((AQ17-DT17)-2*0.33),"- - -"))</f>
        <v>- - -</v>
      </c>
      <c r="DV17" s="149" t="str">
        <f t="shared" ref="DV17:DV24" si="44">IF(CF17="Hưu",12*(CL17-AJ17)+(CK17-AH17),"---")</f>
        <v>---</v>
      </c>
    </row>
    <row r="18" spans="1:126" s="149" customFormat="1" ht="19.5" customHeight="1" x14ac:dyDescent="0.25">
      <c r="A18" s="146">
        <v>212</v>
      </c>
      <c r="B18" s="323">
        <v>2</v>
      </c>
      <c r="C18" s="146" t="str">
        <f t="shared" si="0"/>
        <v>Bà</v>
      </c>
      <c r="D18" s="326" t="s">
        <v>172</v>
      </c>
      <c r="E18" s="146" t="s">
        <v>33</v>
      </c>
      <c r="F18" s="327" t="s">
        <v>51</v>
      </c>
      <c r="G18" s="327" t="s">
        <v>11</v>
      </c>
      <c r="H18" s="327" t="s">
        <v>56</v>
      </c>
      <c r="I18" s="327" t="s">
        <v>11</v>
      </c>
      <c r="J18" s="146" t="s">
        <v>143</v>
      </c>
      <c r="K18" s="146"/>
      <c r="L18" s="146"/>
      <c r="M18" s="150" t="e">
        <f>VLOOKUP(L18,'[2]- DLiêu Gốc -'!$B$2:$G$121,2,0)</f>
        <v>#N/A</v>
      </c>
      <c r="N18" s="348" t="s">
        <v>171</v>
      </c>
      <c r="O18" s="347" t="s">
        <v>132</v>
      </c>
      <c r="P18" s="175" t="str">
        <f>VLOOKUP(U18,'[2]- DLiêu Gốc -'!$B$2:$G$56,5,0)</f>
        <v>A2</v>
      </c>
      <c r="Q18" s="175" t="str">
        <f>VLOOKUP(U18,'[2]- DLiêu Gốc -'!$B$2:$G$56,6,0)</f>
        <v>A2.1</v>
      </c>
      <c r="R18" s="146" t="s">
        <v>35</v>
      </c>
      <c r="S18" s="328" t="str">
        <f t="shared" si="1"/>
        <v>Giảng viên chính (hạng II)</v>
      </c>
      <c r="T18" s="329" t="str">
        <f t="shared" si="2"/>
        <v>V.07.01.02</v>
      </c>
      <c r="U18" s="192" t="s">
        <v>52</v>
      </c>
      <c r="V18" s="148" t="str">
        <f>VLOOKUP(U18,'[2]- DLiêu Gốc -'!$B$1:$G$121,2,0)</f>
        <v>V.07.01.02</v>
      </c>
      <c r="W18" s="324" t="str">
        <f t="shared" si="3"/>
        <v>Lương</v>
      </c>
      <c r="X18" s="324">
        <v>2</v>
      </c>
      <c r="Y18" s="324" t="str">
        <f t="shared" si="4"/>
        <v>/</v>
      </c>
      <c r="Z18" s="324">
        <f t="shared" si="5"/>
        <v>8</v>
      </c>
      <c r="AA18" s="324">
        <f t="shared" si="6"/>
        <v>4.74</v>
      </c>
      <c r="AB18" s="324">
        <f t="shared" si="7"/>
        <v>3</v>
      </c>
      <c r="AC18" s="324" t="str">
        <f t="shared" si="8"/>
        <v>/</v>
      </c>
      <c r="AD18" s="324">
        <f t="shared" si="9"/>
        <v>8</v>
      </c>
      <c r="AE18" s="324">
        <f t="shared" si="10"/>
        <v>5.08</v>
      </c>
      <c r="AF18" s="324" t="s">
        <v>10</v>
      </c>
      <c r="AG18" s="324"/>
      <c r="AH18" s="324" t="s">
        <v>10</v>
      </c>
      <c r="AI18" s="324"/>
      <c r="AJ18" s="324" t="s">
        <v>45</v>
      </c>
      <c r="AK18" s="154"/>
      <c r="AL18" s="148"/>
      <c r="AM18" s="324">
        <f t="shared" si="11"/>
        <v>3</v>
      </c>
      <c r="AN18" s="324">
        <f t="shared" si="12"/>
        <v>-24145</v>
      </c>
      <c r="AO18" s="192"/>
      <c r="AP18" s="192"/>
      <c r="AQ18" s="324">
        <f>VLOOKUP(U18,'[2]- DLiêu Gốc -'!$B$1:$E$56,3,0)</f>
        <v>4.4000000000000004</v>
      </c>
      <c r="AR18" s="324">
        <f>VLOOKUP(U18,'[2]- DLiêu Gốc -'!$B$1:$E$56,4,0)</f>
        <v>0.34</v>
      </c>
      <c r="AT18" s="324" t="str">
        <f t="shared" si="13"/>
        <v>PCTN</v>
      </c>
      <c r="AU18" s="330">
        <v>14</v>
      </c>
      <c r="AV18" s="331" t="s">
        <v>39</v>
      </c>
      <c r="AW18" s="330">
        <f t="shared" si="14"/>
        <v>15</v>
      </c>
      <c r="AX18" s="332" t="s">
        <v>39</v>
      </c>
      <c r="AY18" s="333">
        <v>4</v>
      </c>
      <c r="AZ18" s="180" t="s">
        <v>11</v>
      </c>
      <c r="BA18" s="334">
        <v>2015</v>
      </c>
      <c r="BB18" s="286"/>
      <c r="BC18" s="286"/>
      <c r="BD18" s="192"/>
      <c r="BE18" s="286">
        <v>4</v>
      </c>
      <c r="BF18" s="192">
        <f t="shared" si="15"/>
        <v>-24184</v>
      </c>
      <c r="BG18" s="147" t="str">
        <f t="shared" si="16"/>
        <v>- - -</v>
      </c>
      <c r="BH18" s="286" t="str">
        <f t="shared" si="17"/>
        <v>CC,VC</v>
      </c>
      <c r="BI18" s="146"/>
      <c r="BJ18" s="146"/>
      <c r="BK18" s="146" t="s">
        <v>9</v>
      </c>
      <c r="BL18" s="286" t="str">
        <f t="shared" si="18"/>
        <v>A</v>
      </c>
      <c r="BM18" s="150" t="str">
        <f t="shared" si="19"/>
        <v>=&gt; s</v>
      </c>
      <c r="BN18" s="286">
        <f t="shared" si="20"/>
        <v>24169</v>
      </c>
      <c r="BO18" s="146" t="str">
        <f t="shared" si="21"/>
        <v>---</v>
      </c>
      <c r="BP18" s="286"/>
      <c r="BQ18" s="153"/>
      <c r="BR18" s="153"/>
      <c r="BS18" s="194"/>
      <c r="BT18" s="149" t="str">
        <f t="shared" si="22"/>
        <v>- - -</v>
      </c>
      <c r="BU18" s="149" t="str">
        <f t="shared" si="23"/>
        <v>NN</v>
      </c>
      <c r="BV18" s="149">
        <v>1</v>
      </c>
      <c r="BW18" s="149">
        <v>2009</v>
      </c>
      <c r="BZ18" s="153" t="str">
        <f t="shared" si="24"/>
        <v>- - -</v>
      </c>
      <c r="CA18" s="286"/>
      <c r="CB18" s="286"/>
      <c r="CC18" s="148"/>
      <c r="CD18" s="148"/>
      <c r="CE18" s="149" t="str">
        <f t="shared" si="25"/>
        <v>---</v>
      </c>
      <c r="CF18" s="286" t="str">
        <f t="shared" si="26"/>
        <v>/-/ /-/</v>
      </c>
      <c r="CG18" s="286">
        <f t="shared" si="27"/>
        <v>7</v>
      </c>
      <c r="CH18" s="286">
        <f t="shared" si="28"/>
        <v>2017</v>
      </c>
      <c r="CI18" s="149">
        <f t="shared" si="29"/>
        <v>4</v>
      </c>
      <c r="CJ18" s="149">
        <f t="shared" si="30"/>
        <v>2017</v>
      </c>
      <c r="CK18" s="146">
        <f t="shared" si="31"/>
        <v>1</v>
      </c>
      <c r="CL18" s="286">
        <f t="shared" si="32"/>
        <v>2017</v>
      </c>
      <c r="CM18" s="286" t="str">
        <f t="shared" si="33"/>
        <v>- - -</v>
      </c>
      <c r="CN18" s="286" t="str">
        <f t="shared" si="34"/>
        <v>K.Dài</v>
      </c>
      <c r="CO18" s="286">
        <v>7</v>
      </c>
      <c r="CP18" s="150">
        <f t="shared" si="35"/>
        <v>744</v>
      </c>
      <c r="CQ18" s="150">
        <f t="shared" si="36"/>
        <v>-23454</v>
      </c>
      <c r="CR18" s="286">
        <f t="shared" si="37"/>
        <v>-1955</v>
      </c>
      <c r="CS18" s="150" t="str">
        <f t="shared" si="38"/>
        <v>Nữ dưới 30</v>
      </c>
      <c r="CV18" s="149" t="str">
        <f t="shared" si="39"/>
        <v>Đến 30</v>
      </c>
      <c r="CW18" s="149" t="str">
        <f t="shared" si="40"/>
        <v>--</v>
      </c>
      <c r="DB18" s="149" t="s">
        <v>109</v>
      </c>
      <c r="DC18" s="149">
        <v>6</v>
      </c>
      <c r="DD18" s="149">
        <v>2010</v>
      </c>
      <c r="DG18" s="149" t="s">
        <v>171</v>
      </c>
      <c r="DH18" s="149" t="s">
        <v>10</v>
      </c>
      <c r="DI18" s="149" t="s">
        <v>11</v>
      </c>
      <c r="DJ18" s="149" t="s">
        <v>10</v>
      </c>
      <c r="DK18" s="149" t="s">
        <v>11</v>
      </c>
      <c r="DL18" s="149" t="s">
        <v>45</v>
      </c>
      <c r="DM18" s="149">
        <f t="shared" si="41"/>
        <v>0</v>
      </c>
      <c r="DN18" s="149" t="str">
        <f t="shared" si="42"/>
        <v>- - -</v>
      </c>
      <c r="DO18" s="149" t="s">
        <v>10</v>
      </c>
      <c r="DP18" s="149" t="s">
        <v>11</v>
      </c>
      <c r="DQ18" s="149" t="s">
        <v>10</v>
      </c>
      <c r="DR18" s="149" t="s">
        <v>11</v>
      </c>
      <c r="DS18" s="149" t="s">
        <v>45</v>
      </c>
      <c r="DT18" s="149">
        <v>3.99</v>
      </c>
      <c r="DU18" s="149" t="str">
        <f t="shared" si="43"/>
        <v>- - -</v>
      </c>
      <c r="DV18" s="149" t="str">
        <f t="shared" si="44"/>
        <v>---</v>
      </c>
    </row>
    <row r="19" spans="1:126" s="149" customFormat="1" ht="30" customHeight="1" x14ac:dyDescent="0.25">
      <c r="A19" s="146">
        <v>260</v>
      </c>
      <c r="B19" s="323">
        <v>3</v>
      </c>
      <c r="C19" s="146" t="str">
        <f t="shared" si="0"/>
        <v>Ông</v>
      </c>
      <c r="D19" s="346" t="s">
        <v>173</v>
      </c>
      <c r="E19" s="146" t="s">
        <v>40</v>
      </c>
      <c r="F19" s="327" t="s">
        <v>122</v>
      </c>
      <c r="G19" s="327" t="s">
        <v>11</v>
      </c>
      <c r="H19" s="327" t="s">
        <v>47</v>
      </c>
      <c r="I19" s="327" t="s">
        <v>11</v>
      </c>
      <c r="J19" s="146">
        <v>1962</v>
      </c>
      <c r="K19" s="146"/>
      <c r="L19" s="146"/>
      <c r="M19" s="150" t="e">
        <f>VLOOKUP(L19,'[2]- DLiêu Gốc -'!$B$2:$G$121,2,0)</f>
        <v>#N/A</v>
      </c>
      <c r="N19" s="348" t="s">
        <v>119</v>
      </c>
      <c r="O19" s="347" t="s">
        <v>110</v>
      </c>
      <c r="P19" s="175" t="str">
        <f>VLOOKUP(U19,'[2]- DLiêu Gốc -'!$B$2:$G$56,5,0)</f>
        <v>A1</v>
      </c>
      <c r="Q19" s="175" t="str">
        <f>VLOOKUP(U19,'[2]- DLiêu Gốc -'!$B$2:$G$56,6,0)</f>
        <v>- - -</v>
      </c>
      <c r="R19" s="146" t="s">
        <v>35</v>
      </c>
      <c r="S19" s="328" t="str">
        <f t="shared" si="1"/>
        <v>Giảng viên (hạng III)</v>
      </c>
      <c r="T19" s="329" t="str">
        <f t="shared" si="2"/>
        <v>V.07.01.03</v>
      </c>
      <c r="U19" s="192" t="s">
        <v>36</v>
      </c>
      <c r="V19" s="148" t="str">
        <f>VLOOKUP(U19,'[2]- DLiêu Gốc -'!$B$1:$G$121,2,0)</f>
        <v>V.07.01.03</v>
      </c>
      <c r="W19" s="324" t="str">
        <f t="shared" si="3"/>
        <v>Lương</v>
      </c>
      <c r="X19" s="324">
        <v>5</v>
      </c>
      <c r="Y19" s="324" t="str">
        <f t="shared" si="4"/>
        <v>/</v>
      </c>
      <c r="Z19" s="324">
        <f t="shared" si="5"/>
        <v>9</v>
      </c>
      <c r="AA19" s="324">
        <f t="shared" si="6"/>
        <v>3.66</v>
      </c>
      <c r="AB19" s="324">
        <f t="shared" si="7"/>
        <v>6</v>
      </c>
      <c r="AC19" s="324" t="str">
        <f t="shared" si="8"/>
        <v>/</v>
      </c>
      <c r="AD19" s="324">
        <f t="shared" si="9"/>
        <v>9</v>
      </c>
      <c r="AE19" s="324">
        <f t="shared" si="10"/>
        <v>3.99</v>
      </c>
      <c r="AF19" s="324" t="s">
        <v>10</v>
      </c>
      <c r="AG19" s="324" t="s">
        <v>11</v>
      </c>
      <c r="AH19" s="324" t="s">
        <v>38</v>
      </c>
      <c r="AI19" s="324" t="s">
        <v>11</v>
      </c>
      <c r="AJ19" s="324">
        <v>2014</v>
      </c>
      <c r="AK19" s="154"/>
      <c r="AL19" s="148"/>
      <c r="AM19" s="324">
        <f t="shared" si="11"/>
        <v>3</v>
      </c>
      <c r="AN19" s="324">
        <f t="shared" si="12"/>
        <v>-24170</v>
      </c>
      <c r="AO19" s="192"/>
      <c r="AP19" s="192"/>
      <c r="AQ19" s="324">
        <f>VLOOKUP(U19,'[2]- DLiêu Gốc -'!$B$1:$E$56,3,0)</f>
        <v>2.34</v>
      </c>
      <c r="AR19" s="324">
        <f>VLOOKUP(U19,'[2]- DLiêu Gốc -'!$B$1:$E$56,4,0)</f>
        <v>0.33</v>
      </c>
      <c r="AT19" s="324" t="str">
        <f t="shared" si="13"/>
        <v>PCTN</v>
      </c>
      <c r="AU19" s="330">
        <v>25</v>
      </c>
      <c r="AV19" s="331" t="s">
        <v>39</v>
      </c>
      <c r="AW19" s="330">
        <f t="shared" si="14"/>
        <v>26</v>
      </c>
      <c r="AX19" s="332" t="s">
        <v>39</v>
      </c>
      <c r="AY19" s="333" t="s">
        <v>60</v>
      </c>
      <c r="AZ19" s="180" t="s">
        <v>11</v>
      </c>
      <c r="BA19" s="334">
        <v>2015</v>
      </c>
      <c r="BB19" s="286"/>
      <c r="BC19" s="286"/>
      <c r="BD19" s="192"/>
      <c r="BE19" s="286">
        <v>4</v>
      </c>
      <c r="BF19" s="192">
        <f t="shared" si="15"/>
        <v>-24184</v>
      </c>
      <c r="BG19" s="147" t="str">
        <f t="shared" si="16"/>
        <v>- - -</v>
      </c>
      <c r="BH19" s="286" t="str">
        <f t="shared" si="17"/>
        <v>CC,VC</v>
      </c>
      <c r="BI19" s="146"/>
      <c r="BJ19" s="146"/>
      <c r="BK19" s="146" t="s">
        <v>9</v>
      </c>
      <c r="BL19" s="286" t="str">
        <f t="shared" si="18"/>
        <v>A</v>
      </c>
      <c r="BM19" s="150" t="str">
        <f t="shared" si="19"/>
        <v>=&gt; s</v>
      </c>
      <c r="BN19" s="286">
        <f t="shared" si="20"/>
        <v>24194</v>
      </c>
      <c r="BO19" s="146" t="str">
        <f t="shared" si="21"/>
        <v>---</v>
      </c>
      <c r="BP19" s="286"/>
      <c r="BQ19" s="153"/>
      <c r="BR19" s="153"/>
      <c r="BS19" s="194"/>
      <c r="BT19" s="149" t="str">
        <f t="shared" si="22"/>
        <v>- - -</v>
      </c>
      <c r="BU19" s="149" t="str">
        <f t="shared" si="23"/>
        <v>- - -</v>
      </c>
      <c r="BZ19" s="153" t="str">
        <f t="shared" si="24"/>
        <v>- - -</v>
      </c>
      <c r="CA19" s="286"/>
      <c r="CB19" s="286"/>
      <c r="CC19" s="148"/>
      <c r="CD19" s="148"/>
      <c r="CE19" s="149" t="str">
        <f t="shared" si="25"/>
        <v>---</v>
      </c>
      <c r="CF19" s="286" t="str">
        <f t="shared" si="26"/>
        <v>/-/ /-/</v>
      </c>
      <c r="CG19" s="286">
        <f t="shared" si="27"/>
        <v>1</v>
      </c>
      <c r="CH19" s="286">
        <f t="shared" si="28"/>
        <v>2023</v>
      </c>
      <c r="CI19" s="149">
        <f t="shared" si="29"/>
        <v>10</v>
      </c>
      <c r="CJ19" s="149">
        <f t="shared" si="30"/>
        <v>2022</v>
      </c>
      <c r="CK19" s="146">
        <f t="shared" si="31"/>
        <v>7</v>
      </c>
      <c r="CL19" s="286">
        <f t="shared" si="32"/>
        <v>2022</v>
      </c>
      <c r="CM19" s="286" t="str">
        <f t="shared" si="33"/>
        <v>- - -</v>
      </c>
      <c r="CN19" s="286" t="str">
        <f t="shared" si="34"/>
        <v>. .</v>
      </c>
      <c r="CO19" s="286"/>
      <c r="CP19" s="150">
        <f t="shared" si="35"/>
        <v>720</v>
      </c>
      <c r="CQ19" s="150">
        <f t="shared" si="36"/>
        <v>-23544</v>
      </c>
      <c r="CR19" s="286">
        <f t="shared" si="37"/>
        <v>-1962</v>
      </c>
      <c r="CS19" s="150" t="str">
        <f t="shared" si="38"/>
        <v>Nam dưới 35</v>
      </c>
      <c r="CV19" s="149" t="str">
        <f t="shared" si="39"/>
        <v>Đến 30</v>
      </c>
      <c r="CW19" s="149" t="str">
        <f t="shared" si="40"/>
        <v>--</v>
      </c>
      <c r="DG19" s="149" t="s">
        <v>119</v>
      </c>
      <c r="DH19" s="149" t="s">
        <v>10</v>
      </c>
      <c r="DI19" s="149" t="s">
        <v>11</v>
      </c>
      <c r="DJ19" s="149" t="s">
        <v>38</v>
      </c>
      <c r="DK19" s="149" t="s">
        <v>11</v>
      </c>
      <c r="DL19" s="149" t="s">
        <v>32</v>
      </c>
      <c r="DM19" s="149">
        <f t="shared" si="41"/>
        <v>0</v>
      </c>
      <c r="DN19" s="149" t="str">
        <f t="shared" si="42"/>
        <v>- - -</v>
      </c>
      <c r="DO19" s="149" t="s">
        <v>10</v>
      </c>
      <c r="DP19" s="149" t="s">
        <v>11</v>
      </c>
      <c r="DQ19" s="149" t="s">
        <v>38</v>
      </c>
      <c r="DR19" s="149" t="s">
        <v>11</v>
      </c>
      <c r="DS19" s="149" t="s">
        <v>32</v>
      </c>
      <c r="DU19" s="149" t="str">
        <f t="shared" si="43"/>
        <v>- - -</v>
      </c>
      <c r="DV19" s="149" t="str">
        <f t="shared" si="44"/>
        <v>---</v>
      </c>
    </row>
    <row r="20" spans="1:126" s="149" customFormat="1" ht="28.5" customHeight="1" x14ac:dyDescent="0.25">
      <c r="A20" s="146">
        <v>270</v>
      </c>
      <c r="B20" s="323">
        <v>4</v>
      </c>
      <c r="C20" s="146" t="str">
        <f t="shared" si="0"/>
        <v>Ông</v>
      </c>
      <c r="D20" s="326" t="s">
        <v>174</v>
      </c>
      <c r="E20" s="146" t="s">
        <v>40</v>
      </c>
      <c r="F20" s="327" t="s">
        <v>175</v>
      </c>
      <c r="G20" s="327" t="s">
        <v>11</v>
      </c>
      <c r="H20" s="327" t="s">
        <v>12</v>
      </c>
      <c r="I20" s="327" t="s">
        <v>11</v>
      </c>
      <c r="J20" s="146" t="s">
        <v>176</v>
      </c>
      <c r="K20" s="146" t="str">
        <f>IF(AND((M20+0)&gt;0.3,(M20+0)&lt;1.5),"CVụ","- -")</f>
        <v>CVụ</v>
      </c>
      <c r="L20" s="146" t="s">
        <v>117</v>
      </c>
      <c r="M20" s="150" t="str">
        <f>VLOOKUP(L20,'[2]- DLiêu Gốc -'!$B$2:$G$121,2,0)</f>
        <v>0,8</v>
      </c>
      <c r="N20" s="348"/>
      <c r="O20" s="347" t="s">
        <v>113</v>
      </c>
      <c r="P20" s="175" t="str">
        <f>VLOOKUP(U20,'[2]- DLiêu Gốc -'!$B$2:$G$56,5,0)</f>
        <v>A3</v>
      </c>
      <c r="Q20" s="175" t="str">
        <f>VLOOKUP(U20,'[2]- DLiêu Gốc -'!$B$2:$G$56,6,0)</f>
        <v>A3.1</v>
      </c>
      <c r="R20" s="146" t="s">
        <v>35</v>
      </c>
      <c r="S20" s="328" t="str">
        <f t="shared" si="1"/>
        <v>Giảng viên cao cấp (hạng I)</v>
      </c>
      <c r="T20" s="329" t="str">
        <f t="shared" si="2"/>
        <v>V.07.01.01</v>
      </c>
      <c r="U20" s="192" t="s">
        <v>107</v>
      </c>
      <c r="V20" s="148" t="str">
        <f>VLOOKUP(U20,'[2]- DLiêu Gốc -'!$B$1:$G$121,2,0)</f>
        <v>V.07.01.01</v>
      </c>
      <c r="W20" s="324" t="str">
        <f t="shared" si="3"/>
        <v>Lương</v>
      </c>
      <c r="X20" s="324">
        <v>4</v>
      </c>
      <c r="Y20" s="324" t="str">
        <f t="shared" si="4"/>
        <v>/</v>
      </c>
      <c r="Z20" s="324">
        <f t="shared" si="5"/>
        <v>6</v>
      </c>
      <c r="AA20" s="324">
        <f t="shared" si="6"/>
        <v>7.28</v>
      </c>
      <c r="AB20" s="324">
        <f t="shared" si="7"/>
        <v>5</v>
      </c>
      <c r="AC20" s="324" t="str">
        <f t="shared" si="8"/>
        <v>/</v>
      </c>
      <c r="AD20" s="324">
        <f t="shared" si="9"/>
        <v>6</v>
      </c>
      <c r="AE20" s="324">
        <f t="shared" si="10"/>
        <v>7.6400000000000006</v>
      </c>
      <c r="AF20" s="324" t="s">
        <v>10</v>
      </c>
      <c r="AG20" s="324" t="s">
        <v>11</v>
      </c>
      <c r="AH20" s="324" t="s">
        <v>31</v>
      </c>
      <c r="AI20" s="324" t="s">
        <v>11</v>
      </c>
      <c r="AJ20" s="324">
        <v>2013</v>
      </c>
      <c r="AK20" s="154"/>
      <c r="AL20" s="148"/>
      <c r="AM20" s="324">
        <f t="shared" si="11"/>
        <v>3</v>
      </c>
      <c r="AN20" s="324">
        <f t="shared" si="12"/>
        <v>-24164</v>
      </c>
      <c r="AO20" s="192"/>
      <c r="AP20" s="192"/>
      <c r="AQ20" s="324">
        <f>VLOOKUP(U20,'[2]- DLiêu Gốc -'!$B$1:$E$56,3,0)</f>
        <v>6.2</v>
      </c>
      <c r="AR20" s="324">
        <f>VLOOKUP(U20,'[2]- DLiêu Gốc -'!$B$1:$E$56,4,0)</f>
        <v>0.36</v>
      </c>
      <c r="AT20" s="324" t="str">
        <f t="shared" si="13"/>
        <v>PCTN</v>
      </c>
      <c r="AU20" s="330">
        <v>40</v>
      </c>
      <c r="AV20" s="331" t="s">
        <v>39</v>
      </c>
      <c r="AW20" s="330">
        <f t="shared" si="14"/>
        <v>41</v>
      </c>
      <c r="AX20" s="332" t="s">
        <v>39</v>
      </c>
      <c r="AY20" s="333">
        <v>4</v>
      </c>
      <c r="AZ20" s="180" t="s">
        <v>11</v>
      </c>
      <c r="BA20" s="334">
        <v>2015</v>
      </c>
      <c r="BB20" s="286"/>
      <c r="BC20" s="286"/>
      <c r="BD20" s="192"/>
      <c r="BE20" s="286">
        <v>4</v>
      </c>
      <c r="BF20" s="192">
        <f t="shared" si="15"/>
        <v>-24184</v>
      </c>
      <c r="BG20" s="147" t="str">
        <f t="shared" si="16"/>
        <v>- - -</v>
      </c>
      <c r="BH20" s="286" t="str">
        <f t="shared" si="17"/>
        <v>CC,VC</v>
      </c>
      <c r="BI20" s="146"/>
      <c r="BJ20" s="146"/>
      <c r="BK20" s="146" t="s">
        <v>9</v>
      </c>
      <c r="BL20" s="286" t="str">
        <f t="shared" si="18"/>
        <v>A</v>
      </c>
      <c r="BM20" s="150" t="str">
        <f t="shared" si="19"/>
        <v>=&gt; s</v>
      </c>
      <c r="BN20" s="286">
        <f t="shared" si="20"/>
        <v>24188</v>
      </c>
      <c r="BO20" s="146" t="str">
        <f t="shared" si="21"/>
        <v>---</v>
      </c>
      <c r="BP20" s="286"/>
      <c r="BQ20" s="153"/>
      <c r="BR20" s="153"/>
      <c r="BS20" s="194"/>
      <c r="BT20" s="149" t="str">
        <f t="shared" si="22"/>
        <v>- - -</v>
      </c>
      <c r="BU20" s="149" t="str">
        <f t="shared" si="23"/>
        <v>NN</v>
      </c>
      <c r="BV20" s="149">
        <v>1</v>
      </c>
      <c r="BW20" s="149">
        <v>2009</v>
      </c>
      <c r="BZ20" s="153" t="str">
        <f t="shared" si="24"/>
        <v>- - -</v>
      </c>
      <c r="CA20" s="286"/>
      <c r="CB20" s="286"/>
      <c r="CC20" s="148"/>
      <c r="CD20" s="148"/>
      <c r="CE20" s="149" t="str">
        <f t="shared" si="25"/>
        <v>---</v>
      </c>
      <c r="CF20" s="286" t="str">
        <f t="shared" si="26"/>
        <v>/-/ /-/</v>
      </c>
      <c r="CG20" s="286">
        <f t="shared" si="27"/>
        <v>8</v>
      </c>
      <c r="CH20" s="286">
        <f t="shared" si="28"/>
        <v>2017</v>
      </c>
      <c r="CI20" s="149">
        <f t="shared" si="29"/>
        <v>5</v>
      </c>
      <c r="CJ20" s="149">
        <f t="shared" si="30"/>
        <v>2017</v>
      </c>
      <c r="CK20" s="146">
        <f t="shared" si="31"/>
        <v>2</v>
      </c>
      <c r="CL20" s="286">
        <f t="shared" si="32"/>
        <v>2017</v>
      </c>
      <c r="CM20" s="286" t="str">
        <f t="shared" si="33"/>
        <v>- - -</v>
      </c>
      <c r="CN20" s="286" t="str">
        <f t="shared" si="34"/>
        <v>. .</v>
      </c>
      <c r="CO20" s="286"/>
      <c r="CP20" s="150">
        <f t="shared" si="35"/>
        <v>720</v>
      </c>
      <c r="CQ20" s="150">
        <f t="shared" si="36"/>
        <v>-23479</v>
      </c>
      <c r="CR20" s="286">
        <f t="shared" si="37"/>
        <v>-1957</v>
      </c>
      <c r="CS20" s="150" t="str">
        <f t="shared" si="38"/>
        <v>Nam dưới 35</v>
      </c>
      <c r="CV20" s="149" t="str">
        <f t="shared" si="39"/>
        <v>Đến 30</v>
      </c>
      <c r="CW20" s="149" t="str">
        <f t="shared" si="40"/>
        <v>--</v>
      </c>
      <c r="DB20" s="149" t="s">
        <v>109</v>
      </c>
      <c r="DC20" s="149">
        <v>6</v>
      </c>
      <c r="DD20" s="149" t="s">
        <v>45</v>
      </c>
      <c r="DH20" s="149" t="s">
        <v>10</v>
      </c>
      <c r="DI20" s="149" t="s">
        <v>11</v>
      </c>
      <c r="DJ20" s="149" t="s">
        <v>31</v>
      </c>
      <c r="DK20" s="149" t="s">
        <v>11</v>
      </c>
      <c r="DL20" s="149">
        <v>2013</v>
      </c>
      <c r="DM20" s="149">
        <f t="shared" si="41"/>
        <v>0</v>
      </c>
      <c r="DN20" s="149" t="str">
        <f t="shared" si="42"/>
        <v>- - -</v>
      </c>
      <c r="DO20" s="149" t="s">
        <v>10</v>
      </c>
      <c r="DP20" s="149" t="s">
        <v>11</v>
      </c>
      <c r="DQ20" s="149" t="s">
        <v>31</v>
      </c>
      <c r="DR20" s="149" t="s">
        <v>11</v>
      </c>
      <c r="DS20" s="149">
        <v>2013</v>
      </c>
      <c r="DT20" s="149">
        <v>6.44</v>
      </c>
      <c r="DU20" s="149" t="str">
        <f t="shared" si="43"/>
        <v>- - -</v>
      </c>
      <c r="DV20" s="149" t="str">
        <f t="shared" si="44"/>
        <v>---</v>
      </c>
    </row>
    <row r="21" spans="1:126" s="149" customFormat="1" ht="28.5" customHeight="1" x14ac:dyDescent="0.25">
      <c r="A21" s="146">
        <v>288</v>
      </c>
      <c r="B21" s="323">
        <v>5</v>
      </c>
      <c r="C21" s="146" t="str">
        <f t="shared" si="0"/>
        <v>Bà</v>
      </c>
      <c r="D21" s="326" t="s">
        <v>177</v>
      </c>
      <c r="E21" s="146" t="s">
        <v>33</v>
      </c>
      <c r="F21" s="327" t="s">
        <v>50</v>
      </c>
      <c r="G21" s="327" t="s">
        <v>11</v>
      </c>
      <c r="H21" s="327" t="s">
        <v>115</v>
      </c>
      <c r="I21" s="327" t="s">
        <v>11</v>
      </c>
      <c r="J21" s="146" t="s">
        <v>178</v>
      </c>
      <c r="K21" s="146"/>
      <c r="L21" s="146"/>
      <c r="M21" s="150" t="e">
        <f>VLOOKUP(L21,'[2]- DLiêu Gốc -'!$B$2:$G$121,2,0)</f>
        <v>#N/A</v>
      </c>
      <c r="N21" s="348" t="s">
        <v>179</v>
      </c>
      <c r="O21" s="347" t="s">
        <v>113</v>
      </c>
      <c r="P21" s="175" t="str">
        <f>VLOOKUP(U21,'[2]- DLiêu Gốc -'!$B$2:$G$56,5,0)</f>
        <v>A2</v>
      </c>
      <c r="Q21" s="175" t="str">
        <f>VLOOKUP(U21,'[2]- DLiêu Gốc -'!$B$2:$G$56,6,0)</f>
        <v>A2.1</v>
      </c>
      <c r="R21" s="146" t="s">
        <v>35</v>
      </c>
      <c r="S21" s="328" t="str">
        <f t="shared" si="1"/>
        <v>Giảng viên chính (hạng II)</v>
      </c>
      <c r="T21" s="329" t="str">
        <f t="shared" si="2"/>
        <v>V.07.01.02</v>
      </c>
      <c r="U21" s="192" t="s">
        <v>52</v>
      </c>
      <c r="V21" s="148" t="str">
        <f>VLOOKUP(U21,'[2]- DLiêu Gốc -'!$B$1:$G$121,2,0)</f>
        <v>V.07.01.02</v>
      </c>
      <c r="W21" s="324" t="str">
        <f t="shared" si="3"/>
        <v>Lương</v>
      </c>
      <c r="X21" s="324">
        <v>0</v>
      </c>
      <c r="Y21" s="324" t="str">
        <f t="shared" si="4"/>
        <v>/</v>
      </c>
      <c r="Z21" s="324">
        <f t="shared" si="5"/>
        <v>8</v>
      </c>
      <c r="AA21" s="324">
        <f t="shared" si="6"/>
        <v>4.0600000000000005</v>
      </c>
      <c r="AB21" s="324">
        <f t="shared" si="7"/>
        <v>1</v>
      </c>
      <c r="AC21" s="324" t="str">
        <f t="shared" si="8"/>
        <v>/</v>
      </c>
      <c r="AD21" s="324">
        <f t="shared" si="9"/>
        <v>8</v>
      </c>
      <c r="AE21" s="324">
        <f t="shared" si="10"/>
        <v>4.4000000000000004</v>
      </c>
      <c r="AF21" s="324" t="s">
        <v>10</v>
      </c>
      <c r="AG21" s="324" t="s">
        <v>11</v>
      </c>
      <c r="AH21" s="324" t="s">
        <v>12</v>
      </c>
      <c r="AI21" s="324" t="s">
        <v>11</v>
      </c>
      <c r="AJ21" s="324">
        <v>2012</v>
      </c>
      <c r="AK21" s="154"/>
      <c r="AL21" s="148"/>
      <c r="AM21" s="324">
        <f t="shared" si="11"/>
        <v>3</v>
      </c>
      <c r="AN21" s="324">
        <f t="shared" si="12"/>
        <v>-24151</v>
      </c>
      <c r="AO21" s="192"/>
      <c r="AP21" s="192"/>
      <c r="AQ21" s="324">
        <f>VLOOKUP(U21,'[2]- DLiêu Gốc -'!$B$1:$E$56,3,0)</f>
        <v>4.4000000000000004</v>
      </c>
      <c r="AR21" s="324">
        <f>VLOOKUP(U21,'[2]- DLiêu Gốc -'!$B$1:$E$56,4,0)</f>
        <v>0.34</v>
      </c>
      <c r="AT21" s="324" t="str">
        <f t="shared" si="13"/>
        <v>PCTN</v>
      </c>
      <c r="AU21" s="330">
        <v>15</v>
      </c>
      <c r="AV21" s="331" t="s">
        <v>39</v>
      </c>
      <c r="AW21" s="330">
        <f t="shared" si="14"/>
        <v>16</v>
      </c>
      <c r="AX21" s="332" t="s">
        <v>39</v>
      </c>
      <c r="AY21" s="333">
        <v>4</v>
      </c>
      <c r="AZ21" s="180" t="s">
        <v>11</v>
      </c>
      <c r="BA21" s="334">
        <v>2015</v>
      </c>
      <c r="BB21" s="286"/>
      <c r="BC21" s="286"/>
      <c r="BD21" s="192"/>
      <c r="BE21" s="286">
        <v>4</v>
      </c>
      <c r="BF21" s="192">
        <f t="shared" si="15"/>
        <v>-24184</v>
      </c>
      <c r="BG21" s="147" t="str">
        <f t="shared" si="16"/>
        <v>- - -</v>
      </c>
      <c r="BH21" s="286" t="str">
        <f t="shared" si="17"/>
        <v>CC,VC</v>
      </c>
      <c r="BI21" s="146"/>
      <c r="BJ21" s="146"/>
      <c r="BK21" s="146" t="s">
        <v>9</v>
      </c>
      <c r="BL21" s="286" t="str">
        <f t="shared" si="18"/>
        <v>A</v>
      </c>
      <c r="BM21" s="150" t="str">
        <f t="shared" si="19"/>
        <v>=&gt; s</v>
      </c>
      <c r="BN21" s="286">
        <f t="shared" si="20"/>
        <v>24175</v>
      </c>
      <c r="BO21" s="146" t="str">
        <f t="shared" si="21"/>
        <v>S</v>
      </c>
      <c r="BP21" s="286">
        <v>2010</v>
      </c>
      <c r="BQ21" s="153" t="s">
        <v>37</v>
      </c>
      <c r="BR21" s="153"/>
      <c r="BS21" s="194"/>
      <c r="BT21" s="149" t="str">
        <f t="shared" si="22"/>
        <v>- - -</v>
      </c>
      <c r="BU21" s="149" t="str">
        <f t="shared" si="23"/>
        <v>NN</v>
      </c>
      <c r="BV21" s="149">
        <v>7</v>
      </c>
      <c r="BW21" s="149">
        <v>2012</v>
      </c>
      <c r="BZ21" s="153" t="str">
        <f t="shared" si="24"/>
        <v>- - -</v>
      </c>
      <c r="CA21" s="286"/>
      <c r="CB21" s="286"/>
      <c r="CC21" s="148"/>
      <c r="CD21" s="148"/>
      <c r="CE21" s="149" t="str">
        <f t="shared" si="25"/>
        <v>---</v>
      </c>
      <c r="CF21" s="286" t="str">
        <f t="shared" si="26"/>
        <v>/-/ /-/</v>
      </c>
      <c r="CG21" s="286">
        <f t="shared" si="27"/>
        <v>6</v>
      </c>
      <c r="CH21" s="286">
        <f t="shared" si="28"/>
        <v>2030</v>
      </c>
      <c r="CI21" s="149">
        <f t="shared" si="29"/>
        <v>3</v>
      </c>
      <c r="CJ21" s="149">
        <f t="shared" si="30"/>
        <v>2030</v>
      </c>
      <c r="CK21" s="146">
        <f t="shared" si="31"/>
        <v>12</v>
      </c>
      <c r="CL21" s="286">
        <f t="shared" si="32"/>
        <v>2029</v>
      </c>
      <c r="CM21" s="286" t="str">
        <f t="shared" si="33"/>
        <v>- - -</v>
      </c>
      <c r="CN21" s="286" t="str">
        <f t="shared" si="34"/>
        <v>. .</v>
      </c>
      <c r="CO21" s="286"/>
      <c r="CP21" s="150">
        <f t="shared" si="35"/>
        <v>660</v>
      </c>
      <c r="CQ21" s="150">
        <f t="shared" si="36"/>
        <v>-23693</v>
      </c>
      <c r="CR21" s="286">
        <f t="shared" si="37"/>
        <v>-1975</v>
      </c>
      <c r="CS21" s="150" t="str">
        <f t="shared" si="38"/>
        <v>Nữ dưới 30</v>
      </c>
      <c r="CV21" s="149" t="str">
        <f t="shared" si="39"/>
        <v>Đến 30</v>
      </c>
      <c r="CW21" s="149" t="str">
        <f t="shared" si="40"/>
        <v>--</v>
      </c>
      <c r="DG21" s="149" t="s">
        <v>179</v>
      </c>
      <c r="DH21" s="149" t="s">
        <v>10</v>
      </c>
      <c r="DI21" s="149" t="s">
        <v>11</v>
      </c>
      <c r="DJ21" s="149" t="s">
        <v>12</v>
      </c>
      <c r="DK21" s="149" t="s">
        <v>11</v>
      </c>
      <c r="DL21" s="149">
        <v>2012</v>
      </c>
      <c r="DM21" s="149">
        <f t="shared" si="41"/>
        <v>0</v>
      </c>
      <c r="DN21" s="149" t="str">
        <f t="shared" si="42"/>
        <v>- - -</v>
      </c>
      <c r="DO21" s="149" t="s">
        <v>10</v>
      </c>
      <c r="DP21" s="149" t="s">
        <v>11</v>
      </c>
      <c r="DQ21" s="149" t="s">
        <v>12</v>
      </c>
      <c r="DR21" s="149" t="s">
        <v>11</v>
      </c>
      <c r="DS21" s="149">
        <v>2012</v>
      </c>
      <c r="DT21" s="149">
        <v>3.66</v>
      </c>
      <c r="DU21" s="149">
        <f t="shared" si="43"/>
        <v>8.0000000000000182E-2</v>
      </c>
      <c r="DV21" s="149" t="str">
        <f t="shared" si="44"/>
        <v>---</v>
      </c>
    </row>
    <row r="22" spans="1:126" s="149" customFormat="1" ht="30" customHeight="1" x14ac:dyDescent="0.25">
      <c r="A22" s="146">
        <v>379</v>
      </c>
      <c r="B22" s="323">
        <v>6</v>
      </c>
      <c r="C22" s="146" t="str">
        <f t="shared" si="0"/>
        <v>Bà</v>
      </c>
      <c r="D22" s="326" t="s">
        <v>180</v>
      </c>
      <c r="E22" s="146" t="s">
        <v>33</v>
      </c>
      <c r="F22" s="327" t="s">
        <v>54</v>
      </c>
      <c r="G22" s="327" t="s">
        <v>11</v>
      </c>
      <c r="H22" s="327" t="s">
        <v>31</v>
      </c>
      <c r="I22" s="327" t="s">
        <v>11</v>
      </c>
      <c r="J22" s="146" t="s">
        <v>118</v>
      </c>
      <c r="K22" s="146"/>
      <c r="L22" s="146" t="s">
        <v>61</v>
      </c>
      <c r="M22" s="150" t="str">
        <f>VLOOKUP(L22,'[2]- DLiêu Gốc -'!$B$2:$G$121,2,0)</f>
        <v>0,4</v>
      </c>
      <c r="N22" s="348" t="s">
        <v>55</v>
      </c>
      <c r="O22" s="347" t="s">
        <v>48</v>
      </c>
      <c r="P22" s="175" t="str">
        <f>VLOOKUP(U22,'[2]- DLiêu Gốc -'!$B$2:$G$56,5,0)</f>
        <v>A2</v>
      </c>
      <c r="Q22" s="175" t="str">
        <f>VLOOKUP(U22,'[2]- DLiêu Gốc -'!$B$2:$G$56,6,0)</f>
        <v>A2.1</v>
      </c>
      <c r="R22" s="146" t="s">
        <v>35</v>
      </c>
      <c r="S22" s="328" t="str">
        <f t="shared" si="1"/>
        <v>Giảng viên chính (hạng II)</v>
      </c>
      <c r="T22" s="329" t="str">
        <f t="shared" si="2"/>
        <v>V.07.01.02</v>
      </c>
      <c r="U22" s="192" t="s">
        <v>52</v>
      </c>
      <c r="V22" s="148" t="str">
        <f>VLOOKUP(U22,'[2]- DLiêu Gốc -'!$B$1:$G$121,2,0)</f>
        <v>V.07.01.02</v>
      </c>
      <c r="W22" s="324" t="str">
        <f t="shared" si="3"/>
        <v>Lương</v>
      </c>
      <c r="X22" s="324">
        <v>1</v>
      </c>
      <c r="Y22" s="324" t="str">
        <f t="shared" si="4"/>
        <v>/</v>
      </c>
      <c r="Z22" s="324">
        <f t="shared" si="5"/>
        <v>8</v>
      </c>
      <c r="AA22" s="324">
        <f t="shared" si="6"/>
        <v>4.4000000000000004</v>
      </c>
      <c r="AB22" s="324">
        <f t="shared" si="7"/>
        <v>2</v>
      </c>
      <c r="AC22" s="324" t="str">
        <f t="shared" si="8"/>
        <v>/</v>
      </c>
      <c r="AD22" s="324">
        <f t="shared" si="9"/>
        <v>8</v>
      </c>
      <c r="AE22" s="324">
        <f t="shared" si="10"/>
        <v>4.74</v>
      </c>
      <c r="AF22" s="324" t="s">
        <v>10</v>
      </c>
      <c r="AG22" s="324" t="s">
        <v>11</v>
      </c>
      <c r="AH22" s="324" t="s">
        <v>10</v>
      </c>
      <c r="AI22" s="324" t="s">
        <v>11</v>
      </c>
      <c r="AJ22" s="324" t="s">
        <v>45</v>
      </c>
      <c r="AK22" s="154"/>
      <c r="AL22" s="148"/>
      <c r="AM22" s="324">
        <f t="shared" si="11"/>
        <v>3</v>
      </c>
      <c r="AN22" s="324">
        <f t="shared" si="12"/>
        <v>-24145</v>
      </c>
      <c r="AO22" s="192"/>
      <c r="AP22" s="192"/>
      <c r="AQ22" s="324">
        <f>VLOOKUP(U22,'[2]- DLiêu Gốc -'!$B$1:$E$56,3,0)</f>
        <v>4.4000000000000004</v>
      </c>
      <c r="AR22" s="324">
        <f>VLOOKUP(U22,'[2]- DLiêu Gốc -'!$B$1:$E$56,4,0)</f>
        <v>0.34</v>
      </c>
      <c r="AT22" s="324" t="str">
        <f t="shared" si="13"/>
        <v>PCTN</v>
      </c>
      <c r="AU22" s="330">
        <v>18</v>
      </c>
      <c r="AV22" s="331" t="s">
        <v>39</v>
      </c>
      <c r="AW22" s="330">
        <f t="shared" si="14"/>
        <v>19</v>
      </c>
      <c r="AX22" s="332" t="s">
        <v>39</v>
      </c>
      <c r="AY22" s="333">
        <v>4</v>
      </c>
      <c r="AZ22" s="180" t="s">
        <v>11</v>
      </c>
      <c r="BA22" s="334">
        <v>2015</v>
      </c>
      <c r="BB22" s="286"/>
      <c r="BC22" s="286"/>
      <c r="BD22" s="192"/>
      <c r="BE22" s="286">
        <v>4</v>
      </c>
      <c r="BF22" s="192">
        <f t="shared" si="15"/>
        <v>-24184</v>
      </c>
      <c r="BG22" s="147" t="str">
        <f t="shared" si="16"/>
        <v>- - -</v>
      </c>
      <c r="BH22" s="286" t="str">
        <f t="shared" si="17"/>
        <v>CC,VC</v>
      </c>
      <c r="BI22" s="146"/>
      <c r="BJ22" s="146"/>
      <c r="BK22" s="146" t="s">
        <v>9</v>
      </c>
      <c r="BL22" s="286" t="str">
        <f t="shared" si="18"/>
        <v>A</v>
      </c>
      <c r="BM22" s="150" t="str">
        <f t="shared" si="19"/>
        <v>=&gt; s</v>
      </c>
      <c r="BN22" s="286">
        <f t="shared" si="20"/>
        <v>24169</v>
      </c>
      <c r="BO22" s="146" t="str">
        <f t="shared" si="21"/>
        <v>---</v>
      </c>
      <c r="BP22" s="286"/>
      <c r="BQ22" s="153"/>
      <c r="BR22" s="153"/>
      <c r="BS22" s="194"/>
      <c r="BT22" s="149" t="str">
        <f t="shared" si="22"/>
        <v>- - -</v>
      </c>
      <c r="BU22" s="149" t="str">
        <f t="shared" si="23"/>
        <v>NN</v>
      </c>
      <c r="BV22" s="149">
        <v>1</v>
      </c>
      <c r="BW22" s="149" t="s">
        <v>181</v>
      </c>
      <c r="BZ22" s="153" t="str">
        <f t="shared" si="24"/>
        <v>- - -</v>
      </c>
      <c r="CA22" s="286"/>
      <c r="CB22" s="286"/>
      <c r="CC22" s="148"/>
      <c r="CD22" s="148"/>
      <c r="CE22" s="149" t="str">
        <f t="shared" si="25"/>
        <v>---</v>
      </c>
      <c r="CF22" s="286" t="str">
        <f t="shared" si="26"/>
        <v>/-/ /-/</v>
      </c>
      <c r="CG22" s="286">
        <f t="shared" si="27"/>
        <v>9</v>
      </c>
      <c r="CH22" s="286">
        <f t="shared" si="28"/>
        <v>2025</v>
      </c>
      <c r="CI22" s="149">
        <f t="shared" si="29"/>
        <v>6</v>
      </c>
      <c r="CJ22" s="149">
        <f t="shared" si="30"/>
        <v>2025</v>
      </c>
      <c r="CK22" s="146">
        <f t="shared" si="31"/>
        <v>3</v>
      </c>
      <c r="CL22" s="286">
        <f t="shared" si="32"/>
        <v>2025</v>
      </c>
      <c r="CM22" s="286" t="str">
        <f t="shared" si="33"/>
        <v>- - -</v>
      </c>
      <c r="CN22" s="286" t="str">
        <f t="shared" si="34"/>
        <v>. .</v>
      </c>
      <c r="CO22" s="286"/>
      <c r="CP22" s="150">
        <f t="shared" si="35"/>
        <v>660</v>
      </c>
      <c r="CQ22" s="150">
        <f t="shared" si="36"/>
        <v>-23636</v>
      </c>
      <c r="CR22" s="286">
        <f t="shared" si="37"/>
        <v>-1970</v>
      </c>
      <c r="CS22" s="150" t="str">
        <f t="shared" si="38"/>
        <v>Nữ dưới 30</v>
      </c>
      <c r="CV22" s="149" t="str">
        <f t="shared" si="39"/>
        <v>Đến 30</v>
      </c>
      <c r="CW22" s="149" t="str">
        <f t="shared" si="40"/>
        <v>--</v>
      </c>
      <c r="DG22" s="149" t="s">
        <v>128</v>
      </c>
      <c r="DH22" s="149" t="s">
        <v>10</v>
      </c>
      <c r="DI22" s="149" t="s">
        <v>11</v>
      </c>
      <c r="DJ22" s="149" t="s">
        <v>10</v>
      </c>
      <c r="DK22" s="149" t="s">
        <v>11</v>
      </c>
      <c r="DL22" s="149" t="s">
        <v>45</v>
      </c>
      <c r="DM22" s="149">
        <f t="shared" si="41"/>
        <v>0</v>
      </c>
      <c r="DN22" s="149" t="str">
        <f t="shared" si="42"/>
        <v>- - -</v>
      </c>
      <c r="DO22" s="149" t="s">
        <v>10</v>
      </c>
      <c r="DP22" s="149" t="s">
        <v>11</v>
      </c>
      <c r="DQ22" s="149" t="s">
        <v>10</v>
      </c>
      <c r="DR22" s="149" t="s">
        <v>11</v>
      </c>
      <c r="DS22" s="149" t="s">
        <v>45</v>
      </c>
      <c r="DT22" s="149">
        <v>3.66</v>
      </c>
      <c r="DU22" s="149" t="str">
        <f t="shared" si="43"/>
        <v>- - -</v>
      </c>
      <c r="DV22" s="149" t="str">
        <f t="shared" si="44"/>
        <v>---</v>
      </c>
    </row>
    <row r="23" spans="1:126" s="380" customFormat="1" ht="42" customHeight="1" x14ac:dyDescent="0.25">
      <c r="A23" s="379">
        <v>670</v>
      </c>
      <c r="B23" s="380">
        <v>7</v>
      </c>
      <c r="C23" s="379" t="str">
        <f t="shared" si="0"/>
        <v>Ông</v>
      </c>
      <c r="D23" s="346" t="s">
        <v>182</v>
      </c>
      <c r="E23" s="379" t="s">
        <v>40</v>
      </c>
      <c r="F23" s="381" t="s">
        <v>124</v>
      </c>
      <c r="G23" s="381" t="s">
        <v>11</v>
      </c>
      <c r="H23" s="381" t="s">
        <v>41</v>
      </c>
      <c r="I23" s="381" t="s">
        <v>11</v>
      </c>
      <c r="J23" s="379">
        <v>1957</v>
      </c>
      <c r="K23" s="379" t="str">
        <f>IF(AND((M23+0)&gt;0.3,(M23+0)&lt;1.5),"CVụ","- -")</f>
        <v>CVụ</v>
      </c>
      <c r="L23" s="379" t="s">
        <v>117</v>
      </c>
      <c r="M23" s="382" t="str">
        <f>VLOOKUP(L23,'[2]- DLiêu Gốc -'!$B$2:$G$121,2,0)</f>
        <v>0,8</v>
      </c>
      <c r="N23" s="383" t="s">
        <v>183</v>
      </c>
      <c r="O23" s="384" t="s">
        <v>58</v>
      </c>
      <c r="P23" s="385" t="str">
        <f>VLOOKUP(U23,'[2]- DLiêu Gốc -'!$B$2:$G$56,5,0)</f>
        <v>A3</v>
      </c>
      <c r="Q23" s="385" t="str">
        <f>VLOOKUP(U23,'[2]- DLiêu Gốc -'!$B$2:$G$56,6,0)</f>
        <v>A3.1</v>
      </c>
      <c r="R23" s="379" t="s">
        <v>35</v>
      </c>
      <c r="S23" s="386" t="str">
        <f t="shared" si="1"/>
        <v>Giảng viên cao cấp (hạng I)</v>
      </c>
      <c r="T23" s="387" t="str">
        <f t="shared" si="2"/>
        <v>V.07.01.01</v>
      </c>
      <c r="U23" s="388" t="s">
        <v>107</v>
      </c>
      <c r="V23" s="389" t="str">
        <f>VLOOKUP(U23,'[2]- DLiêu Gốc -'!$B$1:$G$121,2,0)</f>
        <v>V.07.01.01</v>
      </c>
      <c r="W23" s="390" t="str">
        <f t="shared" si="3"/>
        <v>Lương</v>
      </c>
      <c r="X23" s="390">
        <v>4</v>
      </c>
      <c r="Y23" s="390" t="s">
        <v>184</v>
      </c>
      <c r="Z23" s="390">
        <f t="shared" si="5"/>
        <v>6</v>
      </c>
      <c r="AA23" s="390">
        <f t="shared" si="6"/>
        <v>7.28</v>
      </c>
      <c r="AB23" s="390">
        <f t="shared" si="7"/>
        <v>5</v>
      </c>
      <c r="AC23" s="390" t="str">
        <f t="shared" si="8"/>
        <v>/</v>
      </c>
      <c r="AD23" s="390">
        <f t="shared" si="9"/>
        <v>6</v>
      </c>
      <c r="AE23" s="390">
        <f t="shared" si="10"/>
        <v>7.6400000000000006</v>
      </c>
      <c r="AF23" s="390" t="s">
        <v>10</v>
      </c>
      <c r="AG23" s="390" t="s">
        <v>11</v>
      </c>
      <c r="AH23" s="390" t="s">
        <v>115</v>
      </c>
      <c r="AI23" s="390" t="s">
        <v>11</v>
      </c>
      <c r="AJ23" s="390">
        <v>2012</v>
      </c>
      <c r="AK23" s="391"/>
      <c r="AL23" s="389"/>
      <c r="AM23" s="390">
        <f t="shared" si="11"/>
        <v>3</v>
      </c>
      <c r="AN23" s="390">
        <f t="shared" si="12"/>
        <v>-24149</v>
      </c>
      <c r="AO23" s="388"/>
      <c r="AP23" s="388"/>
      <c r="AQ23" s="390">
        <f>VLOOKUP(U23,'[2]- DLiêu Gốc -'!$B$1:$E$56,3,0)</f>
        <v>6.2</v>
      </c>
      <c r="AR23" s="390">
        <f>VLOOKUP(U23,'[2]- DLiêu Gốc -'!$B$1:$E$56,4,0)</f>
        <v>0.36</v>
      </c>
      <c r="AT23" s="390" t="str">
        <f t="shared" si="13"/>
        <v>PCTN</v>
      </c>
      <c r="AU23" s="392">
        <v>39</v>
      </c>
      <c r="AV23" s="393" t="s">
        <v>39</v>
      </c>
      <c r="AW23" s="392">
        <f t="shared" si="14"/>
        <v>40</v>
      </c>
      <c r="AX23" s="394" t="s">
        <v>39</v>
      </c>
      <c r="AY23" s="395">
        <v>4</v>
      </c>
      <c r="AZ23" s="396" t="s">
        <v>11</v>
      </c>
      <c r="BA23" s="397">
        <v>2015</v>
      </c>
      <c r="BB23" s="398"/>
      <c r="BC23" s="398"/>
      <c r="BD23" s="388"/>
      <c r="BE23" s="398">
        <v>4</v>
      </c>
      <c r="BF23" s="388">
        <f t="shared" si="15"/>
        <v>-24184</v>
      </c>
      <c r="BG23" s="399" t="str">
        <f t="shared" si="16"/>
        <v>- - -</v>
      </c>
      <c r="BH23" s="398" t="str">
        <f t="shared" si="17"/>
        <v>CC,VC</v>
      </c>
      <c r="BI23" s="379"/>
      <c r="BJ23" s="379"/>
      <c r="BK23" s="379" t="s">
        <v>9</v>
      </c>
      <c r="BL23" s="398" t="str">
        <f t="shared" si="18"/>
        <v>A</v>
      </c>
      <c r="BM23" s="382" t="str">
        <f t="shared" si="19"/>
        <v>=&gt; s</v>
      </c>
      <c r="BN23" s="398">
        <f t="shared" si="20"/>
        <v>24173</v>
      </c>
      <c r="BO23" s="379" t="str">
        <f t="shared" si="21"/>
        <v>---</v>
      </c>
      <c r="BP23" s="398"/>
      <c r="BQ23" s="400"/>
      <c r="BR23" s="400"/>
      <c r="BS23" s="401"/>
      <c r="BT23" s="380" t="str">
        <f t="shared" si="22"/>
        <v>- - -</v>
      </c>
      <c r="BU23" s="380" t="str">
        <f t="shared" si="23"/>
        <v>NN</v>
      </c>
      <c r="BV23" s="380">
        <v>5</v>
      </c>
      <c r="BW23" s="380">
        <v>2012</v>
      </c>
      <c r="BZ23" s="400" t="str">
        <f t="shared" si="24"/>
        <v>- - -</v>
      </c>
      <c r="CA23" s="398"/>
      <c r="CB23" s="398"/>
      <c r="CC23" s="389"/>
      <c r="CD23" s="389"/>
      <c r="CE23" s="380" t="str">
        <f t="shared" si="25"/>
        <v>---</v>
      </c>
      <c r="CF23" s="398" t="str">
        <f t="shared" si="26"/>
        <v>/-/ /-/</v>
      </c>
      <c r="CG23" s="398">
        <f t="shared" si="27"/>
        <v>12</v>
      </c>
      <c r="CH23" s="398">
        <f t="shared" si="28"/>
        <v>2017</v>
      </c>
      <c r="CI23" s="380">
        <f t="shared" si="29"/>
        <v>9</v>
      </c>
      <c r="CJ23" s="380">
        <f t="shared" si="30"/>
        <v>2017</v>
      </c>
      <c r="CK23" s="379">
        <f t="shared" si="31"/>
        <v>6</v>
      </c>
      <c r="CL23" s="398">
        <f t="shared" si="32"/>
        <v>2017</v>
      </c>
      <c r="CM23" s="398" t="str">
        <f t="shared" si="33"/>
        <v>- - -</v>
      </c>
      <c r="CN23" s="398" t="str">
        <f t="shared" si="34"/>
        <v>. .</v>
      </c>
      <c r="CO23" s="398"/>
      <c r="CP23" s="382">
        <f t="shared" si="35"/>
        <v>720</v>
      </c>
      <c r="CQ23" s="382">
        <f t="shared" si="36"/>
        <v>-23483</v>
      </c>
      <c r="CR23" s="398">
        <f t="shared" si="37"/>
        <v>-1957</v>
      </c>
      <c r="CS23" s="382" t="str">
        <f t="shared" si="38"/>
        <v>Nam dưới 35</v>
      </c>
      <c r="CV23" s="380" t="str">
        <f t="shared" si="39"/>
        <v>Đến 30</v>
      </c>
      <c r="CW23" s="380" t="str">
        <f t="shared" si="40"/>
        <v>--</v>
      </c>
      <c r="DG23" s="380" t="s">
        <v>183</v>
      </c>
      <c r="DH23" s="380" t="s">
        <v>10</v>
      </c>
      <c r="DI23" s="380" t="s">
        <v>11</v>
      </c>
      <c r="DJ23" s="380" t="s">
        <v>115</v>
      </c>
      <c r="DK23" s="380" t="s">
        <v>11</v>
      </c>
      <c r="DL23" s="380">
        <v>2012</v>
      </c>
      <c r="DM23" s="380">
        <f t="shared" si="41"/>
        <v>0</v>
      </c>
      <c r="DN23" s="380" t="str">
        <f t="shared" si="42"/>
        <v>- - -</v>
      </c>
      <c r="DO23" s="380" t="s">
        <v>10</v>
      </c>
      <c r="DP23" s="380" t="s">
        <v>11</v>
      </c>
      <c r="DQ23" s="380" t="s">
        <v>115</v>
      </c>
      <c r="DR23" s="380" t="s">
        <v>11</v>
      </c>
      <c r="DS23" s="380">
        <v>2012</v>
      </c>
      <c r="DT23" s="380">
        <v>7.3902000000000001</v>
      </c>
      <c r="DU23" s="380" t="str">
        <f t="shared" si="43"/>
        <v>- - -</v>
      </c>
      <c r="DV23" s="380" t="str">
        <f t="shared" si="44"/>
        <v>---</v>
      </c>
    </row>
    <row r="24" spans="1:126" s="380" customFormat="1" ht="44.25" customHeight="1" x14ac:dyDescent="0.25">
      <c r="A24" s="379">
        <v>697</v>
      </c>
      <c r="B24" s="380">
        <v>8</v>
      </c>
      <c r="C24" s="379" t="str">
        <f t="shared" si="0"/>
        <v>Ông</v>
      </c>
      <c r="D24" s="346" t="s">
        <v>185</v>
      </c>
      <c r="E24" s="379" t="s">
        <v>40</v>
      </c>
      <c r="F24" s="381" t="s">
        <v>127</v>
      </c>
      <c r="G24" s="381" t="s">
        <v>11</v>
      </c>
      <c r="H24" s="381" t="s">
        <v>115</v>
      </c>
      <c r="I24" s="381" t="s">
        <v>11</v>
      </c>
      <c r="J24" s="379" t="s">
        <v>123</v>
      </c>
      <c r="K24" s="379" t="str">
        <f>IF(AND((M24+0)&gt;0.3,(M24+0)&lt;1.5),"CVụ","- -")</f>
        <v>CVụ</v>
      </c>
      <c r="L24" s="379" t="s">
        <v>117</v>
      </c>
      <c r="M24" s="382" t="str">
        <f>VLOOKUP(L24,'[2]- DLiêu Gốc -'!$B$2:$G$121,2,0)</f>
        <v>0,8</v>
      </c>
      <c r="N24" s="383" t="s">
        <v>169</v>
      </c>
      <c r="O24" s="384" t="s">
        <v>58</v>
      </c>
      <c r="P24" s="385" t="str">
        <f>VLOOKUP(U24,'[2]- DLiêu Gốc -'!$B$2:$G$56,5,0)</f>
        <v>A3</v>
      </c>
      <c r="Q24" s="385" t="str">
        <f>VLOOKUP(U24,'[2]- DLiêu Gốc -'!$B$2:$G$56,6,0)</f>
        <v>A3.1</v>
      </c>
      <c r="R24" s="379" t="s">
        <v>35</v>
      </c>
      <c r="S24" s="386" t="str">
        <f t="shared" si="1"/>
        <v>Giảng viên cao cấp (hạng I)</v>
      </c>
      <c r="T24" s="387" t="str">
        <f t="shared" si="2"/>
        <v>V.07.01.01</v>
      </c>
      <c r="U24" s="388" t="s">
        <v>107</v>
      </c>
      <c r="V24" s="389" t="str">
        <f>VLOOKUP(U24,'[2]- DLiêu Gốc -'!$B$1:$G$121,2,0)</f>
        <v>V.07.01.01</v>
      </c>
      <c r="W24" s="390" t="str">
        <f t="shared" si="3"/>
        <v>Lương</v>
      </c>
      <c r="X24" s="390">
        <v>0</v>
      </c>
      <c r="Y24" s="390" t="str">
        <f>IF(Z24&gt;0,"/")</f>
        <v>/</v>
      </c>
      <c r="Z24" s="390">
        <f t="shared" si="5"/>
        <v>6</v>
      </c>
      <c r="AA24" s="390">
        <f t="shared" si="6"/>
        <v>5.84</v>
      </c>
      <c r="AB24" s="390">
        <f t="shared" si="7"/>
        <v>1</v>
      </c>
      <c r="AC24" s="390" t="str">
        <f t="shared" si="8"/>
        <v>/</v>
      </c>
      <c r="AD24" s="390">
        <f t="shared" si="9"/>
        <v>6</v>
      </c>
      <c r="AE24" s="390">
        <f t="shared" si="10"/>
        <v>6.2</v>
      </c>
      <c r="AF24" s="390" t="s">
        <v>10</v>
      </c>
      <c r="AG24" s="390" t="s">
        <v>11</v>
      </c>
      <c r="AH24" s="390" t="s">
        <v>115</v>
      </c>
      <c r="AI24" s="390" t="s">
        <v>11</v>
      </c>
      <c r="AJ24" s="390">
        <v>2012</v>
      </c>
      <c r="AK24" s="391"/>
      <c r="AL24" s="389"/>
      <c r="AM24" s="390">
        <f t="shared" si="11"/>
        <v>3</v>
      </c>
      <c r="AN24" s="390">
        <f t="shared" si="12"/>
        <v>-24149</v>
      </c>
      <c r="AO24" s="388"/>
      <c r="AP24" s="388"/>
      <c r="AQ24" s="390">
        <f>VLOOKUP(U24,'[2]- DLiêu Gốc -'!$B$1:$E$56,3,0)</f>
        <v>6.2</v>
      </c>
      <c r="AR24" s="390">
        <f>VLOOKUP(U24,'[2]- DLiêu Gốc -'!$B$1:$E$56,4,0)</f>
        <v>0.36</v>
      </c>
      <c r="AT24" s="390" t="str">
        <f t="shared" si="13"/>
        <v>PCTN</v>
      </c>
      <c r="AU24" s="392">
        <v>27</v>
      </c>
      <c r="AV24" s="393" t="s">
        <v>39</v>
      </c>
      <c r="AW24" s="392">
        <f t="shared" si="14"/>
        <v>28</v>
      </c>
      <c r="AX24" s="394" t="s">
        <v>39</v>
      </c>
      <c r="AY24" s="395">
        <v>4</v>
      </c>
      <c r="AZ24" s="396" t="s">
        <v>11</v>
      </c>
      <c r="BA24" s="397">
        <v>2015</v>
      </c>
      <c r="BB24" s="398"/>
      <c r="BC24" s="398"/>
      <c r="BD24" s="388"/>
      <c r="BE24" s="398">
        <v>4</v>
      </c>
      <c r="BF24" s="388">
        <f t="shared" si="15"/>
        <v>-24184</v>
      </c>
      <c r="BG24" s="399" t="str">
        <f t="shared" si="16"/>
        <v>- - -</v>
      </c>
      <c r="BH24" s="398" t="str">
        <f t="shared" si="17"/>
        <v>CC,VC</v>
      </c>
      <c r="BI24" s="379"/>
      <c r="BJ24" s="379"/>
      <c r="BK24" s="379" t="s">
        <v>9</v>
      </c>
      <c r="BL24" s="398" t="str">
        <f t="shared" si="18"/>
        <v>A</v>
      </c>
      <c r="BM24" s="382" t="str">
        <f t="shared" si="19"/>
        <v>=&gt; s</v>
      </c>
      <c r="BN24" s="398">
        <f t="shared" si="20"/>
        <v>24173</v>
      </c>
      <c r="BO24" s="379" t="str">
        <f t="shared" si="21"/>
        <v>S</v>
      </c>
      <c r="BP24" s="398">
        <v>2008</v>
      </c>
      <c r="BQ24" s="400" t="s">
        <v>53</v>
      </c>
      <c r="BR24" s="400"/>
      <c r="BS24" s="401"/>
      <c r="BT24" s="380" t="str">
        <f t="shared" si="22"/>
        <v>- - -</v>
      </c>
      <c r="BU24" s="380" t="str">
        <f t="shared" si="23"/>
        <v>NN</v>
      </c>
      <c r="BV24" s="380">
        <v>5</v>
      </c>
      <c r="BW24" s="380">
        <v>2012</v>
      </c>
      <c r="BZ24" s="400" t="str">
        <f t="shared" si="24"/>
        <v>- - -</v>
      </c>
      <c r="CA24" s="398"/>
      <c r="CB24" s="398"/>
      <c r="CC24" s="389"/>
      <c r="CD24" s="389"/>
      <c r="CE24" s="380" t="str">
        <f t="shared" si="25"/>
        <v>---</v>
      </c>
      <c r="CF24" s="398" t="str">
        <f t="shared" si="26"/>
        <v>/-/ /-/</v>
      </c>
      <c r="CG24" s="398">
        <f t="shared" si="27"/>
        <v>6</v>
      </c>
      <c r="CH24" s="398">
        <f t="shared" si="28"/>
        <v>2021</v>
      </c>
      <c r="CI24" s="380">
        <f t="shared" si="29"/>
        <v>3</v>
      </c>
      <c r="CJ24" s="380">
        <f t="shared" si="30"/>
        <v>2021</v>
      </c>
      <c r="CK24" s="379">
        <f t="shared" si="31"/>
        <v>12</v>
      </c>
      <c r="CL24" s="398">
        <f t="shared" si="32"/>
        <v>2020</v>
      </c>
      <c r="CM24" s="398" t="str">
        <f t="shared" si="33"/>
        <v>- - -</v>
      </c>
      <c r="CN24" s="398" t="str">
        <f t="shared" si="34"/>
        <v>. .</v>
      </c>
      <c r="CO24" s="398"/>
      <c r="CP24" s="382">
        <f t="shared" si="35"/>
        <v>720</v>
      </c>
      <c r="CQ24" s="382">
        <f t="shared" si="36"/>
        <v>-23525</v>
      </c>
      <c r="CR24" s="398">
        <f t="shared" si="37"/>
        <v>-1961</v>
      </c>
      <c r="CS24" s="382" t="str">
        <f t="shared" si="38"/>
        <v>Nam dưới 35</v>
      </c>
      <c r="CV24" s="380" t="str">
        <f t="shared" si="39"/>
        <v>Đến 30</v>
      </c>
      <c r="CW24" s="380" t="str">
        <f t="shared" si="40"/>
        <v>--</v>
      </c>
      <c r="DG24" s="380" t="s">
        <v>169</v>
      </c>
      <c r="DH24" s="380" t="s">
        <v>10</v>
      </c>
      <c r="DI24" s="380" t="s">
        <v>11</v>
      </c>
      <c r="DJ24" s="380" t="s">
        <v>115</v>
      </c>
      <c r="DK24" s="380" t="s">
        <v>11</v>
      </c>
      <c r="DL24" s="380">
        <v>2012</v>
      </c>
      <c r="DM24" s="380">
        <f t="shared" si="41"/>
        <v>0</v>
      </c>
      <c r="DN24" s="380" t="str">
        <f t="shared" si="42"/>
        <v>- - -</v>
      </c>
      <c r="DO24" s="380" t="s">
        <v>10</v>
      </c>
      <c r="DP24" s="380" t="s">
        <v>11</v>
      </c>
      <c r="DQ24" s="380" t="s">
        <v>115</v>
      </c>
      <c r="DR24" s="380" t="s">
        <v>11</v>
      </c>
      <c r="DS24" s="380">
        <v>2012</v>
      </c>
      <c r="DT24" s="380">
        <v>5.42</v>
      </c>
      <c r="DU24" s="380">
        <f t="shared" si="43"/>
        <v>0.1000000000000002</v>
      </c>
      <c r="DV24" s="380" t="str">
        <f t="shared" si="44"/>
        <v>---</v>
      </c>
    </row>
    <row r="25" spans="1:126" s="321" customFormat="1" ht="1.5" customHeight="1" x14ac:dyDescent="0.25">
      <c r="A25" s="286"/>
      <c r="B25" s="301"/>
      <c r="C25" s="286"/>
      <c r="D25" s="293"/>
      <c r="E25" s="286"/>
      <c r="F25" s="286"/>
      <c r="G25" s="286"/>
      <c r="H25" s="286"/>
      <c r="I25" s="286"/>
      <c r="J25" s="286"/>
      <c r="K25" s="286"/>
      <c r="L25" s="286"/>
      <c r="M25" s="286"/>
      <c r="N25" s="293"/>
      <c r="O25" s="293"/>
      <c r="P25" s="286"/>
      <c r="Q25" s="286"/>
      <c r="R25" s="286"/>
      <c r="S25" s="286"/>
      <c r="T25" s="301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9"/>
      <c r="AH25" s="286"/>
      <c r="AI25" s="286"/>
      <c r="AJ25" s="286"/>
      <c r="AV25" s="286"/>
      <c r="AX25" s="286"/>
      <c r="AZ25" s="286"/>
      <c r="BA25" s="286"/>
      <c r="BJ25" s="289"/>
      <c r="BK25" s="289"/>
      <c r="BL25" s="289"/>
      <c r="BM25" s="289"/>
      <c r="BN25" s="289"/>
      <c r="BO25" s="289"/>
      <c r="BP25" s="289"/>
      <c r="BQ25" s="289"/>
      <c r="BR25" s="289"/>
      <c r="BS25" s="289"/>
      <c r="BT25" s="289"/>
      <c r="BU25" s="289"/>
      <c r="BV25" s="289"/>
      <c r="BW25" s="289"/>
      <c r="BX25" s="289"/>
      <c r="BY25" s="289"/>
    </row>
    <row r="26" spans="1:126" s="286" customFormat="1" ht="15.75" customHeight="1" x14ac:dyDescent="0.2">
      <c r="B26" s="335" t="s">
        <v>63</v>
      </c>
      <c r="D26" s="293"/>
      <c r="F26" s="336"/>
      <c r="J26" s="337"/>
      <c r="K26" s="337"/>
      <c r="L26" s="337"/>
      <c r="M26" s="337"/>
      <c r="N26" s="293"/>
      <c r="O26" s="338"/>
      <c r="P26" s="338"/>
      <c r="Q26" s="338"/>
      <c r="R26" s="338"/>
      <c r="T26" s="422" t="s">
        <v>64</v>
      </c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22"/>
      <c r="AT26" s="422"/>
      <c r="AU26" s="422"/>
      <c r="AV26" s="422"/>
      <c r="AW26" s="422"/>
      <c r="AX26" s="422"/>
      <c r="AY26" s="422"/>
      <c r="AZ26" s="422"/>
      <c r="BA26" s="422"/>
      <c r="BB26" s="422"/>
      <c r="BC26" s="422"/>
      <c r="BD26" s="422"/>
      <c r="BE26" s="422"/>
      <c r="BF26" s="422"/>
      <c r="BG26" s="422"/>
      <c r="BH26" s="422"/>
      <c r="BI26" s="422"/>
      <c r="BJ26" s="303"/>
      <c r="BK26" s="303"/>
      <c r="BL26" s="303"/>
      <c r="BM26" s="303"/>
      <c r="BN26" s="303"/>
      <c r="BO26" s="303"/>
      <c r="BP26" s="303"/>
      <c r="BQ26" s="303"/>
      <c r="BR26" s="303"/>
      <c r="BS26" s="303"/>
      <c r="BT26" s="303"/>
      <c r="BU26" s="303"/>
      <c r="BV26" s="303"/>
      <c r="BW26" s="303"/>
      <c r="BX26" s="303"/>
      <c r="BY26" s="303"/>
    </row>
    <row r="27" spans="1:126" s="341" customFormat="1" ht="15.75" customHeight="1" x14ac:dyDescent="0.2">
      <c r="A27" s="286"/>
      <c r="B27" s="339" t="s">
        <v>65</v>
      </c>
      <c r="C27" s="340"/>
      <c r="D27" s="293"/>
      <c r="F27" s="342"/>
      <c r="G27" s="286"/>
      <c r="H27" s="286"/>
      <c r="J27" s="343"/>
      <c r="K27" s="343"/>
      <c r="L27" s="343"/>
      <c r="M27" s="343"/>
      <c r="N27" s="293"/>
      <c r="O27" s="344"/>
      <c r="P27" s="344"/>
      <c r="Q27" s="344"/>
      <c r="R27" s="344"/>
      <c r="T27" s="422" t="s">
        <v>66</v>
      </c>
      <c r="U27" s="422"/>
      <c r="V27" s="422"/>
      <c r="W27" s="422"/>
      <c r="X27" s="422"/>
      <c r="Y27" s="422"/>
      <c r="Z27" s="422"/>
      <c r="AA27" s="422"/>
      <c r="AB27" s="422"/>
      <c r="AC27" s="422"/>
      <c r="AD27" s="422"/>
      <c r="AE27" s="422"/>
      <c r="AF27" s="422"/>
      <c r="AG27" s="422"/>
      <c r="AH27" s="422"/>
      <c r="AI27" s="422"/>
      <c r="AJ27" s="422"/>
      <c r="AK27" s="422"/>
      <c r="AL27" s="422"/>
      <c r="AM27" s="422"/>
      <c r="AN27" s="422"/>
      <c r="AO27" s="422"/>
      <c r="AP27" s="422"/>
      <c r="AQ27" s="422"/>
      <c r="AR27" s="422"/>
      <c r="AS27" s="422"/>
      <c r="AT27" s="422"/>
      <c r="AU27" s="422"/>
      <c r="AV27" s="422"/>
      <c r="AW27" s="422"/>
      <c r="AX27" s="422"/>
      <c r="AY27" s="422"/>
      <c r="AZ27" s="422"/>
      <c r="BA27" s="422"/>
      <c r="BB27" s="422"/>
      <c r="BC27" s="422"/>
      <c r="BD27" s="422"/>
      <c r="BE27" s="422"/>
      <c r="BF27" s="422"/>
      <c r="BG27" s="422"/>
      <c r="BH27" s="422"/>
      <c r="BI27" s="422"/>
      <c r="BJ27" s="349"/>
      <c r="BK27" s="349"/>
      <c r="BL27" s="349"/>
      <c r="BM27" s="349"/>
      <c r="BN27" s="349"/>
      <c r="BO27" s="349"/>
      <c r="BP27" s="349"/>
      <c r="BQ27" s="349"/>
      <c r="BR27" s="349"/>
      <c r="BS27" s="349"/>
      <c r="BT27" s="349"/>
      <c r="BU27" s="349"/>
      <c r="BV27" s="349"/>
      <c r="BW27" s="349"/>
      <c r="BX27" s="349"/>
      <c r="BY27" s="349"/>
    </row>
    <row r="28" spans="1:126" s="341" customFormat="1" ht="15.75" customHeight="1" x14ac:dyDescent="0.2">
      <c r="A28" s="286"/>
      <c r="B28" s="339" t="s">
        <v>67</v>
      </c>
      <c r="C28" s="340"/>
      <c r="D28" s="293"/>
      <c r="F28" s="342"/>
      <c r="G28" s="286"/>
      <c r="H28" s="286"/>
      <c r="J28" s="286"/>
      <c r="K28" s="286"/>
      <c r="L28" s="286"/>
      <c r="M28" s="286"/>
      <c r="N28" s="293"/>
      <c r="O28" s="293"/>
      <c r="P28" s="286"/>
      <c r="Q28" s="286"/>
      <c r="R28" s="286"/>
      <c r="T28" s="422"/>
      <c r="U28" s="422"/>
      <c r="V28" s="422"/>
      <c r="W28" s="422"/>
      <c r="X28" s="422"/>
      <c r="Y28" s="422"/>
      <c r="Z28" s="422"/>
      <c r="AA28" s="422"/>
      <c r="AB28" s="422"/>
      <c r="AC28" s="422"/>
      <c r="AD28" s="422"/>
      <c r="AE28" s="422"/>
      <c r="AF28" s="422"/>
      <c r="AG28" s="422"/>
      <c r="AH28" s="422"/>
      <c r="AI28" s="422"/>
      <c r="AJ28" s="422"/>
      <c r="AK28" s="422"/>
      <c r="AL28" s="422"/>
      <c r="AM28" s="422"/>
      <c r="AN28" s="422"/>
      <c r="AO28" s="422"/>
      <c r="AP28" s="422"/>
      <c r="AQ28" s="422"/>
      <c r="AR28" s="422"/>
      <c r="AS28" s="422"/>
      <c r="AT28" s="422"/>
      <c r="AU28" s="422"/>
      <c r="AV28" s="422"/>
      <c r="AW28" s="422"/>
      <c r="AX28" s="422"/>
      <c r="AY28" s="422"/>
      <c r="AZ28" s="422"/>
      <c r="BA28" s="422"/>
      <c r="BB28" s="422"/>
      <c r="BC28" s="422"/>
      <c r="BD28" s="422"/>
      <c r="BE28" s="422"/>
      <c r="BF28" s="422"/>
      <c r="BG28" s="422"/>
      <c r="BH28" s="422"/>
      <c r="BI28" s="422"/>
      <c r="BJ28" s="349"/>
      <c r="BK28" s="349"/>
      <c r="BL28" s="349"/>
      <c r="BM28" s="349"/>
      <c r="BN28" s="349"/>
      <c r="BO28" s="349"/>
      <c r="BP28" s="349"/>
      <c r="BQ28" s="349"/>
      <c r="BR28" s="349"/>
      <c r="BS28" s="349"/>
      <c r="BT28" s="349"/>
      <c r="BU28" s="349"/>
      <c r="BV28" s="349"/>
      <c r="BW28" s="349"/>
      <c r="BX28" s="349"/>
      <c r="BY28" s="349"/>
    </row>
    <row r="29" spans="1:126" s="286" customFormat="1" ht="17.25" customHeight="1" x14ac:dyDescent="0.2">
      <c r="B29" s="339" t="s">
        <v>69</v>
      </c>
      <c r="D29" s="293"/>
      <c r="N29" s="293"/>
      <c r="O29" s="293"/>
      <c r="T29" s="423" t="s">
        <v>116</v>
      </c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3"/>
      <c r="AK29" s="423"/>
      <c r="AL29" s="423"/>
      <c r="AM29" s="423"/>
      <c r="AN29" s="423"/>
      <c r="AO29" s="423"/>
      <c r="AP29" s="423"/>
      <c r="AQ29" s="423"/>
      <c r="AR29" s="423"/>
      <c r="AS29" s="423"/>
      <c r="AT29" s="423"/>
      <c r="AU29" s="423"/>
      <c r="AV29" s="423"/>
      <c r="AW29" s="423"/>
      <c r="AX29" s="423"/>
      <c r="AY29" s="423"/>
      <c r="AZ29" s="423"/>
      <c r="BA29" s="423"/>
      <c r="BB29" s="423"/>
      <c r="BC29" s="423"/>
      <c r="BD29" s="423"/>
      <c r="BE29" s="423"/>
      <c r="BF29" s="423"/>
      <c r="BG29" s="423"/>
      <c r="BH29" s="423"/>
      <c r="BI29" s="423"/>
      <c r="BJ29" s="303"/>
      <c r="BK29" s="303"/>
      <c r="BL29" s="303"/>
      <c r="BM29" s="303"/>
      <c r="BN29" s="303"/>
      <c r="BO29" s="303"/>
      <c r="BP29" s="303"/>
      <c r="BQ29" s="303"/>
      <c r="BR29" s="303"/>
      <c r="BS29" s="303"/>
      <c r="BT29" s="303"/>
      <c r="BU29" s="303"/>
      <c r="BV29" s="303"/>
      <c r="BW29" s="303"/>
      <c r="BX29" s="303"/>
      <c r="BY29" s="303"/>
    </row>
    <row r="30" spans="1:126" s="341" customFormat="1" ht="5.25" customHeight="1" x14ac:dyDescent="0.25">
      <c r="A30" s="286"/>
      <c r="C30" s="340"/>
      <c r="D30" s="293"/>
      <c r="F30" s="342"/>
      <c r="G30" s="286"/>
      <c r="H30" s="286"/>
      <c r="J30" s="286"/>
      <c r="K30" s="286"/>
      <c r="L30" s="286"/>
      <c r="M30" s="286"/>
      <c r="N30" s="293"/>
      <c r="O30" s="293"/>
      <c r="P30" s="286"/>
      <c r="Q30" s="286"/>
      <c r="R30" s="286"/>
      <c r="T30" s="345"/>
    </row>
    <row r="31" spans="1:126" s="286" customFormat="1" ht="18.75" customHeight="1" x14ac:dyDescent="0.25">
      <c r="B31" s="301"/>
      <c r="D31" s="293"/>
      <c r="F31" s="336"/>
      <c r="N31" s="293"/>
      <c r="O31" s="293"/>
      <c r="T31" s="419" t="s">
        <v>70</v>
      </c>
      <c r="U31" s="419"/>
      <c r="V31" s="419"/>
      <c r="W31" s="419"/>
      <c r="X31" s="419"/>
      <c r="Y31" s="419"/>
      <c r="Z31" s="419"/>
      <c r="AA31" s="419"/>
      <c r="AB31" s="419"/>
      <c r="AC31" s="419"/>
      <c r="AD31" s="419"/>
      <c r="AE31" s="419"/>
      <c r="AF31" s="419"/>
      <c r="AG31" s="419"/>
      <c r="AH31" s="419"/>
      <c r="AI31" s="419"/>
      <c r="AJ31" s="419"/>
      <c r="AK31" s="419"/>
      <c r="AL31" s="419"/>
      <c r="AM31" s="419"/>
      <c r="AN31" s="419"/>
      <c r="AO31" s="419"/>
      <c r="AP31" s="419"/>
      <c r="AQ31" s="419"/>
      <c r="AR31" s="419"/>
      <c r="AS31" s="419"/>
      <c r="AT31" s="419"/>
      <c r="AU31" s="419"/>
      <c r="AV31" s="419"/>
      <c r="AW31" s="419"/>
      <c r="AX31" s="419"/>
      <c r="AY31" s="419"/>
      <c r="AZ31" s="419"/>
      <c r="BA31" s="419"/>
      <c r="BB31" s="419"/>
      <c r="BC31" s="419"/>
      <c r="BD31" s="419"/>
      <c r="BE31" s="419"/>
      <c r="BF31" s="419"/>
      <c r="BG31" s="419"/>
      <c r="BH31" s="419"/>
      <c r="BI31" s="419"/>
    </row>
  </sheetData>
  <mergeCells count="30">
    <mergeCell ref="AW16:AX16"/>
    <mergeCell ref="AY16:BA16"/>
    <mergeCell ref="T31:BI31"/>
    <mergeCell ref="T26:BI26"/>
    <mergeCell ref="T27:BI27"/>
    <mergeCell ref="T28:BI28"/>
    <mergeCell ref="T29:BI29"/>
    <mergeCell ref="N16:O16"/>
    <mergeCell ref="R16:T16"/>
    <mergeCell ref="AU16:AV16"/>
    <mergeCell ref="B1:N1"/>
    <mergeCell ref="O1:BA1"/>
    <mergeCell ref="B2:N2"/>
    <mergeCell ref="O2:BA2"/>
    <mergeCell ref="O3:BA3"/>
    <mergeCell ref="B4:BI4"/>
    <mergeCell ref="B13:B14"/>
    <mergeCell ref="D13:D14"/>
    <mergeCell ref="E13:E14"/>
    <mergeCell ref="N13:O14"/>
    <mergeCell ref="R13:T14"/>
    <mergeCell ref="U13:U14"/>
    <mergeCell ref="AU13:BA13"/>
    <mergeCell ref="BH13:BH14"/>
    <mergeCell ref="BI13:BI14"/>
    <mergeCell ref="AU14:AV14"/>
    <mergeCell ref="AW14:AX14"/>
    <mergeCell ref="AY14:BA14"/>
    <mergeCell ref="BC13:BC14"/>
    <mergeCell ref="BD13:BD14"/>
  </mergeCells>
  <conditionalFormatting sqref="BJ6:BJ9">
    <cfRule type="cellIs" dxfId="1" priority="1" stopIfTrue="1" operator="between">
      <formula>"720"</formula>
      <formula>"720"</formula>
    </cfRule>
    <cfRule type="cellIs" dxfId="0" priority="2" stopIfTrue="1" operator="between">
      <formula>"660"</formula>
      <formula>"660"</formula>
    </cfRule>
  </conditionalFormatting>
  <pageMargins left="0.45" right="0.2" top="0.25" bottom="0.2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nang luong thang 4.2015</vt:lpstr>
      <vt:lpstr>DS nang PCTN NG thang 4.2015</vt:lpstr>
      <vt:lpstr>'DS nang luong thang 4.2015'!Print_Titles</vt:lpstr>
      <vt:lpstr>'DS nang PCTN NG thang 4.2015'!Print_Titles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HVHC</dc:creator>
  <cp:lastModifiedBy>HVHC</cp:lastModifiedBy>
  <cp:lastPrinted>2015-04-23T09:24:10Z</cp:lastPrinted>
  <dcterms:created xsi:type="dcterms:W3CDTF">2015-03-03T06:48:17Z</dcterms:created>
  <dcterms:modified xsi:type="dcterms:W3CDTF">2015-04-23T09:24:27Z</dcterms:modified>
</cp:coreProperties>
</file>