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185" activeTab="1"/>
  </bookViews>
  <sheets>
    <sheet name="DS nang luong thang 11.2015" sheetId="1" r:id="rId1"/>
    <sheet name="DS nang PCTN NG thang 11.2015" sheetId="2" r:id="rId2"/>
  </sheets>
  <externalReferences>
    <externalReference r:id="rId3"/>
  </externalReferences>
  <definedNames>
    <definedName name="_xlnm.Print_Titles" localSheetId="0">'DS nang luong thang 11.2015'!$13:$15</definedName>
    <definedName name="_xlnm.Print_Titles" localSheetId="1">'DS nang PCTN NG thang 11.2015'!$13:$16</definedName>
  </definedNames>
  <calcPr calcId="144525"/>
</workbook>
</file>

<file path=xl/calcChain.xml><?xml version="1.0" encoding="utf-8"?>
<calcChain xmlns="http://schemas.openxmlformats.org/spreadsheetml/2006/main">
  <c r="DM27" i="2" l="1"/>
  <c r="DN27" i="2" s="1"/>
  <c r="CW27" i="2"/>
  <c r="CR27" i="2"/>
  <c r="CV27" i="2" s="1"/>
  <c r="CQ27" i="2"/>
  <c r="CP27" i="2"/>
  <c r="CN27" i="2"/>
  <c r="CH27" i="2"/>
  <c r="CL27" i="2" s="1"/>
  <c r="CG27" i="2"/>
  <c r="CK27" i="2" s="1"/>
  <c r="CF27" i="2"/>
  <c r="DV27" i="2" s="1"/>
  <c r="BZ27" i="2"/>
  <c r="BU27" i="2"/>
  <c r="BO27" i="2"/>
  <c r="BL27" i="2"/>
  <c r="BH27" i="2"/>
  <c r="BG27" i="2"/>
  <c r="BF27" i="2"/>
  <c r="AW27" i="2"/>
  <c r="AT27" i="2"/>
  <c r="AR27" i="2"/>
  <c r="DU27" i="2" s="1"/>
  <c r="AQ27" i="2"/>
  <c r="AN27" i="2"/>
  <c r="AB27" i="2"/>
  <c r="AA27" i="2"/>
  <c r="V27" i="2"/>
  <c r="S27" i="2"/>
  <c r="Q27" i="2"/>
  <c r="P27" i="2"/>
  <c r="M27" i="2"/>
  <c r="C27" i="2"/>
  <c r="DM26" i="2"/>
  <c r="DN26" i="2" s="1"/>
  <c r="CW26" i="2"/>
  <c r="CR26" i="2"/>
  <c r="CV26" i="2" s="1"/>
  <c r="CQ26" i="2"/>
  <c r="CP26" i="2"/>
  <c r="CH26" i="2" s="1"/>
  <c r="CN26" i="2"/>
  <c r="CG26" i="2"/>
  <c r="CK26" i="2" s="1"/>
  <c r="BZ26" i="2"/>
  <c r="BU26" i="2"/>
  <c r="BO26" i="2"/>
  <c r="BL26" i="2"/>
  <c r="BH26" i="2"/>
  <c r="BF26" i="2"/>
  <c r="AW26" i="2"/>
  <c r="AT26" i="2"/>
  <c r="AR26" i="2"/>
  <c r="AQ26" i="2"/>
  <c r="AA26" i="2" s="1"/>
  <c r="AN26" i="2"/>
  <c r="AB26" i="2"/>
  <c r="DU26" i="2" s="1"/>
  <c r="Z26" i="2"/>
  <c r="AM26" i="2" s="1"/>
  <c r="V26" i="2"/>
  <c r="S26" i="2"/>
  <c r="T26" i="2" s="1"/>
  <c r="BT26" i="2" s="1"/>
  <c r="Q26" i="2"/>
  <c r="P26" i="2"/>
  <c r="M26" i="2"/>
  <c r="C26" i="2"/>
  <c r="DM25" i="2"/>
  <c r="DN25" i="2" s="1"/>
  <c r="CW25" i="2"/>
  <c r="CS25" i="2"/>
  <c r="CR25" i="2"/>
  <c r="CV25" i="2" s="1"/>
  <c r="CQ25" i="2"/>
  <c r="CF25" i="2" s="1"/>
  <c r="CP25" i="2"/>
  <c r="CN25" i="2"/>
  <c r="CH25" i="2"/>
  <c r="CG25" i="2"/>
  <c r="CK25" i="2" s="1"/>
  <c r="BZ25" i="2"/>
  <c r="BU25" i="2"/>
  <c r="BO25" i="2"/>
  <c r="BL25" i="2"/>
  <c r="BH25" i="2"/>
  <c r="BF25" i="2"/>
  <c r="AW25" i="2"/>
  <c r="AT25" i="2"/>
  <c r="AR25" i="2"/>
  <c r="AQ25" i="2"/>
  <c r="AA25" i="2" s="1"/>
  <c r="AN25" i="2"/>
  <c r="AB25" i="2"/>
  <c r="V25" i="2"/>
  <c r="S25" i="2"/>
  <c r="Q25" i="2"/>
  <c r="P25" i="2"/>
  <c r="M25" i="2"/>
  <c r="K25" i="2" s="1"/>
  <c r="C25" i="2"/>
  <c r="DM24" i="2"/>
  <c r="DN24" i="2" s="1"/>
  <c r="CW24" i="2"/>
  <c r="CS24" i="2"/>
  <c r="CR24" i="2"/>
  <c r="CV24" i="2" s="1"/>
  <c r="CQ24" i="2"/>
  <c r="CF24" i="2" s="1"/>
  <c r="CP24" i="2"/>
  <c r="CN24" i="2"/>
  <c r="CH24" i="2"/>
  <c r="CG24" i="2"/>
  <c r="CK24" i="2" s="1"/>
  <c r="BZ24" i="2"/>
  <c r="BU24" i="2"/>
  <c r="BO24" i="2"/>
  <c r="BL24" i="2"/>
  <c r="BH24" i="2"/>
  <c r="BF24" i="2"/>
  <c r="AW24" i="2"/>
  <c r="AT24" i="2"/>
  <c r="AR24" i="2"/>
  <c r="AQ24" i="2"/>
  <c r="AA24" i="2" s="1"/>
  <c r="AN24" i="2"/>
  <c r="AB24" i="2"/>
  <c r="V24" i="2"/>
  <c r="S24" i="2"/>
  <c r="Q24" i="2"/>
  <c r="P24" i="2"/>
  <c r="M24" i="2"/>
  <c r="K24" i="2" s="1"/>
  <c r="C24" i="2"/>
  <c r="DM23" i="2"/>
  <c r="DN23" i="2" s="1"/>
  <c r="CW23" i="2"/>
  <c r="CS23" i="2"/>
  <c r="CR23" i="2"/>
  <c r="CV23" i="2" s="1"/>
  <c r="CQ23" i="2"/>
  <c r="CF23" i="2" s="1"/>
  <c r="CP23" i="2"/>
  <c r="CN23" i="2"/>
  <c r="CH23" i="2"/>
  <c r="CG23" i="2"/>
  <c r="CK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V23" i="2"/>
  <c r="S23" i="2"/>
  <c r="Q23" i="2"/>
  <c r="P23" i="2"/>
  <c r="M23" i="2"/>
  <c r="C23" i="2"/>
  <c r="DM22" i="2"/>
  <c r="DN22" i="2" s="1"/>
  <c r="CW22" i="2"/>
  <c r="CR22" i="2"/>
  <c r="CV22" i="2" s="1"/>
  <c r="CQ22" i="2"/>
  <c r="CP22" i="2"/>
  <c r="CH22" i="2" s="1"/>
  <c r="CN22" i="2"/>
  <c r="CG22" i="2"/>
  <c r="CK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Z22" i="2"/>
  <c r="AM22" i="2" s="1"/>
  <c r="V22" i="2"/>
  <c r="S22" i="2"/>
  <c r="T22" i="2" s="1"/>
  <c r="BT22" i="2" s="1"/>
  <c r="Q22" i="2"/>
  <c r="P22" i="2"/>
  <c r="M22" i="2"/>
  <c r="C22" i="2"/>
  <c r="DM21" i="2"/>
  <c r="DN21" i="2" s="1"/>
  <c r="CW21" i="2"/>
  <c r="CS21" i="2"/>
  <c r="CR21" i="2"/>
  <c r="CV21" i="2" s="1"/>
  <c r="CQ21" i="2"/>
  <c r="CF21" i="2" s="1"/>
  <c r="CP21" i="2"/>
  <c r="CN21" i="2"/>
  <c r="CH21" i="2"/>
  <c r="CG21" i="2"/>
  <c r="CK21" i="2" s="1"/>
  <c r="BZ21" i="2"/>
  <c r="BU21" i="2"/>
  <c r="BO21" i="2"/>
  <c r="BL21" i="2"/>
  <c r="BH21" i="2"/>
  <c r="BF21" i="2"/>
  <c r="AW21" i="2"/>
  <c r="AT21" i="2"/>
  <c r="AR21" i="2"/>
  <c r="AQ21" i="2"/>
  <c r="AA21" i="2" s="1"/>
  <c r="AN21" i="2"/>
  <c r="AB21" i="2"/>
  <c r="Z21" i="2"/>
  <c r="V21" i="2"/>
  <c r="S21" i="2"/>
  <c r="T21" i="2" s="1"/>
  <c r="BT21" i="2" s="1"/>
  <c r="Q21" i="2"/>
  <c r="P21" i="2"/>
  <c r="M21" i="2"/>
  <c r="K21" i="2"/>
  <c r="C21" i="2"/>
  <c r="DN20" i="2"/>
  <c r="DM20" i="2"/>
  <c r="CW20" i="2"/>
  <c r="CR20" i="2"/>
  <c r="CV20" i="2" s="1"/>
  <c r="CQ20" i="2"/>
  <c r="CP20" i="2"/>
  <c r="CN20" i="2"/>
  <c r="CH20" i="2"/>
  <c r="CL20" i="2" s="1"/>
  <c r="CG20" i="2"/>
  <c r="CK20" i="2" s="1"/>
  <c r="CF20" i="2"/>
  <c r="DV20" i="2" s="1"/>
  <c r="BZ20" i="2"/>
  <c r="BU20" i="2"/>
  <c r="BO20" i="2"/>
  <c r="BL20" i="2"/>
  <c r="BH20" i="2"/>
  <c r="BG20" i="2"/>
  <c r="BF20" i="2"/>
  <c r="AW20" i="2"/>
  <c r="AT20" i="2"/>
  <c r="AR20" i="2"/>
  <c r="DU20" i="2" s="1"/>
  <c r="AQ20" i="2"/>
  <c r="AN20" i="2"/>
  <c r="V20" i="2"/>
  <c r="S20" i="2"/>
  <c r="Q20" i="2"/>
  <c r="P20" i="2"/>
  <c r="M20" i="2"/>
  <c r="C20" i="2"/>
  <c r="DM19" i="2"/>
  <c r="DN19" i="2" s="1"/>
  <c r="CW19" i="2"/>
  <c r="CR19" i="2"/>
  <c r="CS19" i="2" s="1"/>
  <c r="CQ19" i="2"/>
  <c r="CP19" i="2"/>
  <c r="CN19" i="2"/>
  <c r="CH19" i="2"/>
  <c r="CG19" i="2"/>
  <c r="CF19" i="2"/>
  <c r="DV19" i="2" s="1"/>
  <c r="BZ19" i="2"/>
  <c r="BU19" i="2"/>
  <c r="BO19" i="2"/>
  <c r="BL19" i="2"/>
  <c r="BH19" i="2"/>
  <c r="BG19" i="2"/>
  <c r="BF19" i="2"/>
  <c r="AW19" i="2"/>
  <c r="AT19" i="2"/>
  <c r="AR19" i="2"/>
  <c r="DU19" i="2" s="1"/>
  <c r="AQ19" i="2"/>
  <c r="AN19" i="2"/>
  <c r="AB19" i="2"/>
  <c r="AA19" i="2"/>
  <c r="V19" i="2"/>
  <c r="S19" i="2"/>
  <c r="T19" i="2" s="1"/>
  <c r="BT19" i="2" s="1"/>
  <c r="Q19" i="2"/>
  <c r="P19" i="2"/>
  <c r="M19" i="2"/>
  <c r="C19" i="2"/>
  <c r="DM18" i="2"/>
  <c r="DN18" i="2" s="1"/>
  <c r="CW18" i="2"/>
  <c r="CR18" i="2"/>
  <c r="CV18" i="2" s="1"/>
  <c r="CQ18" i="2"/>
  <c r="CP18" i="2"/>
  <c r="CH18" i="2" s="1"/>
  <c r="CN18" i="2"/>
  <c r="CG18" i="2"/>
  <c r="CK18" i="2" s="1"/>
  <c r="BZ18" i="2"/>
  <c r="BU18" i="2"/>
  <c r="BO18" i="2"/>
  <c r="BL18" i="2"/>
  <c r="BH18" i="2"/>
  <c r="BF18" i="2"/>
  <c r="AW18" i="2"/>
  <c r="AT18" i="2"/>
  <c r="AR18" i="2"/>
  <c r="DU18" i="2" s="1"/>
  <c r="AQ18" i="2"/>
  <c r="AN18" i="2"/>
  <c r="AB18" i="2"/>
  <c r="Z18" i="2"/>
  <c r="AM18" i="2" s="1"/>
  <c r="V18" i="2"/>
  <c r="S18" i="2"/>
  <c r="T18" i="2" s="1"/>
  <c r="BT18" i="2" s="1"/>
  <c r="Q18" i="2"/>
  <c r="P18" i="2"/>
  <c r="M18" i="2"/>
  <c r="K18" i="2" s="1"/>
  <c r="C18" i="2"/>
  <c r="DM17" i="2"/>
  <c r="DN17" i="2" s="1"/>
  <c r="CW17" i="2"/>
  <c r="CR17" i="2"/>
  <c r="CV17" i="2" s="1"/>
  <c r="CQ17" i="2"/>
  <c r="CP17" i="2"/>
  <c r="CH17" i="2" s="1"/>
  <c r="CN17" i="2"/>
  <c r="CG17" i="2"/>
  <c r="CK17" i="2" s="1"/>
  <c r="BZ17" i="2"/>
  <c r="BU17" i="2"/>
  <c r="BO17" i="2"/>
  <c r="BL17" i="2"/>
  <c r="BH17" i="2"/>
  <c r="BF17" i="2"/>
  <c r="AW17" i="2"/>
  <c r="AT17" i="2"/>
  <c r="AR17" i="2"/>
  <c r="DU17" i="2" s="1"/>
  <c r="AQ17" i="2"/>
  <c r="AN17" i="2"/>
  <c r="AB17" i="2"/>
  <c r="V17" i="2"/>
  <c r="S17" i="2"/>
  <c r="T17" i="2" s="1"/>
  <c r="BT17" i="2" s="1"/>
  <c r="Q17" i="2"/>
  <c r="P17" i="2"/>
  <c r="M17" i="2"/>
  <c r="C17" i="2"/>
  <c r="DN29" i="1"/>
  <c r="DM29" i="1"/>
  <c r="CW29" i="1"/>
  <c r="CR29" i="1"/>
  <c r="CV29" i="1" s="1"/>
  <c r="CQ29" i="1"/>
  <c r="CP29" i="1"/>
  <c r="CN29" i="1"/>
  <c r="CH29" i="1"/>
  <c r="CL29" i="1" s="1"/>
  <c r="CG29" i="1"/>
  <c r="CK29" i="1" s="1"/>
  <c r="CF29" i="1"/>
  <c r="DV29" i="1" s="1"/>
  <c r="BZ29" i="1"/>
  <c r="BU29" i="1"/>
  <c r="BO29" i="1"/>
  <c r="BL29" i="1"/>
  <c r="BH29" i="1"/>
  <c r="BG29" i="1"/>
  <c r="BF29" i="1"/>
  <c r="AW29" i="1"/>
  <c r="AT29" i="1"/>
  <c r="AR29" i="1"/>
  <c r="DU29" i="1" s="1"/>
  <c r="AQ29" i="1"/>
  <c r="AN29" i="1"/>
  <c r="AB29" i="1"/>
  <c r="AA29" i="1"/>
  <c r="V29" i="1"/>
  <c r="S29" i="1"/>
  <c r="T29" i="1" s="1"/>
  <c r="BT29" i="1" s="1"/>
  <c r="Q29" i="1"/>
  <c r="P29" i="1"/>
  <c r="M29" i="1"/>
  <c r="C29" i="1"/>
  <c r="DM28" i="1"/>
  <c r="DN28" i="1" s="1"/>
  <c r="CW28" i="1"/>
  <c r="CR28" i="1"/>
  <c r="CV28" i="1" s="1"/>
  <c r="CQ28" i="1"/>
  <c r="CP28" i="1"/>
  <c r="CH28" i="1" s="1"/>
  <c r="CN28" i="1"/>
  <c r="CG28" i="1"/>
  <c r="CK28" i="1" s="1"/>
  <c r="BZ28" i="1"/>
  <c r="BU28" i="1"/>
  <c r="BO28" i="1"/>
  <c r="BL28" i="1"/>
  <c r="BH28" i="1"/>
  <c r="BF28" i="1"/>
  <c r="AW28" i="1"/>
  <c r="AT28" i="1"/>
  <c r="AR28" i="1"/>
  <c r="AQ28" i="1"/>
  <c r="AA28" i="1" s="1"/>
  <c r="AN28" i="1"/>
  <c r="AB28" i="1"/>
  <c r="DU28" i="1" s="1"/>
  <c r="Z28" i="1"/>
  <c r="AM28" i="1" s="1"/>
  <c r="V28" i="1"/>
  <c r="S28" i="1"/>
  <c r="T28" i="1" s="1"/>
  <c r="BT28" i="1" s="1"/>
  <c r="Q28" i="1"/>
  <c r="P28" i="1"/>
  <c r="M28" i="1"/>
  <c r="K28" i="1" s="1"/>
  <c r="C28" i="1"/>
  <c r="DM27" i="1"/>
  <c r="DN27" i="1" s="1"/>
  <c r="CW27" i="1"/>
  <c r="CR27" i="1"/>
  <c r="CV27" i="1" s="1"/>
  <c r="CQ27" i="1"/>
  <c r="CP27" i="1"/>
  <c r="CH27" i="1" s="1"/>
  <c r="CN27" i="1"/>
  <c r="CG27" i="1"/>
  <c r="CK27" i="1" s="1"/>
  <c r="BZ27" i="1"/>
  <c r="BU27" i="1"/>
  <c r="BO27" i="1"/>
  <c r="BL27" i="1"/>
  <c r="BH27" i="1"/>
  <c r="BF27" i="1"/>
  <c r="AW27" i="1"/>
  <c r="AT27" i="1"/>
  <c r="AR27" i="1"/>
  <c r="AQ27" i="1"/>
  <c r="AA27" i="1" s="1"/>
  <c r="AN27" i="1"/>
  <c r="AB27" i="1"/>
  <c r="Z27" i="1"/>
  <c r="AM27" i="1" s="1"/>
  <c r="V27" i="1"/>
  <c r="S27" i="1"/>
  <c r="T27" i="1" s="1"/>
  <c r="BT27" i="1" s="1"/>
  <c r="Q27" i="1"/>
  <c r="P27" i="1"/>
  <c r="M27" i="1"/>
  <c r="C27" i="1"/>
  <c r="DM26" i="1"/>
  <c r="DN26" i="1" s="1"/>
  <c r="CW26" i="1"/>
  <c r="CS26" i="1"/>
  <c r="CR26" i="1"/>
  <c r="CV26" i="1" s="1"/>
  <c r="CQ26" i="1"/>
  <c r="CF26" i="1" s="1"/>
  <c r="CP26" i="1"/>
  <c r="CN26" i="1"/>
  <c r="CH26" i="1"/>
  <c r="CG26" i="1"/>
  <c r="CK26" i="1" s="1"/>
  <c r="BZ26" i="1"/>
  <c r="BU26" i="1"/>
  <c r="BO26" i="1"/>
  <c r="BL26" i="1"/>
  <c r="BH26" i="1"/>
  <c r="BF26" i="1"/>
  <c r="AW26" i="1"/>
  <c r="AT26" i="1"/>
  <c r="AR26" i="1"/>
  <c r="AQ26" i="1"/>
  <c r="AA26" i="1" s="1"/>
  <c r="AN26" i="1"/>
  <c r="AB26" i="1"/>
  <c r="V26" i="1"/>
  <c r="S26" i="1"/>
  <c r="Q26" i="1"/>
  <c r="P26" i="1"/>
  <c r="M26" i="1"/>
  <c r="C26" i="1"/>
  <c r="DM25" i="1"/>
  <c r="DN25" i="1" s="1"/>
  <c r="CW25" i="1"/>
  <c r="CR25" i="1"/>
  <c r="CV25" i="1" s="1"/>
  <c r="CQ25" i="1"/>
  <c r="CP25" i="1"/>
  <c r="CH25" i="1" s="1"/>
  <c r="CN25" i="1"/>
  <c r="CG25" i="1"/>
  <c r="CK25" i="1" s="1"/>
  <c r="BZ25" i="1"/>
  <c r="BU25" i="1"/>
  <c r="BO25" i="1"/>
  <c r="BL25" i="1"/>
  <c r="BH25" i="1"/>
  <c r="BF25" i="1"/>
  <c r="AW25" i="1"/>
  <c r="AT25" i="1"/>
  <c r="AR25" i="1"/>
  <c r="AQ25" i="1"/>
  <c r="AA25" i="1" s="1"/>
  <c r="AN25" i="1"/>
  <c r="AB25" i="1"/>
  <c r="DU25" i="1" s="1"/>
  <c r="Z25" i="1"/>
  <c r="AM25" i="1" s="1"/>
  <c r="V25" i="1"/>
  <c r="S25" i="1"/>
  <c r="T25" i="1" s="1"/>
  <c r="BT25" i="1" s="1"/>
  <c r="Q25" i="1"/>
  <c r="P25" i="1"/>
  <c r="M25" i="1"/>
  <c r="C25" i="1"/>
  <c r="DM24" i="1"/>
  <c r="DN24" i="1" s="1"/>
  <c r="CW24" i="1"/>
  <c r="CS24" i="1"/>
  <c r="CR24" i="1"/>
  <c r="CV24" i="1" s="1"/>
  <c r="CQ24" i="1"/>
  <c r="CF24" i="1" s="1"/>
  <c r="CP24" i="1"/>
  <c r="CN24" i="1"/>
  <c r="CH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A24" i="1" s="1"/>
  <c r="AN24" i="1"/>
  <c r="AB24" i="1"/>
  <c r="V24" i="1"/>
  <c r="S24" i="1"/>
  <c r="Q24" i="1"/>
  <c r="P24" i="1"/>
  <c r="M24" i="1"/>
  <c r="C24" i="1"/>
  <c r="DM23" i="1"/>
  <c r="DN23" i="1" s="1"/>
  <c r="CW23" i="1"/>
  <c r="CV23" i="1"/>
  <c r="CR23" i="1"/>
  <c r="CS23" i="1" s="1"/>
  <c r="CQ23" i="1"/>
  <c r="CP23" i="1"/>
  <c r="CH23" i="1" s="1"/>
  <c r="CN23" i="1"/>
  <c r="CG23" i="1"/>
  <c r="CL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Z23" i="1"/>
  <c r="V23" i="1"/>
  <c r="S23" i="1"/>
  <c r="T23" i="1" s="1"/>
  <c r="BT23" i="1" s="1"/>
  <c r="Q23" i="1"/>
  <c r="P23" i="1"/>
  <c r="M23" i="1"/>
  <c r="C23" i="1"/>
  <c r="DM22" i="1"/>
  <c r="DN22" i="1" s="1"/>
  <c r="CW22" i="1"/>
  <c r="CR22" i="1"/>
  <c r="CV22" i="1" s="1"/>
  <c r="CQ22" i="1"/>
  <c r="CP22" i="1"/>
  <c r="CH22" i="1" s="1"/>
  <c r="CN22" i="1"/>
  <c r="CG22" i="1"/>
  <c r="CK22" i="1" s="1"/>
  <c r="BZ22" i="1"/>
  <c r="BU22" i="1"/>
  <c r="BO22" i="1"/>
  <c r="BL22" i="1"/>
  <c r="BH22" i="1"/>
  <c r="BF22" i="1"/>
  <c r="AW22" i="1"/>
  <c r="AT22" i="1"/>
  <c r="AR22" i="1"/>
  <c r="DU22" i="1" s="1"/>
  <c r="AQ22" i="1"/>
  <c r="AN22" i="1"/>
  <c r="AB22" i="1"/>
  <c r="Z22" i="1"/>
  <c r="AM22" i="1" s="1"/>
  <c r="V22" i="1"/>
  <c r="S22" i="1"/>
  <c r="T22" i="1" s="1"/>
  <c r="BT22" i="1" s="1"/>
  <c r="Q22" i="1"/>
  <c r="P22" i="1"/>
  <c r="M22" i="1"/>
  <c r="C22" i="1"/>
  <c r="DM21" i="1"/>
  <c r="DN21" i="1" s="1"/>
  <c r="CW21" i="1"/>
  <c r="CR21" i="1"/>
  <c r="CS21" i="1" s="1"/>
  <c r="CQ21" i="1"/>
  <c r="CP21" i="1"/>
  <c r="CH21" i="1" s="1"/>
  <c r="CN21" i="1"/>
  <c r="CG21" i="1"/>
  <c r="CL21" i="1" s="1"/>
  <c r="CF21" i="1"/>
  <c r="DV21" i="1" s="1"/>
  <c r="BZ21" i="1"/>
  <c r="BU21" i="1"/>
  <c r="BO21" i="1"/>
  <c r="BL21" i="1"/>
  <c r="BH21" i="1"/>
  <c r="BG21" i="1"/>
  <c r="BF21" i="1"/>
  <c r="AW21" i="1"/>
  <c r="AT21" i="1"/>
  <c r="AR21" i="1"/>
  <c r="AA21" i="1" s="1"/>
  <c r="AQ21" i="1"/>
  <c r="AN21" i="1"/>
  <c r="AB21" i="1"/>
  <c r="Z21" i="1"/>
  <c r="AC21" i="1" s="1"/>
  <c r="V21" i="1"/>
  <c r="S21" i="1"/>
  <c r="Q21" i="1"/>
  <c r="P21" i="1"/>
  <c r="M21" i="1"/>
  <c r="C21" i="1"/>
  <c r="DM20" i="1"/>
  <c r="DN20" i="1" s="1"/>
  <c r="CW20" i="1"/>
  <c r="CR20" i="1"/>
  <c r="CV20" i="1" s="1"/>
  <c r="CQ20" i="1"/>
  <c r="CP20" i="1"/>
  <c r="CH20" i="1" s="1"/>
  <c r="CN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A20" i="1" s="1"/>
  <c r="AN20" i="1"/>
  <c r="AB20" i="1"/>
  <c r="Z20" i="1"/>
  <c r="AM20" i="1" s="1"/>
  <c r="V20" i="1"/>
  <c r="S20" i="1"/>
  <c r="Q20" i="1"/>
  <c r="P20" i="1"/>
  <c r="M20" i="1"/>
  <c r="C20" i="1"/>
  <c r="DM19" i="1"/>
  <c r="DN19" i="1" s="1"/>
  <c r="CW19" i="1"/>
  <c r="CR19" i="1"/>
  <c r="CS19" i="1" s="1"/>
  <c r="CQ19" i="1"/>
  <c r="CP19" i="1"/>
  <c r="CH19" i="1" s="1"/>
  <c r="CN19" i="1"/>
  <c r="CG19" i="1"/>
  <c r="BZ19" i="1"/>
  <c r="BU19" i="1"/>
  <c r="BO19" i="1"/>
  <c r="BL19" i="1"/>
  <c r="BH19" i="1"/>
  <c r="BF19" i="1"/>
  <c r="AW19" i="1"/>
  <c r="AT19" i="1"/>
  <c r="AR19" i="1"/>
  <c r="AQ19" i="1"/>
  <c r="AA19" i="1" s="1"/>
  <c r="AN19" i="1"/>
  <c r="AB19" i="1"/>
  <c r="Z19" i="1"/>
  <c r="V19" i="1"/>
  <c r="S19" i="1"/>
  <c r="Q19" i="1"/>
  <c r="P19" i="1"/>
  <c r="M19" i="1"/>
  <c r="C19" i="1"/>
  <c r="DM18" i="1"/>
  <c r="DN18" i="1" s="1"/>
  <c r="CW18" i="1"/>
  <c r="CR18" i="1"/>
  <c r="CV18" i="1" s="1"/>
  <c r="CQ18" i="1"/>
  <c r="CP18" i="1"/>
  <c r="CH18" i="1" s="1"/>
  <c r="CN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Z18" i="1"/>
  <c r="AM18" i="1" s="1"/>
  <c r="V18" i="1"/>
  <c r="S18" i="1"/>
  <c r="T18" i="1" s="1"/>
  <c r="BT18" i="1" s="1"/>
  <c r="Q18" i="1"/>
  <c r="P18" i="1"/>
  <c r="M18" i="1"/>
  <c r="C18" i="1"/>
  <c r="DM17" i="1"/>
  <c r="DN17" i="1" s="1"/>
  <c r="CW17" i="1"/>
  <c r="CS17" i="1"/>
  <c r="CR17" i="1"/>
  <c r="CV17" i="1" s="1"/>
  <c r="CQ17" i="1"/>
  <c r="CF17" i="1" s="1"/>
  <c r="CP17" i="1"/>
  <c r="CN17" i="1"/>
  <c r="CH17" i="1"/>
  <c r="CG17" i="1"/>
  <c r="CK17" i="1" s="1"/>
  <c r="BZ17" i="1"/>
  <c r="BU17" i="1"/>
  <c r="BO17" i="1"/>
  <c r="BL17" i="1"/>
  <c r="BH17" i="1"/>
  <c r="BF17" i="1"/>
  <c r="AW17" i="1"/>
  <c r="AT17" i="1"/>
  <c r="AR17" i="1"/>
  <c r="AQ17" i="1"/>
  <c r="AA17" i="1" s="1"/>
  <c r="AN17" i="1"/>
  <c r="AB17" i="1"/>
  <c r="V17" i="1"/>
  <c r="S17" i="1"/>
  <c r="Q17" i="1"/>
  <c r="P17" i="1"/>
  <c r="M17" i="1"/>
  <c r="C17" i="1"/>
  <c r="DM16" i="1"/>
  <c r="DN16" i="1" s="1"/>
  <c r="CW16" i="1"/>
  <c r="CR16" i="1"/>
  <c r="CV16" i="1" s="1"/>
  <c r="CQ16" i="1"/>
  <c r="CP16" i="1"/>
  <c r="CH16" i="1" s="1"/>
  <c r="CN16" i="1"/>
  <c r="CG16" i="1"/>
  <c r="CK16" i="1" s="1"/>
  <c r="BZ16" i="1"/>
  <c r="BU16" i="1"/>
  <c r="BO16" i="1"/>
  <c r="BL16" i="1"/>
  <c r="BH16" i="1"/>
  <c r="BF16" i="1"/>
  <c r="AT16" i="1" s="1"/>
  <c r="AW16" i="1"/>
  <c r="AR16" i="1"/>
  <c r="AQ16" i="1"/>
  <c r="AA16" i="1" s="1"/>
  <c r="AN16" i="1"/>
  <c r="AB16" i="1"/>
  <c r="Z16" i="1"/>
  <c r="V16" i="1"/>
  <c r="S16" i="1"/>
  <c r="T16" i="1" s="1"/>
  <c r="BT16" i="1" s="1"/>
  <c r="Q16" i="1"/>
  <c r="P16" i="1"/>
  <c r="M16" i="1"/>
  <c r="C16" i="1"/>
  <c r="DV23" i="2" l="1"/>
  <c r="BG23" i="2"/>
  <c r="DV25" i="2"/>
  <c r="BG25" i="2"/>
  <c r="DV24" i="2"/>
  <c r="BG24" i="2"/>
  <c r="Z17" i="2"/>
  <c r="AM17" i="2" s="1"/>
  <c r="BN17" i="2" s="1"/>
  <c r="BM17" i="2" s="1"/>
  <c r="CS27" i="2"/>
  <c r="AA17" i="2"/>
  <c r="AA18" i="2"/>
  <c r="Z19" i="2"/>
  <c r="CL19" i="2"/>
  <c r="T20" i="2"/>
  <c r="BT20" i="2" s="1"/>
  <c r="Z20" i="2"/>
  <c r="AE20" i="2" s="1"/>
  <c r="CS20" i="2"/>
  <c r="CL21" i="2"/>
  <c r="T23" i="2"/>
  <c r="BT23" i="2" s="1"/>
  <c r="DU23" i="2"/>
  <c r="CL23" i="2"/>
  <c r="T24" i="2"/>
  <c r="BT24" i="2" s="1"/>
  <c r="DU24" i="2"/>
  <c r="CL24" i="2"/>
  <c r="T25" i="2"/>
  <c r="BT25" i="2" s="1"/>
  <c r="DU25" i="2"/>
  <c r="CL25" i="2"/>
  <c r="T27" i="2"/>
  <c r="BT27" i="2" s="1"/>
  <c r="W17" i="2"/>
  <c r="W18" i="2"/>
  <c r="BN18" i="2"/>
  <c r="BG21" i="2"/>
  <c r="DV21" i="2"/>
  <c r="BM18" i="2"/>
  <c r="BN22" i="2"/>
  <c r="W22" i="2"/>
  <c r="Y17" i="2"/>
  <c r="AE17" i="2"/>
  <c r="CF17" i="2"/>
  <c r="CL17" i="2"/>
  <c r="CS17" i="2"/>
  <c r="Y18" i="2"/>
  <c r="AC18" i="2"/>
  <c r="AE18" i="2"/>
  <c r="CF18" i="2"/>
  <c r="CL18" i="2"/>
  <c r="CS18" i="2"/>
  <c r="AD19" i="2"/>
  <c r="AM19" i="2"/>
  <c r="CI19" i="2"/>
  <c r="CJ19" i="2" s="1"/>
  <c r="CK19" i="2"/>
  <c r="CM19" i="2"/>
  <c r="CE19" i="2" s="1"/>
  <c r="CV19" i="2"/>
  <c r="Y20" i="2"/>
  <c r="AA20" i="2"/>
  <c r="AD20" i="2"/>
  <c r="AM20" i="2"/>
  <c r="CI20" i="2"/>
  <c r="CJ20" i="2" s="1"/>
  <c r="CM20" i="2"/>
  <c r="CE20" i="2" s="1"/>
  <c r="AM21" i="2"/>
  <c r="AD21" i="2"/>
  <c r="AE21" i="2"/>
  <c r="DU22" i="2"/>
  <c r="BM22" i="2"/>
  <c r="AD17" i="2"/>
  <c r="CI17" i="2"/>
  <c r="CJ17" i="2" s="1"/>
  <c r="AD18" i="2"/>
  <c r="CI18" i="2"/>
  <c r="CJ18" i="2" s="1"/>
  <c r="AC19" i="2"/>
  <c r="AC20" i="2"/>
  <c r="Y21" i="2"/>
  <c r="AC21" i="2"/>
  <c r="DU21" i="2"/>
  <c r="AE22" i="2"/>
  <c r="AC22" i="2"/>
  <c r="Y22" i="2"/>
  <c r="AD22" i="2"/>
  <c r="W26" i="2"/>
  <c r="BN26" i="2"/>
  <c r="CI21" i="2"/>
  <c r="CJ21" i="2" s="1"/>
  <c r="CF22" i="2"/>
  <c r="CL22" i="2"/>
  <c r="CS22" i="2"/>
  <c r="Z23" i="2"/>
  <c r="CI23" i="2"/>
  <c r="CJ23" i="2" s="1"/>
  <c r="Z24" i="2"/>
  <c r="CI24" i="2"/>
  <c r="CJ24" i="2" s="1"/>
  <c r="Z25" i="2"/>
  <c r="CI25" i="2"/>
  <c r="CJ25" i="2" s="1"/>
  <c r="Y26" i="2"/>
  <c r="AC26" i="2"/>
  <c r="AE26" i="2"/>
  <c r="CF26" i="2"/>
  <c r="CL26" i="2"/>
  <c r="CS26" i="2"/>
  <c r="Z27" i="2"/>
  <c r="CI27" i="2"/>
  <c r="CJ27" i="2" s="1"/>
  <c r="CI22" i="2"/>
  <c r="CJ22" i="2" s="1"/>
  <c r="AD26" i="2"/>
  <c r="BM26" i="2"/>
  <c r="CI26" i="2"/>
  <c r="CJ26" i="2" s="1"/>
  <c r="DV17" i="1"/>
  <c r="BG17" i="1"/>
  <c r="DV24" i="1"/>
  <c r="BG24" i="1"/>
  <c r="DV26" i="1"/>
  <c r="BG26" i="1"/>
  <c r="T17" i="1"/>
  <c r="BT17" i="1" s="1"/>
  <c r="DU17" i="1"/>
  <c r="CL17" i="1"/>
  <c r="DU18" i="1"/>
  <c r="T19" i="1"/>
  <c r="BT19" i="1" s="1"/>
  <c r="DU19" i="1"/>
  <c r="T20" i="1"/>
  <c r="BT20" i="1" s="1"/>
  <c r="DU20" i="1"/>
  <c r="T21" i="1"/>
  <c r="BT21" i="1" s="1"/>
  <c r="Y21" i="1"/>
  <c r="AA22" i="1"/>
  <c r="AA23" i="1"/>
  <c r="T24" i="1"/>
  <c r="BT24" i="1" s="1"/>
  <c r="DU24" i="1"/>
  <c r="CL24" i="1"/>
  <c r="T26" i="1"/>
  <c r="BT26" i="1" s="1"/>
  <c r="DU26" i="1"/>
  <c r="CL26" i="1"/>
  <c r="DU27" i="1"/>
  <c r="CS29" i="1"/>
  <c r="AE21" i="1"/>
  <c r="DU21" i="1"/>
  <c r="AE23" i="1"/>
  <c r="CL19" i="1"/>
  <c r="AM16" i="1"/>
  <c r="AD16" i="1"/>
  <c r="AE16" i="1"/>
  <c r="AC16" i="1"/>
  <c r="Y16" i="1"/>
  <c r="DU16" i="1"/>
  <c r="W18" i="1"/>
  <c r="BN18" i="1"/>
  <c r="BM18" i="1" s="1"/>
  <c r="AE19" i="1"/>
  <c r="W20" i="1"/>
  <c r="BN20" i="1"/>
  <c r="BM20" i="1" s="1"/>
  <c r="W22" i="1"/>
  <c r="BN22" i="1"/>
  <c r="BM22" i="1" s="1"/>
  <c r="CF16" i="1"/>
  <c r="CL16" i="1"/>
  <c r="CS16" i="1"/>
  <c r="Z17" i="1"/>
  <c r="CI17" i="1"/>
  <c r="CJ17" i="1" s="1"/>
  <c r="Y18" i="1"/>
  <c r="AC18" i="1"/>
  <c r="AE18" i="1"/>
  <c r="CF18" i="1"/>
  <c r="CL18" i="1"/>
  <c r="CS18" i="1"/>
  <c r="AD19" i="1"/>
  <c r="AM19" i="1"/>
  <c r="CI19" i="1"/>
  <c r="CJ19" i="1" s="1"/>
  <c r="CK19" i="1"/>
  <c r="CV19" i="1"/>
  <c r="Y20" i="1"/>
  <c r="AC20" i="1"/>
  <c r="AE20" i="1"/>
  <c r="CF20" i="1"/>
  <c r="CL20" i="1"/>
  <c r="CS20" i="1"/>
  <c r="AD21" i="1"/>
  <c r="AM21" i="1"/>
  <c r="CM21" i="1" s="1"/>
  <c r="CE21" i="1" s="1"/>
  <c r="CI21" i="1"/>
  <c r="CJ21" i="1" s="1"/>
  <c r="CK21" i="1"/>
  <c r="CV21" i="1"/>
  <c r="Y22" i="1"/>
  <c r="AC22" i="1"/>
  <c r="AE22" i="1"/>
  <c r="CF22" i="1"/>
  <c r="CL22" i="1"/>
  <c r="CS22" i="1"/>
  <c r="AD23" i="1"/>
  <c r="AM23" i="1"/>
  <c r="CM23" i="1" s="1"/>
  <c r="CE23" i="1" s="1"/>
  <c r="CK23" i="1"/>
  <c r="W25" i="1"/>
  <c r="BN25" i="1"/>
  <c r="W27" i="1"/>
  <c r="BN27" i="1"/>
  <c r="CI16" i="1"/>
  <c r="CJ16" i="1" s="1"/>
  <c r="AD18" i="1"/>
  <c r="CI18" i="1"/>
  <c r="CJ18" i="1" s="1"/>
  <c r="Y19" i="1"/>
  <c r="AC19" i="1"/>
  <c r="CF19" i="1"/>
  <c r="AD20" i="1"/>
  <c r="CI20" i="1"/>
  <c r="CJ20" i="1" s="1"/>
  <c r="AD22" i="1"/>
  <c r="CI22" i="1"/>
  <c r="CJ22" i="1" s="1"/>
  <c r="Y23" i="1"/>
  <c r="AC23" i="1"/>
  <c r="CI23" i="1"/>
  <c r="CJ23" i="1" s="1"/>
  <c r="BM27" i="1"/>
  <c r="W28" i="1"/>
  <c r="BN28" i="1"/>
  <c r="BM28" i="1" s="1"/>
  <c r="Z24" i="1"/>
  <c r="CI24" i="1"/>
  <c r="CJ24" i="1" s="1"/>
  <c r="Y25" i="1"/>
  <c r="AC25" i="1"/>
  <c r="AE25" i="1"/>
  <c r="CF25" i="1"/>
  <c r="CL25" i="1"/>
  <c r="CS25" i="1"/>
  <c r="Z26" i="1"/>
  <c r="CI26" i="1"/>
  <c r="CJ26" i="1" s="1"/>
  <c r="Y27" i="1"/>
  <c r="AC27" i="1"/>
  <c r="AE27" i="1"/>
  <c r="CF27" i="1"/>
  <c r="CL27" i="1"/>
  <c r="CS27" i="1"/>
  <c r="Y28" i="1"/>
  <c r="AC28" i="1"/>
  <c r="AE28" i="1"/>
  <c r="CF28" i="1"/>
  <c r="CL28" i="1"/>
  <c r="CS28" i="1"/>
  <c r="Z29" i="1"/>
  <c r="CI29" i="1"/>
  <c r="CJ29" i="1" s="1"/>
  <c r="AD25" i="1"/>
  <c r="BM25" i="1"/>
  <c r="CI25" i="1"/>
  <c r="CJ25" i="1" s="1"/>
  <c r="AD27" i="1"/>
  <c r="CI27" i="1"/>
  <c r="CJ27" i="1" s="1"/>
  <c r="AD28" i="1"/>
  <c r="CI28" i="1"/>
  <c r="CJ28" i="1" s="1"/>
  <c r="AC17" i="2" l="1"/>
  <c r="AE19" i="2"/>
  <c r="Y19" i="2"/>
  <c r="AE27" i="2"/>
  <c r="AC27" i="2"/>
  <c r="Y27" i="2"/>
  <c r="AM27" i="2"/>
  <c r="AD27" i="2"/>
  <c r="AE25" i="2"/>
  <c r="AC25" i="2"/>
  <c r="Y25" i="2"/>
  <c r="AM25" i="2"/>
  <c r="AD25" i="2"/>
  <c r="AE24" i="2"/>
  <c r="AC24" i="2"/>
  <c r="Y24" i="2"/>
  <c r="AM24" i="2"/>
  <c r="AD24" i="2"/>
  <c r="AE23" i="2"/>
  <c r="AC23" i="2"/>
  <c r="Y23" i="2"/>
  <c r="AM23" i="2"/>
  <c r="AD23" i="2"/>
  <c r="BN20" i="2"/>
  <c r="BM20" i="2" s="1"/>
  <c r="W20" i="2"/>
  <c r="CM26" i="2"/>
  <c r="DV26" i="2"/>
  <c r="BG26" i="2"/>
  <c r="CM22" i="2"/>
  <c r="DV22" i="2"/>
  <c r="BG22" i="2"/>
  <c r="BN21" i="2"/>
  <c r="BM21" i="2" s="1"/>
  <c r="W21" i="2"/>
  <c r="BN19" i="2"/>
  <c r="BM19" i="2" s="1"/>
  <c r="W19" i="2"/>
  <c r="CM18" i="2"/>
  <c r="DV18" i="2"/>
  <c r="BG18" i="2"/>
  <c r="CM17" i="2"/>
  <c r="DV17" i="2"/>
  <c r="BG17" i="2"/>
  <c r="CM21" i="2"/>
  <c r="CE21" i="2" s="1"/>
  <c r="AE29" i="1"/>
  <c r="AC29" i="1"/>
  <c r="Y29" i="1"/>
  <c r="AM29" i="1"/>
  <c r="AD29" i="1"/>
  <c r="AE26" i="1"/>
  <c r="AC26" i="1"/>
  <c r="Y26" i="1"/>
  <c r="AM26" i="1"/>
  <c r="AD26" i="1"/>
  <c r="AE24" i="1"/>
  <c r="AC24" i="1"/>
  <c r="Y24" i="1"/>
  <c r="AM24" i="1"/>
  <c r="AD24" i="1"/>
  <c r="BN23" i="1"/>
  <c r="BM23" i="1" s="1"/>
  <c r="W23" i="1"/>
  <c r="CM22" i="1"/>
  <c r="DV22" i="1"/>
  <c r="BG22" i="1"/>
  <c r="CE22" i="1" s="1"/>
  <c r="BN19" i="1"/>
  <c r="BM19" i="1" s="1"/>
  <c r="W19" i="1"/>
  <c r="CM18" i="1"/>
  <c r="DV18" i="1"/>
  <c r="BG18" i="1"/>
  <c r="CE18" i="1" s="1"/>
  <c r="CM16" i="1"/>
  <c r="DV16" i="1"/>
  <c r="BG16" i="1"/>
  <c r="CE16" i="1" s="1"/>
  <c r="BN16" i="1"/>
  <c r="BM16" i="1" s="1"/>
  <c r="W16" i="1"/>
  <c r="CM28" i="1"/>
  <c r="DV28" i="1"/>
  <c r="BG28" i="1"/>
  <c r="CE28" i="1" s="1"/>
  <c r="CM27" i="1"/>
  <c r="DV27" i="1"/>
  <c r="BG27" i="1"/>
  <c r="CE27" i="1" s="1"/>
  <c r="CM25" i="1"/>
  <c r="DV25" i="1"/>
  <c r="BG25" i="1"/>
  <c r="CE25" i="1" s="1"/>
  <c r="DV19" i="1"/>
  <c r="BG19" i="1"/>
  <c r="CM19" i="1"/>
  <c r="CE19" i="1"/>
  <c r="BN21" i="1"/>
  <c r="BM21" i="1" s="1"/>
  <c r="W21" i="1"/>
  <c r="CM20" i="1"/>
  <c r="DV20" i="1"/>
  <c r="BG20" i="1"/>
  <c r="AE17" i="1"/>
  <c r="AC17" i="1"/>
  <c r="Y17" i="1"/>
  <c r="AM17" i="1"/>
  <c r="AD17" i="1"/>
  <c r="CE18" i="2" l="1"/>
  <c r="CE26" i="2"/>
  <c r="CE17" i="2"/>
  <c r="CE22" i="2"/>
  <c r="BN24" i="2"/>
  <c r="BM24" i="2" s="1"/>
  <c r="W24" i="2"/>
  <c r="CM24" i="2"/>
  <c r="CE24" i="2" s="1"/>
  <c r="BN27" i="2"/>
  <c r="BM27" i="2" s="1"/>
  <c r="W27" i="2"/>
  <c r="CM27" i="2"/>
  <c r="CE27" i="2" s="1"/>
  <c r="BN23" i="2"/>
  <c r="BM23" i="2" s="1"/>
  <c r="CM23" i="2"/>
  <c r="CE23" i="2" s="1"/>
  <c r="W23" i="2"/>
  <c r="BN25" i="2"/>
  <c r="BM25" i="2" s="1"/>
  <c r="CM25" i="2"/>
  <c r="CE25" i="2" s="1"/>
  <c r="W25" i="2"/>
  <c r="CE20" i="1"/>
  <c r="BN17" i="1"/>
  <c r="BM17" i="1" s="1"/>
  <c r="W17" i="1"/>
  <c r="CM17" i="1"/>
  <c r="CE17" i="1" s="1"/>
  <c r="BN26" i="1"/>
  <c r="BM26" i="1" s="1"/>
  <c r="CM26" i="1"/>
  <c r="CE26" i="1" s="1"/>
  <c r="W26" i="1"/>
  <c r="BN24" i="1"/>
  <c r="BM24" i="1" s="1"/>
  <c r="W24" i="1"/>
  <c r="CM24" i="1"/>
  <c r="CE24" i="1" s="1"/>
  <c r="BN29" i="1"/>
  <c r="BM29" i="1" s="1"/>
  <c r="W29" i="1"/>
  <c r="CM29" i="1"/>
  <c r="CE29" i="1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<sst xmlns="http://schemas.openxmlformats.org/spreadsheetml/2006/main" count="807" uniqueCount="193">
  <si>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</si>
  <si>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</si>
  <si>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</si>
  <si>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</si>
  <si>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</si>
  <si>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</si>
  <si>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</si>
  <si>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</si>
  <si>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</si>
  <si>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</si>
  <si>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</si>
  <si>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</si>
  <si>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</si>
  <si>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</si>
  <si>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</si>
  <si>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</si>
  <si>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</si>
  <si>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</si>
  <si>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</si>
  <si>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</si>
  <si>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</si>
  <si>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</si>
  <si>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</si>
  <si>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</si>
  <si>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</si>
  <si>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</si>
  <si>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</si>
  <si>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</si>
  <si>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</si>
  <si>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</si>
  <si>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</si>
  <si>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</si>
  <si>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</si>
  <si>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</si>
  <si>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</si>
  <si>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</si>
  <si>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</si>
  <si>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</si>
  <si>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</si>
  <si>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</si>
  <si>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</si>
  <si>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</si>
  <si>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2012</t>
  </si>
  <si>
    <t>12</t>
  </si>
  <si>
    <t>người lao động</t>
  </si>
  <si>
    <t>17</t>
  </si>
  <si>
    <t>Giảng viên chính (hạng II)</t>
  </si>
  <si>
    <t>10</t>
  </si>
  <si>
    <t>6</t>
  </si>
  <si>
    <t>Văn phòng Học viện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</si>
  <si>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</si>
  <si>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</si>
  <si>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</si>
  <si>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</si>
  <si>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</si>
  <si>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</si>
  <si>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</si>
  <si>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</si>
  <si>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</si>
  <si>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</si>
  <si>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</si>
  <si>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</si>
  <si>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</si>
  <si>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</si>
  <si>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</si>
  <si>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</si>
  <si>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</si>
  <si>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</si>
  <si>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</si>
  <si>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</si>
  <si>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</si>
  <si>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</si>
  <si>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</si>
  <si>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</si>
  <si>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</si>
  <si>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</si>
  <si>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</si>
  <si>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</si>
  <si>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</si>
  <si>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</si>
  <si>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</si>
  <si>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</si>
  <si>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</si>
  <si>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</si>
  <si>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</si>
  <si>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</si>
  <si>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</si>
  <si>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</si>
  <si>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</si>
  <si>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</si>
  <si>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</si>
  <si>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</si>
  <si>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</si>
  <si>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14</t>
  </si>
  <si>
    <t>và trên Website Học viện Hành chính Quốc gia;</t>
  </si>
  <si>
    <t>15</t>
  </si>
  <si>
    <t>Khoa Lý luận cơ sở</t>
  </si>
  <si>
    <t>08</t>
  </si>
  <si>
    <t>9</t>
  </si>
  <si>
    <t>Khoa Quản lý Tài chính công</t>
  </si>
  <si>
    <t>V.07.01.01</t>
  </si>
  <si>
    <t>Bộ môn Khoa học đại cương,</t>
  </si>
  <si>
    <t>(người tiếp nhận: Vũ Thị Hồng Diệp, ĐT: 0438 359 295/ 01687025599).</t>
  </si>
  <si>
    <t>GIỚITÍNH</t>
  </si>
  <si>
    <t xml:space="preserve">                  (người tiếp nhận: Vũ Thị Hồng Diệp, ĐT: 0438 359 295/ 01687025599).</t>
  </si>
  <si>
    <t>CN</t>
  </si>
  <si>
    <t>Nguyễn Tiến Hiệp</t>
  </si>
  <si>
    <t>Ban Đào tạo</t>
  </si>
  <si>
    <t>viên chức</t>
  </si>
  <si>
    <t>20</t>
  </si>
  <si>
    <t>Chuyên viên</t>
  </si>
  <si>
    <t>28</t>
  </si>
  <si>
    <t>5</t>
  </si>
  <si>
    <t>01.003</t>
  </si>
  <si>
    <t>Khoa Quản lý nhà nước về Xã hội</t>
  </si>
  <si>
    <t>19</t>
  </si>
  <si>
    <t>1976</t>
  </si>
  <si>
    <t>Giáo viên trung học</t>
  </si>
  <si>
    <t>V.07.01.02</t>
  </si>
  <si>
    <t>Khoa Nhà nước và Pháp luật</t>
  </si>
  <si>
    <t>Trưởng bộ môn</t>
  </si>
  <si>
    <t xml:space="preserve">Bộ môn Văn bản hành chính, </t>
  </si>
  <si>
    <t>1978</t>
  </si>
  <si>
    <t>23</t>
  </si>
  <si>
    <t xml:space="preserve">Phòng Thanh tra Giáo dục - Đào tạo, </t>
  </si>
  <si>
    <t>Ban Thanh tra Giáo dục - Đào tạo</t>
  </si>
  <si>
    <t>Khoa Hành chính học</t>
  </si>
  <si>
    <t>Khoa Sau đại học</t>
  </si>
  <si>
    <t>Trưởng phòng</t>
  </si>
  <si>
    <t>Đã nâng sớm</t>
  </si>
  <si>
    <t>1972</t>
  </si>
  <si>
    <t>13</t>
  </si>
  <si>
    <t>Nguyễn Thị Tế</t>
  </si>
  <si>
    <t>Bộ môn Tâm lý học,</t>
  </si>
  <si>
    <t>Khoa Quản lý nhà nước về Đô thị và Nông thôn</t>
  </si>
  <si>
    <t>1977</t>
  </si>
  <si>
    <t>Bộ môn Khoa học - Tôn giáo - An ninh,</t>
  </si>
  <si>
    <t>Phạm Thị Thanh Hương</t>
  </si>
  <si>
    <t>Bộ môn Kế toán - Kiểm toán,</t>
  </si>
  <si>
    <t>Nguyễn Thị Thu Hương</t>
  </si>
  <si>
    <t>Phòng Đào tạo tại chức,</t>
  </si>
  <si>
    <t>Vũ Anh Dân</t>
  </si>
  <si>
    <t>1970</t>
  </si>
  <si>
    <t>Hoàng Thị Huế</t>
  </si>
  <si>
    <t>Nguyễn Đức Thắng</t>
  </si>
  <si>
    <t>25</t>
  </si>
  <si>
    <t>Bộ môn Chính sách công,</t>
  </si>
  <si>
    <t>Nguyễn Thị Hồng</t>
  </si>
  <si>
    <t>GQ: … hưởng từ</t>
  </si>
  <si>
    <t>Lý Thị Huệ</t>
  </si>
  <si>
    <t>Bộ môn Những nguyên lý cơ bản của Chủ nghĩa Mác - Lê nin,</t>
  </si>
  <si>
    <t>Trương Thị Quỳnh Hoa</t>
  </si>
  <si>
    <t>Nông Hoàng Anh</t>
  </si>
  <si>
    <t>1987</t>
  </si>
  <si>
    <t>Nguyễn Thị Tình</t>
  </si>
  <si>
    <t>Bộ môn Kỹ năng quản lý nhà nước về kinh tế,</t>
  </si>
  <si>
    <t>Khoa Quản lý nhà nước về Kinh tế</t>
  </si>
  <si>
    <t>Nguyễn Thu Thủy</t>
  </si>
  <si>
    <t>Phòng Kế hoạch - Tổng hợp đào tạo Sau đại học,</t>
  </si>
  <si>
    <t>Lê Phương Thúy</t>
  </si>
  <si>
    <t>Phòng Tài vụ - Kế toán,</t>
  </si>
  <si>
    <t>Kế toán viên</t>
  </si>
  <si>
    <t>Hà Nội, ngày 12 tháng 11 năm 2015</t>
  </si>
  <si>
    <r>
      <t>DANH SÁCH CÔNG CHỨC, VIÊN CHỨC VÀ NGƯỜI LAO ĐỘNG THUỘC HỌC VIỆN HÀNH CHÍNH QUỐC GIA TẠI HÀ NỘI
ĐỦ ĐIỀU KIỆN, TIÊU CHUẨN NÂNG LƯƠNG TRONG THÁNG</t>
    </r>
    <r>
      <rPr>
        <b/>
        <sz val="12"/>
        <color indexed="12"/>
        <rFont val="Arial Narrow"/>
        <family val="2"/>
      </rPr>
      <t xml:space="preserve"> 11</t>
    </r>
    <r>
      <rPr>
        <b/>
        <sz val="12"/>
        <rFont val="Arial Narrow"/>
        <family val="2"/>
      </rPr>
      <t xml:space="preserve"> NĂM </t>
    </r>
    <r>
      <rPr>
        <b/>
        <sz val="12"/>
        <color indexed="12"/>
        <rFont val="Arial Narrow"/>
        <family val="2"/>
      </rPr>
      <t>2015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</si>
  <si>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20/11/2015</t>
    </r>
  </si>
  <si>
    <t>Nguyễn Thị Vân Hương</t>
  </si>
  <si>
    <t>Đinh Văn Mậu</t>
  </si>
  <si>
    <t>1949</t>
  </si>
  <si>
    <t>Bộ môn Thể chế nhà nước,</t>
  </si>
  <si>
    <t>+ 5% VK do BN GS</t>
  </si>
  <si>
    <t xml:space="preserve">PGS </t>
  </si>
  <si>
    <t>Lương Minh Việt</t>
  </si>
  <si>
    <t>Phó Trưởng khoa</t>
  </si>
  <si>
    <t>Phan Minh Nguyệt</t>
  </si>
  <si>
    <t>09</t>
  </si>
  <si>
    <t>Bộ môn Nguyên lý Kinh tế,</t>
  </si>
  <si>
    <t>Hoàng Thị Cường</t>
  </si>
  <si>
    <t>Trần Văn Giao</t>
  </si>
  <si>
    <t>4</t>
  </si>
  <si>
    <t>1954</t>
  </si>
  <si>
    <t>Nguyên Phó Trưởng khoa</t>
  </si>
  <si>
    <t>Đoàn Thị Bích Hạnh</t>
  </si>
  <si>
    <t>Bộ môn Tổ chức nhân sự,</t>
  </si>
  <si>
    <t>Khoa Tổ chức và Quản lý nhân sự</t>
  </si>
  <si>
    <t>Nghi Ko Lg + Phu nhân</t>
  </si>
  <si>
    <t>Ko Lg:4/2011-3/2014</t>
  </si>
  <si>
    <t>2008</t>
  </si>
  <si>
    <t>Vũ Thị Thùy Dung</t>
  </si>
  <si>
    <t>1974</t>
  </si>
  <si>
    <t>= mã GVTH:15.113 (có trình độ ĐH)</t>
  </si>
  <si>
    <t>CL</t>
  </si>
  <si>
    <r>
      <t>DANH SÁCH NHÀ GIÁO THUỘC HỌC VIỆN HÀNH CHÍNH QUỐC GIA ĐỦ ĐIỀU KIỆN NÂNG PHỤ CẤP THÂM NIÊN TRONG THÁNG 11</t>
    </r>
    <r>
      <rPr>
        <b/>
        <sz val="12"/>
        <color indexed="12"/>
        <rFont val="Arial Narrow"/>
        <family val="2"/>
      </rPr>
      <t xml:space="preserve"> NĂM 2015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</si>
  <si>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20/11</t>
    </r>
    <r>
      <rPr>
        <b/>
        <sz val="11"/>
        <color indexed="12"/>
        <rFont val="Arial Narrow"/>
        <family val="2"/>
      </rPr>
      <t>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</si>
</sst>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left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9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right" vertical="center"/>
    </xf>
    <xf numFmtId="2" fontId="32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2" fontId="41" fillId="7" borderId="0" xfId="0" applyNumberFormat="1" applyFont="1" applyFill="1" applyAlignment="1"/>
    <xf numFmtId="2" fontId="42" fillId="7" borderId="0" xfId="0" applyNumberFormat="1" applyFont="1" applyFill="1" applyAlignment="1"/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vertical="center"/>
    </xf>
    <xf numFmtId="0" fontId="44" fillId="7" borderId="0" xfId="0" applyNumberFormat="1" applyFont="1" applyFill="1" applyAlignment="1">
      <alignment horizontal="center" vertical="center"/>
    </xf>
    <xf numFmtId="2" fontId="43" fillId="7" borderId="6" xfId="0" applyNumberFormat="1" applyFont="1" applyFill="1" applyBorder="1" applyAlignment="1">
      <alignment horizontal="left" vertical="center"/>
    </xf>
    <xf numFmtId="0" fontId="45" fillId="7" borderId="6" xfId="0" applyNumberFormat="1" applyFont="1" applyFill="1" applyBorder="1" applyAlignment="1">
      <alignment horizontal="center" vertical="center" wrapText="1"/>
    </xf>
    <xf numFmtId="1" fontId="45" fillId="7" borderId="9" xfId="0" applyNumberFormat="1" applyFont="1" applyFill="1" applyBorder="1" applyAlignment="1">
      <alignment horizontal="center" vertical="center"/>
    </xf>
    <xf numFmtId="1" fontId="43" fillId="7" borderId="6" xfId="0" applyNumberFormat="1" applyFont="1" applyFill="1" applyBorder="1" applyAlignment="1">
      <alignment horizontal="center" vertical="center" wrapText="1"/>
    </xf>
    <xf numFmtId="1" fontId="43" fillId="7" borderId="6" xfId="0" applyNumberFormat="1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2" fontId="43" fillId="7" borderId="6" xfId="0" applyNumberFormat="1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2" fontId="39" fillId="7" borderId="0" xfId="0" applyNumberFormat="1" applyFont="1" applyFill="1" applyBorder="1" applyAlignment="1">
      <alignment horizontal="left" vertical="center"/>
    </xf>
    <xf numFmtId="0" fontId="38" fillId="7" borderId="0" xfId="0" applyNumberFormat="1" applyFont="1" applyFill="1" applyBorder="1" applyAlignment="1">
      <alignment horizontal="center" vertical="center" wrapText="1"/>
    </xf>
    <xf numFmtId="1" fontId="38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horizontal="center" vertical="center" wrapText="1"/>
    </xf>
    <xf numFmtId="49" fontId="43" fillId="7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/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6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6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7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8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center" vertical="top" wrapText="1"/>
    </xf>
    <xf numFmtId="0" fontId="39" fillId="7" borderId="0" xfId="0" applyNumberFormat="1" applyFont="1" applyFill="1" applyBorder="1" applyAlignment="1">
      <alignment horizontal="center" vertical="top"/>
    </xf>
    <xf numFmtId="0" fontId="39" fillId="7" borderId="0" xfId="0" applyNumberFormat="1" applyFont="1" applyFill="1" applyBorder="1" applyAlignment="1">
      <alignment vertical="top"/>
    </xf>
    <xf numFmtId="0" fontId="39" fillId="7" borderId="0" xfId="0" applyNumberFormat="1" applyFont="1" applyFill="1" applyBorder="1" applyAlignment="1">
      <alignment vertical="top" wrapText="1"/>
    </xf>
    <xf numFmtId="2" fontId="39" fillId="7" borderId="0" xfId="0" applyNumberFormat="1" applyFont="1" applyFill="1" applyBorder="1" applyAlignment="1">
      <alignment horizontal="center" vertical="center"/>
    </xf>
    <xf numFmtId="1" fontId="38" fillId="7" borderId="0" xfId="0" applyNumberFormat="1" applyFont="1" applyFill="1" applyBorder="1" applyAlignment="1">
      <alignment horizontal="right" vertical="center"/>
    </xf>
    <xf numFmtId="2" fontId="38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50" fillId="7" borderId="0" xfId="0" applyFont="1" applyFill="1" applyBorder="1"/>
    <xf numFmtId="0" fontId="2" fillId="2" borderId="12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1" fillId="2" borderId="9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7" borderId="6" xfId="0" applyNumberFormat="1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43" fillId="7" borderId="0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horizontal="left" vertical="center"/>
    </xf>
    <xf numFmtId="0" fontId="43" fillId="7" borderId="24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vertical="center"/>
    </xf>
    <xf numFmtId="0" fontId="43" fillId="7" borderId="22" xfId="0" applyNumberFormat="1" applyFont="1" applyFill="1" applyBorder="1" applyAlignment="1">
      <alignment vertical="center"/>
    </xf>
    <xf numFmtId="0" fontId="43" fillId="7" borderId="25" xfId="0" applyNumberFormat="1" applyFont="1" applyFill="1" applyBorder="1" applyAlignment="1">
      <alignment horizontal="left" vertical="center"/>
    </xf>
    <xf numFmtId="0" fontId="43" fillId="7" borderId="25" xfId="0" applyNumberFormat="1" applyFont="1" applyFill="1" applyBorder="1" applyAlignment="1">
      <alignment horizontal="center" vertical="center" wrapText="1"/>
    </xf>
    <xf numFmtId="49" fontId="43" fillId="7" borderId="21" xfId="0" applyNumberFormat="1" applyFont="1" applyFill="1" applyBorder="1" applyAlignment="1">
      <alignment horizontal="left" vertical="center"/>
    </xf>
    <xf numFmtId="2" fontId="41" fillId="7" borderId="0" xfId="0" applyNumberFormat="1" applyFont="1" applyFill="1" applyBorder="1" applyAlignment="1"/>
    <xf numFmtId="2" fontId="42" fillId="7" borderId="0" xfId="0" applyNumberFormat="1" applyFont="1" applyFill="1" applyBorder="1" applyAlignment="1"/>
    <xf numFmtId="0" fontId="43" fillId="7" borderId="0" xfId="0" applyFont="1" applyFill="1" applyBorder="1" applyAlignment="1">
      <alignment vertical="center" wrapText="1"/>
    </xf>
    <xf numFmtId="0" fontId="43" fillId="7" borderId="0" xfId="0" applyNumberFormat="1" applyFont="1" applyFill="1" applyBorder="1" applyAlignment="1">
      <alignment horizontal="left" vertical="center"/>
    </xf>
    <xf numFmtId="0" fontId="43" fillId="7" borderId="0" xfId="0" applyNumberFormat="1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49" fontId="43" fillId="7" borderId="0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9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1">
    <cellStyle name="Normal" xfId="0" builtinId="0"/>
  </cellStyles>
  <dxfs count="519"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5"/>
  <sheetViews>
    <sheetView topLeftCell="B25" workbookViewId="0">
      <selection activeCell="O33" sqref="O33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375" t="s">
        <v>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2"/>
      <c r="P1" s="3"/>
      <c r="Q1" s="3"/>
      <c r="R1" s="3"/>
      <c r="S1" s="376" t="s">
        <v>1</v>
      </c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376" t="s">
        <v>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5"/>
      <c r="P2" s="3"/>
      <c r="Q2" s="3"/>
      <c r="R2" s="3"/>
      <c r="S2" s="377" t="s">
        <v>3</v>
      </c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78" t="s">
        <v>162</v>
      </c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374" t="s">
        <v>163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</row>
    <row r="5" spans="1:126" s="17" customFormat="1" ht="4.5" customHeight="1" x14ac:dyDescent="0.25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79"/>
      <c r="AG6" s="379"/>
      <c r="AH6" s="379"/>
      <c r="AI6" s="379"/>
      <c r="AJ6" s="379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57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94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164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25"/>
      <c r="BJ9" s="325"/>
      <c r="BK9" s="326"/>
      <c r="BL9" s="326"/>
      <c r="BM9" s="326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102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24"/>
      <c r="BJ10" s="324"/>
      <c r="BK10" s="324"/>
      <c r="BL10" s="323"/>
      <c r="BM10" s="324"/>
      <c r="BN10" s="323"/>
      <c r="BO10" s="323"/>
      <c r="BP10" s="324"/>
      <c r="BQ10" s="324"/>
      <c r="BR10" s="324"/>
      <c r="BS10" s="324"/>
      <c r="BT10" s="324"/>
      <c r="BU10" s="324"/>
      <c r="BV10" s="324"/>
      <c r="BW10" s="323"/>
      <c r="BX10" s="323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3"/>
      <c r="CS10" s="324"/>
      <c r="CT10" s="323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</row>
    <row r="11" spans="1:126" s="114" customFormat="1" ht="12.75" customHeight="1" x14ac:dyDescent="0.3">
      <c r="A11" s="101"/>
      <c r="B11" s="102"/>
      <c r="C11" s="102"/>
      <c r="D11" s="23" t="s">
        <v>7</v>
      </c>
      <c r="E11" s="103">
        <v>14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318"/>
      <c r="BJ11" s="319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</row>
    <row r="12" spans="1:126" s="138" customFormat="1" ht="3" hidden="1" customHeight="1" x14ac:dyDescent="0.25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38"/>
      <c r="BJ12" s="225"/>
      <c r="BK12" s="226" t="s">
        <v>8</v>
      </c>
      <c r="BL12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26" t="e">
        <f>IF(AND(#REF!&gt;0,#REF!&lt;(#REF!-1),BN12&gt;0,BN12&lt;13,OR(AND(BT12="Cùg Ng",(#REF!-BP12)&gt;#REF!),BT12="- - -")),"Sớm TT","=&gt; s")</f>
        <v>#REF!</v>
      </c>
      <c r="BN12" s="228" t="e">
        <f>IF(#REF!=3,36-(12*(#REF!-#REF!)+(12-#REF!)-#REF!),IF(#REF!=2,24-(12*(#REF!-#REF!)+(12-#REF!)-#REF!),"---"))</f>
        <v>#REF!</v>
      </c>
      <c r="BO12" s="229" t="str">
        <f>IF(BP12&gt;1,"S","---")</f>
        <v>---</v>
      </c>
      <c r="BP12" s="230"/>
      <c r="BQ12" s="231"/>
      <c r="BR12" s="231"/>
      <c r="BS12" s="231"/>
      <c r="BT12" s="230" t="e">
        <f>IF(#REF!=BQ12,"Cùg Ng","- - -")</f>
        <v>#REF!</v>
      </c>
      <c r="BU12" s="229" t="str">
        <f>IF(BW12&gt;2000,"NN","- - -")</f>
        <v>- - -</v>
      </c>
      <c r="BV12" s="226"/>
      <c r="BW12" s="226"/>
      <c r="BX12" s="232"/>
      <c r="BY12" s="232"/>
      <c r="BZ12" s="232" t="str">
        <f>IF(CB12&gt;2000,"CN","- - -")</f>
        <v>- - -</v>
      </c>
      <c r="CA12" s="232"/>
      <c r="CB12" s="232"/>
      <c r="CC12" s="232"/>
      <c r="CD12" s="232"/>
      <c r="CE12" s="232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32" t="e">
        <f>IF(AND(CQ12&gt;CP12,CQ12&lt;(CP12+13)),"Hưu",IF(AND(CQ12&gt;(CP12+12),CQ12&lt;1000),"Quá","/-/ /-/"))</f>
        <v>#REF!</v>
      </c>
      <c r="CG12" s="232" t="e">
        <f>IF((#REF!+0)&lt;12,(#REF!+0)+1,IF((#REF!+0)=12,1,IF((#REF!+0)&gt;12,(#REF!+0)-12)))</f>
        <v>#REF!</v>
      </c>
      <c r="CH12" s="232" t="e">
        <f>IF(OR((#REF!+0)=12,(#REF!+0)&gt;12),#REF!+CP12/12+1,IF(AND((#REF!+0)&gt;0,(#REF!+0)&lt;12),#REF!+CP12/12,"---"))</f>
        <v>#REF!</v>
      </c>
      <c r="CI12" s="232" t="e">
        <f>IF(AND(CG12&gt;3,CG12&lt;13),CG12-3,IF(CG12&lt;4,CG12-3+12))</f>
        <v>#REF!</v>
      </c>
      <c r="CJ12" s="232" t="e">
        <f>IF(CI12&lt;CG12,CH12,IF(CI12&gt;CG12,CH12-1))</f>
        <v>#REF!</v>
      </c>
      <c r="CK12" s="232" t="e">
        <f>IF(CG12&gt;6,CG12-6,IF(CG12=6,12,IF(CG12&lt;6,CG12+6)))</f>
        <v>#REF!</v>
      </c>
      <c r="CL12" s="232" t="e">
        <f>IF(CG12&gt;6,CH12,IF(CG12&lt;7,CH12-1))</f>
        <v>#REF!</v>
      </c>
      <c r="CM12" s="232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33" t="str">
        <f>IF(CO12&gt;0,"K.Dài",". .")</f>
        <v>. .</v>
      </c>
      <c r="CO12" s="230"/>
      <c r="CP12" s="234" t="e">
        <f>IF(#REF!="Nam",(60+CO12)*12,IF(#REF!="Nữ",(55+CO12)*12,))</f>
        <v>#REF!</v>
      </c>
      <c r="CQ12" s="235" t="e">
        <f>12*(#REF!-#REF!)+(12-#REF!)</f>
        <v>#REF!</v>
      </c>
      <c r="CR12" s="236" t="e">
        <f>#REF!-#REF!</f>
        <v>#REF!</v>
      </c>
      <c r="CS12" s="237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38"/>
      <c r="CU12" s="236"/>
      <c r="CV12" s="239" t="e">
        <f>IF(CR12&lt;31,"Đến 30",IF(AND(CR12&gt;30,CR12&lt;46),"31 - 45",IF(AND(CR12&gt;45,CR12&lt;70),"Trên 45")))</f>
        <v>#REF!</v>
      </c>
      <c r="CW12" s="327" t="str">
        <f>IF(CX12&gt;0,"TD","--")</f>
        <v>TD</v>
      </c>
      <c r="CX12" s="327">
        <v>2009</v>
      </c>
      <c r="CY12" s="238"/>
      <c r="CZ12" s="328"/>
      <c r="DA12" s="329"/>
      <c r="DB12" s="232"/>
      <c r="DC12" s="232"/>
      <c r="DD12" s="232"/>
      <c r="DE12" s="232"/>
      <c r="DF12" s="232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380" t="s">
        <v>12</v>
      </c>
      <c r="C13" s="320"/>
      <c r="D13" s="380" t="s">
        <v>13</v>
      </c>
      <c r="E13" s="380" t="s">
        <v>14</v>
      </c>
      <c r="F13" s="140"/>
      <c r="G13" s="140"/>
      <c r="H13" s="140"/>
      <c r="I13" s="140"/>
      <c r="J13" s="140"/>
      <c r="K13" s="320"/>
      <c r="L13" s="320"/>
      <c r="M13" s="320"/>
      <c r="N13" s="380" t="s">
        <v>15</v>
      </c>
      <c r="O13" s="380"/>
      <c r="P13" s="347"/>
      <c r="Q13" s="347"/>
      <c r="R13" s="347"/>
      <c r="S13" s="382" t="s">
        <v>16</v>
      </c>
      <c r="T13" s="383"/>
      <c r="U13" s="380" t="s">
        <v>17</v>
      </c>
      <c r="V13" s="380" t="s">
        <v>18</v>
      </c>
      <c r="W13" s="320"/>
      <c r="X13" s="380" t="s">
        <v>19</v>
      </c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 t="s">
        <v>20</v>
      </c>
      <c r="AL13" s="320"/>
      <c r="AM13" s="380" t="s">
        <v>21</v>
      </c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80" t="s">
        <v>22</v>
      </c>
      <c r="AY13" s="320"/>
      <c r="AZ13" s="320"/>
      <c r="BA13" s="320"/>
      <c r="BB13" s="320"/>
      <c r="BC13" s="320"/>
      <c r="BD13" s="320"/>
      <c r="BE13" s="320"/>
      <c r="BF13" s="320"/>
      <c r="BG13" s="320"/>
      <c r="BH13" s="381" t="s">
        <v>22</v>
      </c>
      <c r="BI13" s="238"/>
      <c r="BJ13" s="225"/>
      <c r="BK13" s="226"/>
      <c r="BL13" s="227"/>
      <c r="BM13" s="226"/>
      <c r="BN13" s="228"/>
      <c r="BO13" s="229"/>
      <c r="BP13" s="230"/>
      <c r="BQ13" s="231"/>
      <c r="BR13" s="231"/>
      <c r="BS13" s="231"/>
      <c r="BT13" s="230"/>
      <c r="BU13" s="229"/>
      <c r="BV13" s="226"/>
      <c r="BW13" s="226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3"/>
      <c r="CO13" s="230"/>
      <c r="CP13" s="234"/>
      <c r="CQ13" s="235"/>
      <c r="CR13" s="236"/>
      <c r="CS13" s="237"/>
      <c r="CT13" s="238"/>
      <c r="CU13" s="236"/>
      <c r="CV13" s="239"/>
      <c r="CW13" s="327"/>
      <c r="CX13" s="327"/>
      <c r="CY13" s="238"/>
      <c r="CZ13" s="328"/>
      <c r="DA13" s="329"/>
      <c r="DB13" s="232"/>
      <c r="DC13" s="232"/>
      <c r="DD13" s="232"/>
      <c r="DE13" s="232"/>
      <c r="DF13" s="232"/>
      <c r="DG13" s="321"/>
    </row>
    <row r="14" spans="1:126" s="144" customFormat="1" ht="28.5" customHeight="1" x14ac:dyDescent="0.25">
      <c r="A14" s="152">
        <v>163</v>
      </c>
      <c r="B14" s="381"/>
      <c r="C14" s="148"/>
      <c r="D14" s="381"/>
      <c r="E14" s="381"/>
      <c r="F14" s="149"/>
      <c r="G14" s="149"/>
      <c r="H14" s="149"/>
      <c r="I14" s="149"/>
      <c r="J14" s="149"/>
      <c r="K14" s="148"/>
      <c r="L14" s="148"/>
      <c r="M14" s="148"/>
      <c r="N14" s="381"/>
      <c r="O14" s="381"/>
      <c r="P14" s="348"/>
      <c r="Q14" s="348"/>
      <c r="R14" s="348"/>
      <c r="S14" s="384"/>
      <c r="T14" s="385"/>
      <c r="U14" s="381"/>
      <c r="V14" s="381"/>
      <c r="W14" s="148"/>
      <c r="X14" s="387" t="s">
        <v>23</v>
      </c>
      <c r="Y14" s="387"/>
      <c r="Z14" s="387"/>
      <c r="AA14" s="150" t="s">
        <v>24</v>
      </c>
      <c r="AB14" s="387" t="s">
        <v>25</v>
      </c>
      <c r="AC14" s="387"/>
      <c r="AD14" s="387"/>
      <c r="AE14" s="150" t="s">
        <v>26</v>
      </c>
      <c r="AF14" s="387" t="s">
        <v>27</v>
      </c>
      <c r="AG14" s="387"/>
      <c r="AH14" s="387"/>
      <c r="AI14" s="387"/>
      <c r="AJ14" s="387"/>
      <c r="AK14" s="381"/>
      <c r="AL14" s="148"/>
      <c r="AM14" s="381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81"/>
      <c r="AY14" s="148"/>
      <c r="AZ14" s="148"/>
      <c r="BA14" s="148"/>
      <c r="BB14" s="148"/>
      <c r="BC14" s="148"/>
      <c r="BD14" s="148"/>
      <c r="BE14" s="148"/>
      <c r="BF14" s="148"/>
      <c r="BG14" s="148"/>
      <c r="BH14" s="386"/>
      <c r="BI14" s="238"/>
      <c r="BJ14" s="225"/>
      <c r="BK14" s="226" t="s">
        <v>28</v>
      </c>
      <c r="BL14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26" t="e">
        <f>IF(AND(#REF!&gt;0,#REF!&lt;(#REF!-1),BN14&gt;0,BN14&lt;13,OR(AND(BT14="Cùg Ng",(#REF!-BP14)&gt;#REF!),BT14="- - -")),"Sớm TT","=&gt; s")</f>
        <v>#REF!</v>
      </c>
      <c r="BN14" s="228" t="e">
        <f>IF(#REF!=3,36-(12*(#REF!-#REF!)+(12-#REF!)-#REF!),IF(#REF!=2,24-(12*(#REF!-#REF!)+(12-#REF!)-#REF!),"---"))</f>
        <v>#REF!</v>
      </c>
      <c r="BO14" s="229" t="str">
        <f>IF(BP14&gt;1,"S","---")</f>
        <v>---</v>
      </c>
      <c r="BP14" s="230"/>
      <c r="BQ14" s="231"/>
      <c r="BR14" s="231"/>
      <c r="BS14" s="231"/>
      <c r="BT14" s="230" t="e">
        <f>IF(#REF!=BQ14,"Cùg Ng","- - -")</f>
        <v>#REF!</v>
      </c>
      <c r="BU14" s="229" t="str">
        <f>IF(BW14&gt;2000,"NN","- - -")</f>
        <v>- - -</v>
      </c>
      <c r="BV14" s="226"/>
      <c r="BW14" s="226"/>
      <c r="BX14" s="232"/>
      <c r="BY14" s="232"/>
      <c r="BZ14" s="232" t="str">
        <f>IF(CB14&gt;2000,"CN","- - -")</f>
        <v>- - -</v>
      </c>
      <c r="CA14" s="232"/>
      <c r="CB14" s="232"/>
      <c r="CC14" s="232"/>
      <c r="CD14" s="232"/>
      <c r="CE14" s="232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32" t="e">
        <f>IF(AND(CQ14&gt;CP14,CQ14&lt;(CP14+13)),"Hưu",IF(AND(CQ14&gt;(CP14+12),CQ14&lt;1000),"Quá","/-/ /-/"))</f>
        <v>#REF!</v>
      </c>
      <c r="CG14" s="232" t="e">
        <f>IF((#REF!+0)&lt;12,(#REF!+0)+1,IF((#REF!+0)=12,1,IF((#REF!+0)&gt;12,(#REF!+0)-12)))</f>
        <v>#REF!</v>
      </c>
      <c r="CH14" s="232" t="e">
        <f>IF(OR((#REF!+0)=12,(#REF!+0)&gt;12),#REF!+CP14/12+1,IF(AND((#REF!+0)&gt;0,(#REF!+0)&lt;12),#REF!+CP14/12,"---"))</f>
        <v>#REF!</v>
      </c>
      <c r="CI14" s="232" t="e">
        <f>IF(AND(CG14&gt;3,CG14&lt;13),CG14-3,IF(CG14&lt;4,CG14-3+12))</f>
        <v>#REF!</v>
      </c>
      <c r="CJ14" s="232" t="e">
        <f>IF(CI14&lt;CG14,CH14,IF(CI14&gt;CG14,CH14-1))</f>
        <v>#REF!</v>
      </c>
      <c r="CK14" s="232" t="e">
        <f>IF(CG14&gt;6,CG14-6,IF(CG14=6,12,IF(CG14&lt;6,CG14+6)))</f>
        <v>#REF!</v>
      </c>
      <c r="CL14" s="232" t="e">
        <f>IF(CG14&gt;6,CH14,IF(CG14&lt;7,CH14-1))</f>
        <v>#REF!</v>
      </c>
      <c r="CM14" s="232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33" t="str">
        <f>IF(CO14&gt;0,"K.Dài",". .")</f>
        <v>. .</v>
      </c>
      <c r="CO14" s="230"/>
      <c r="CP14" s="234" t="e">
        <f>IF(#REF!="Nam",(60+CO14)*12,IF(#REF!="Nữ",(55+CO14)*12,))</f>
        <v>#REF!</v>
      </c>
      <c r="CQ14" s="235" t="e">
        <f>12*(#REF!-#REF!)+(12-#REF!)</f>
        <v>#REF!</v>
      </c>
      <c r="CR14" s="236" t="e">
        <f>#REF!-#REF!</f>
        <v>#REF!</v>
      </c>
      <c r="CS14" s="237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38"/>
      <c r="CU14" s="236"/>
      <c r="CV14" s="239" t="e">
        <f>IF(CR14&lt;31,"Đến 30",IF(AND(CR14&gt;30,CR14&lt;46),"31 - 45",IF(AND(CR14&gt;45,CR14&lt;70),"Trên 45")))</f>
        <v>#REF!</v>
      </c>
      <c r="CW14" s="327" t="str">
        <f>IF(CX14&gt;0,"TD","--")</f>
        <v>--</v>
      </c>
      <c r="CX14" s="327"/>
      <c r="CY14" s="238"/>
      <c r="CZ14" s="328"/>
      <c r="DA14" s="329"/>
      <c r="DB14" s="232"/>
      <c r="DC14" s="232"/>
      <c r="DD14" s="232"/>
      <c r="DE14" s="232"/>
      <c r="DF14" s="232"/>
      <c r="DG14" s="321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346">
        <v>1</v>
      </c>
      <c r="C15" s="346"/>
      <c r="D15" s="346">
        <v>2</v>
      </c>
      <c r="E15" s="346">
        <v>3</v>
      </c>
      <c r="F15" s="346"/>
      <c r="G15" s="346"/>
      <c r="H15" s="346"/>
      <c r="I15" s="346"/>
      <c r="J15" s="346"/>
      <c r="K15" s="346"/>
      <c r="L15" s="346"/>
      <c r="M15" s="346"/>
      <c r="N15" s="391">
        <v>4</v>
      </c>
      <c r="O15" s="391"/>
      <c r="P15" s="346"/>
      <c r="Q15" s="346"/>
      <c r="R15" s="346"/>
      <c r="S15" s="391">
        <v>5</v>
      </c>
      <c r="T15" s="391"/>
      <c r="U15" s="346">
        <v>5</v>
      </c>
      <c r="V15" s="346">
        <v>6</v>
      </c>
      <c r="W15" s="346"/>
      <c r="X15" s="391">
        <v>6</v>
      </c>
      <c r="Y15" s="391"/>
      <c r="Z15" s="391"/>
      <c r="AA15" s="346">
        <v>7</v>
      </c>
      <c r="AB15" s="391">
        <v>8</v>
      </c>
      <c r="AC15" s="391"/>
      <c r="AD15" s="391"/>
      <c r="AE15" s="346">
        <v>9</v>
      </c>
      <c r="AF15" s="391">
        <v>10</v>
      </c>
      <c r="AG15" s="391"/>
      <c r="AH15" s="391"/>
      <c r="AI15" s="391"/>
      <c r="AJ15" s="391"/>
      <c r="AK15" s="346">
        <v>12</v>
      </c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>
        <v>12</v>
      </c>
      <c r="AY15" s="346"/>
      <c r="AZ15" s="346"/>
      <c r="BA15" s="346"/>
      <c r="BB15" s="346"/>
      <c r="BC15" s="346"/>
      <c r="BD15" s="346"/>
      <c r="BE15" s="346"/>
      <c r="BF15" s="346"/>
      <c r="BG15" s="346"/>
      <c r="BH15" s="346">
        <v>11</v>
      </c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26" s="138" customFormat="1" ht="33" customHeight="1" x14ac:dyDescent="0.25">
      <c r="A16" s="152">
        <v>30</v>
      </c>
      <c r="B16" s="142">
        <v>1</v>
      </c>
      <c r="C16" s="142" t="str">
        <f t="shared" ref="C16:C29" si="0">IF(E16="Nam","Ông","Bà")</f>
        <v>Bà</v>
      </c>
      <c r="D16" s="153" t="s">
        <v>139</v>
      </c>
      <c r="E16" s="142" t="s">
        <v>32</v>
      </c>
      <c r="F16" s="154" t="s">
        <v>47</v>
      </c>
      <c r="G16" s="155" t="s">
        <v>10</v>
      </c>
      <c r="H16" s="155" t="s">
        <v>47</v>
      </c>
      <c r="I16" s="155" t="s">
        <v>10</v>
      </c>
      <c r="J16" s="156">
        <v>1970</v>
      </c>
      <c r="K16" s="337"/>
      <c r="L16" s="337"/>
      <c r="M16" s="337" t="e">
        <f>VLOOKUP(L16,'[1]- DLiêu Gốc -'!$B$2:$G$121,2,0)</f>
        <v>#N/A</v>
      </c>
      <c r="N16" s="338" t="s">
        <v>140</v>
      </c>
      <c r="O16" s="316" t="s">
        <v>107</v>
      </c>
      <c r="P16" s="157" t="str">
        <f>VLOOKUP(U16,'[1]- DLiêu Gốc -'!$B$2:$G$56,5,0)</f>
        <v>A1</v>
      </c>
      <c r="Q16" s="157" t="str">
        <f>VLOOKUP(U16,'[1]- DLiêu Gốc -'!$B$2:$G$56,6,0)</f>
        <v>- - -</v>
      </c>
      <c r="R16" s="158" t="s">
        <v>41</v>
      </c>
      <c r="S16" s="317" t="str">
        <f t="shared" ref="S16:S29" si="1">IF(OR(U16="Kỹ thuật viên đánh máy",U16="Nhân viên đánh máy",U16="Nhân viên kỹ thuật",U16="Nhân viên văn thư",U16="Nhân viên phục vụ",U16="Lái xe cơ quan",U16="Nhân viên bảo vệ"),"Nhân viên",U16)</f>
        <v>Chuyên viên</v>
      </c>
      <c r="T16" s="159" t="str">
        <f t="shared" ref="T16:T29" si="2">IF(S16="Nhân viên","01.005",V16)</f>
        <v>01.003</v>
      </c>
      <c r="U16" s="160" t="s">
        <v>110</v>
      </c>
      <c r="V16" s="159" t="str">
        <f>VLOOKUP(U16,'[1]- DLiêu Gốc -'!$B$1:$G$121,2,0)</f>
        <v>01.003</v>
      </c>
      <c r="W16" s="161" t="str">
        <f t="shared" ref="W16:W29" si="3">IF(OR(AND(AN16=36,AM16=3),AND(AN16=24,AM16=2),AND(AN16=12,AM16=1)),"Đến $",IF(AND(AN16&lt;12*10,OR(AND(AN16&gt;36,AM16=3),AND(AN16&gt;24,AN16&lt;120,AM16=2),AND(AN16&gt;12,AM16=1))),"Dừng $","Lương"))</f>
        <v>Lương</v>
      </c>
      <c r="X16" s="162">
        <v>4</v>
      </c>
      <c r="Y16" s="163" t="str">
        <f t="shared" ref="Y16:Y29" si="4">IF(Z16&gt;0,"/")</f>
        <v>/</v>
      </c>
      <c r="Z16" s="164">
        <f t="shared" ref="Z16:Z29" si="5">IF(OR(AR16=0.18,AR16=0.2),12,IF(AR16=0.31,10,IF(AR16=0.33,9,IF(AR16=0.34,8,IF(AR16=0.36,6)))))</f>
        <v>9</v>
      </c>
      <c r="AA16" s="165">
        <f t="shared" ref="AA16:AA29" si="6">AQ16+(X16-1)*AR16</f>
        <v>3.33</v>
      </c>
      <c r="AB16" s="166">
        <f t="shared" ref="AB16:AB29" si="7">X16+1</f>
        <v>5</v>
      </c>
      <c r="AC16" s="337" t="str">
        <f t="shared" ref="AC16:AC29" si="8">IF(Z16=X16,"%",IF(Z16&gt;X16,"/"))</f>
        <v>/</v>
      </c>
      <c r="AD16" s="164">
        <f t="shared" ref="AD16:AD29" si="9">IF(AND(Z16=X16,AB16=4),5,IF(AND(Z16=X16,AB16&gt;4),AB16+1,IF(Z16&gt;X16,Z16)))</f>
        <v>9</v>
      </c>
      <c r="AE16" s="339">
        <f t="shared" ref="AE16:AE29" si="10">IF(Z16=X16,"%",IF(Z16&gt;X16,AA16+AR16))</f>
        <v>3.66</v>
      </c>
      <c r="AF16" s="167" t="s">
        <v>9</v>
      </c>
      <c r="AG16" s="168" t="s">
        <v>10</v>
      </c>
      <c r="AH16" s="169" t="s">
        <v>40</v>
      </c>
      <c r="AI16" s="170" t="s">
        <v>10</v>
      </c>
      <c r="AJ16" s="171">
        <v>2015</v>
      </c>
      <c r="AK16" s="172"/>
      <c r="AL16" s="173"/>
      <c r="AM16" s="145">
        <f t="shared" ref="AM16:AM29" si="11">IF(AND(Z16&gt;X16,OR(AR16=0.18,AR16=0.2)),2,IF(AND(Z16&gt;X16,OR(AR16=0.31,AR16=0.33,AR16=0.34,AR16=0.36)),3,IF(Z16=X16,1)))</f>
        <v>3</v>
      </c>
      <c r="AN16" s="145">
        <f t="shared" ref="AN16:AN29" si="12">12*($W$2-AJ16)+($W$4-AH16)-AO16</f>
        <v>-24191</v>
      </c>
      <c r="AO16" s="139"/>
      <c r="AP16" s="174"/>
      <c r="AQ16" s="147">
        <f>VLOOKUP(U16,'[1]- DLiêu Gốc -'!$B$1:$E$56,3,0)</f>
        <v>2.34</v>
      </c>
      <c r="AR16" s="141">
        <f>VLOOKUP(U16,'[1]- DLiêu Gốc -'!$B$1:$E$56,4,0)</f>
        <v>0.33</v>
      </c>
      <c r="AS16" s="175"/>
      <c r="AT16" s="176" t="str">
        <f t="shared" ref="AT16:AT29" si="13">IF(AND(AU16&gt;3,BF16=12),"Đến %",IF(AND(AU16&gt;3,BF16&gt;12,BF16&lt;120),"Dừng %",IF(AND(AU16&gt;3,BF16&lt;12),"PCTN","o-o-o")))</f>
        <v>o-o-o</v>
      </c>
      <c r="AU16" s="177"/>
      <c r="AV16" s="177"/>
      <c r="AW16" s="141">
        <f t="shared" ref="AW16:AW29" si="14">IF(AU16&gt;3,AU16+1,0)</f>
        <v>0</v>
      </c>
      <c r="AX16" s="178"/>
      <c r="AY16" s="340"/>
      <c r="AZ16" s="144"/>
      <c r="BA16" s="144"/>
      <c r="BB16" s="144"/>
      <c r="BC16" s="144"/>
      <c r="BD16" s="144"/>
      <c r="BE16" s="144"/>
      <c r="BF16" s="146" t="str">
        <f t="shared" ref="BF16:BF29" si="15">IF(AU16&gt;3,(($AT$2-BA16)*12+($AT$4-AY16)-BC16),"- - -")</f>
        <v>- - -</v>
      </c>
      <c r="BG16" s="179" t="str">
        <f t="shared" ref="BG16:BG29" si="16">IF(AND(CF16="Hưu",AU16&gt;3),12-(12*(CL16-BA16)+(CK16-AY16))-BC16,"- - -")</f>
        <v>- - -</v>
      </c>
      <c r="BH16" s="315" t="str">
        <f t="shared" ref="BH16:BH29" si="17">IF(BK16="công chức","CC",IF(BK16="viên chức","VC",IF(BK16="người lao động","NLĐ","- - -")))</f>
        <v>NLĐ</v>
      </c>
      <c r="BI16" s="141"/>
      <c r="BJ16" s="142"/>
      <c r="BK16" s="139" t="s">
        <v>44</v>
      </c>
      <c r="BL16" s="366" t="str">
        <f t="shared" ref="BL16:BL29" si="18">IF(O16="Cơ sở Học viện Hành chính khu vực miền Trung","B",IF(O16="Phân viện Khu vực Tây Nguyên","C",IF(O16="Cơ sở Học viện Hành chính tại thành phố Hồ Chí Minh","D","A")))</f>
        <v>A</v>
      </c>
      <c r="BM16" s="139" t="str">
        <f t="shared" ref="BM16:BM29" si="19">IF(AND(AB16&gt;0,X16&lt;(Z16-1),BN16&gt;0,BN16&lt;13,OR(AND(BT16="Cùg Ng",($BM$2-BP16)&gt;AM16),BT16="- - -")),"Sớm TT","=&gt; s")</f>
        <v>=&gt; s</v>
      </c>
      <c r="BN16" s="367">
        <f t="shared" ref="BN16:BN29" si="20">IF(AM16=3,36-(12*($BM$2-AJ16)+(12-AH16)-AO16),IF(AM16=2,24-(12*($BM$2-AJ16)+(12-AH16)-AO16),"---"))</f>
        <v>24215</v>
      </c>
      <c r="BO16" s="368" t="str">
        <f t="shared" ref="BO16:BO29" si="21">IF(BP16&gt;1,"S","---")</f>
        <v>---</v>
      </c>
      <c r="BP16" s="369"/>
      <c r="BQ16" s="370"/>
      <c r="BR16" s="371"/>
      <c r="BS16" s="371"/>
      <c r="BT16" s="369" t="str">
        <f t="shared" ref="BT16:BT29" si="22">IF(T16=BQ16,"Cùg Ng","- - -")</f>
        <v>- - -</v>
      </c>
      <c r="BU16" s="372" t="str">
        <f t="shared" ref="BU16:BU29" si="23">IF(BW16&gt;2000,"NN","- - -")</f>
        <v>- - -</v>
      </c>
      <c r="BV16" s="139"/>
      <c r="BW16" s="139"/>
      <c r="BZ16" s="138" t="str">
        <f t="shared" ref="BZ16:BZ29" si="24">IF(CB16&gt;2000,"CN","- - -")</f>
        <v>- - -</v>
      </c>
      <c r="CE16" s="138" t="str">
        <f t="shared" ref="CE16:CE29" si="25">IF(AND(CF16="Hưu",X16&lt;(Z16-1),CM16&gt;0,CM16&lt;18,OR(AU16&lt;4,AND(AU16&gt;3,OR(BG16&lt;3,BG16&gt;5)))),"Lg Sớm",IF(AND(CF16="Hưu",X16&gt;(Z16-2),OR(AR16=0.33,AR16=0.34),OR(AU16&lt;4,AND(AU16&gt;3,OR(BG16&lt;3,BG16&gt;5)))),"Nâng Ngạch",IF(AND(CF16="Hưu",AM16=1,CM16&gt;2,CM16&lt;6,OR(AU16&lt;4,AND(AU16&gt;3,OR(BG16&lt;3,BG16&gt;5)))),"Nâng PcVK cùng QĐ",IF(AND(CF16="Hưu",AU16&gt;3,BG16&gt;2,BG16&lt;6,X16&lt;(Z16-1),CM16&gt;17,OR(AM16&gt;1,AND(AM16=1,OR(CM16&lt;3,CM16&gt;5)))),"Nâng PcNG cùng QĐ",IF(AND(CF16="Hưu",X16&lt;(Z16-1),CM16&gt;0,CM16&lt;18,AU16&gt;3,BG16&gt;2,BG16&lt;6),"Nâng Lg Sớm +(PcNG cùng QĐ)",IF(AND(CF16="Hưu",X16&gt;(Z16-2),OR(AR16=0.33,AR16=0.34),AU16&gt;3,BG16&gt;2,BG16&lt;6),"Nâng Ngạch +(PcNG cùng QĐ)",IF(AND(CF16="Hưu",AM16=1,CM16&gt;2,CM16&lt;6,AU16&gt;3,BG16&gt;2,BG16&lt;6),"Nâng (PcVK +PcNG) cùng QĐ",("---"))))))))</f>
        <v>---</v>
      </c>
      <c r="CF16" s="138" t="str">
        <f t="shared" ref="CF16:CF29" si="26">IF(AND(CQ16&gt;CP16,CQ16&lt;(CP16+13)),"Hưu",IF(AND(CQ16&gt;(CP16+12),CQ16&lt;1000),"Quá","/-/ /-/"))</f>
        <v>/-/ /-/</v>
      </c>
      <c r="CG16" s="138">
        <f t="shared" ref="CG16:CG29" si="27">IF((H16+0)&lt;12,(H16+0)+1,IF((H16+0)=12,1,IF((H16+0)&gt;12,(H16+0)-12)))</f>
        <v>11</v>
      </c>
      <c r="CH16" s="138">
        <f t="shared" ref="CH16:CH29" si="28">IF(OR((H16+0)=12,(H16+0)&gt;12),J16+CP16/12+1,IF(AND((H16+0)&gt;0,(H16+0)&lt;12),J16+CP16/12,"---"))</f>
        <v>2025</v>
      </c>
      <c r="CI16" s="138">
        <f t="shared" ref="CI16:CI29" si="29">IF(AND(CG16&gt;3,CG16&lt;13),CG16-3,IF(CG16&lt;4,CG16-3+12))</f>
        <v>8</v>
      </c>
      <c r="CJ16" s="138">
        <f t="shared" ref="CJ16:CJ29" si="30">IF(CI16&lt;CG16,CH16,IF(CI16&gt;CG16,CH16-1))</f>
        <v>2025</v>
      </c>
      <c r="CK16" s="138">
        <f t="shared" ref="CK16:CK29" si="31">IF(CG16&gt;6,CG16-6,IF(CG16=6,12,IF(CG16&lt;6,CG16+6)))</f>
        <v>5</v>
      </c>
      <c r="CL16" s="138">
        <f t="shared" ref="CL16:CL29" si="32">IF(CG16&gt;6,CH16,IF(CG16&lt;7,CH16-1))</f>
        <v>2025</v>
      </c>
      <c r="CM16" s="138" t="str">
        <f t="shared" ref="CM16:CM29" si="33">IF(AND(CF16="Hưu",AM16=3),36+AO16-(12*(CL16-AJ16)+(CK16-AH16)),IF(AND(CF16="Hưu",AM16=2),24+AO16-(12*(CL16-AJ16)+(CK16-AH16)),IF(AND(CF16="Hưu",AM16=1),12+AO16-(12*(CL16-AJ16)+(CK16-AH16)),"- - -")))</f>
        <v>- - -</v>
      </c>
      <c r="CN16" s="373" t="str">
        <f t="shared" ref="CN16:CN29" si="34">IF(CO16&gt;0,"K.Dài",". .")</f>
        <v>. .</v>
      </c>
      <c r="CO16" s="341"/>
      <c r="CP16" s="145">
        <f t="shared" ref="CP16:CP29" si="35">IF(E16="Nam",(60+CO16)*12,IF(E16="Nữ",(55+CO16)*12,))</f>
        <v>660</v>
      </c>
      <c r="CQ16" s="140">
        <f t="shared" ref="CQ16:CQ29" si="36">12*($CF$4-J16)+(12-H16)</f>
        <v>-23638</v>
      </c>
      <c r="CR16" s="174">
        <f t="shared" ref="CR16:CR29" si="37">$CV$4-J16</f>
        <v>-1970</v>
      </c>
      <c r="CS16" s="147" t="str">
        <f t="shared" ref="CS16:CS29" si="38">IF(AND(CR16&lt;35,E16="Nam"),"Nam dưới 35",IF(AND(CR16&lt;30,E16="Nữ"),"Nữ dưới 30",IF(AND(CR16&gt;34,CR16&lt;46,E16="Nam"),"Nam từ 35 - 45",IF(AND(CR16&gt;29,CR16&lt;41,E16="Nữ"),"Nữ từ 30 - 40",IF(AND(CR16&gt;45,CR16&lt;56,E16="Nam"),"Nam trên 45 - 55",IF(AND(CR16&gt;40,CR16&lt;51,E16="Nữ"),"Nữ trên 40 - 50",IF(AND(CR16&gt;55,E16="Nam"),"Nam trên 55","Nữ trên 50")))))))</f>
        <v>Nữ dưới 30</v>
      </c>
      <c r="CT16" s="141"/>
      <c r="CU16" s="175"/>
      <c r="CV16" s="176" t="str">
        <f t="shared" ref="CV16:CV29" si="39">IF(CR16&lt;31,"Đến 30",IF(AND(CR16&gt;30,CR16&lt;46),"31 - 45",IF(AND(CR16&gt;45,CR16&lt;70),"Trên 45")))</f>
        <v>Đến 30</v>
      </c>
      <c r="CW16" s="180" t="str">
        <f t="shared" ref="CW16:CW29" si="40">IF(CX16&gt;0,"TD","--")</f>
        <v>--</v>
      </c>
      <c r="CX16" s="180"/>
      <c r="CY16" s="141"/>
      <c r="CZ16" s="342"/>
      <c r="DA16" s="343"/>
      <c r="DB16" s="144"/>
      <c r="DC16" s="144"/>
      <c r="DG16" s="138" t="s">
        <v>140</v>
      </c>
      <c r="DH16" s="138" t="s">
        <v>9</v>
      </c>
      <c r="DI16" s="138" t="s">
        <v>10</v>
      </c>
      <c r="DJ16" s="138" t="s">
        <v>40</v>
      </c>
      <c r="DK16" s="138" t="s">
        <v>10</v>
      </c>
      <c r="DL16" s="138">
        <v>2012</v>
      </c>
      <c r="DM16" s="138">
        <f t="shared" ref="DM16:DM29" si="41">(DH16+0)-(DO16+0)</f>
        <v>0</v>
      </c>
      <c r="DN16" s="138" t="str">
        <f t="shared" ref="DN16:DN29" si="42">IF(DM16&gt;0,"Sửa","- - -")</f>
        <v>- - -</v>
      </c>
      <c r="DO16" s="138" t="s">
        <v>9</v>
      </c>
      <c r="DP16" s="138" t="s">
        <v>10</v>
      </c>
      <c r="DQ16" s="138" t="s">
        <v>40</v>
      </c>
      <c r="DR16" s="138" t="s">
        <v>10</v>
      </c>
      <c r="DS16" s="138">
        <v>2012</v>
      </c>
      <c r="DU16" s="138" t="str">
        <f t="shared" ref="DU16:DU29" si="43">IF(AND(AR16&gt;0.34,AB16=1,OR(AQ16=6.2,AQ16=5.75)),((AQ16-DT16)-2*0.34),IF(AND(AR16&gt;0.33,AB16=1,OR(AQ16=4.4,AQ16=4)),((AQ16-DT16)-2*0.33),"- - -"))</f>
        <v>- - -</v>
      </c>
      <c r="DV16" s="138" t="str">
        <f t="shared" ref="DV16:DV29" si="44">IF(CF16="Hưu",12*(CL16-AJ16)+(CK16-AH16),"---")</f>
        <v>---</v>
      </c>
    </row>
    <row r="17" spans="1:126" s="138" customFormat="1" ht="33" customHeight="1" x14ac:dyDescent="0.25">
      <c r="A17" s="152">
        <v>66</v>
      </c>
      <c r="B17" s="142">
        <v>2</v>
      </c>
      <c r="C17" s="142" t="str">
        <f t="shared" si="0"/>
        <v>Ông</v>
      </c>
      <c r="D17" s="153" t="s">
        <v>141</v>
      </c>
      <c r="E17" s="142" t="s">
        <v>39</v>
      </c>
      <c r="F17" s="154" t="s">
        <v>109</v>
      </c>
      <c r="G17" s="155" t="s">
        <v>10</v>
      </c>
      <c r="H17" s="155" t="s">
        <v>91</v>
      </c>
      <c r="I17" s="155" t="s">
        <v>10</v>
      </c>
      <c r="J17" s="156" t="s">
        <v>142</v>
      </c>
      <c r="K17" s="337"/>
      <c r="L17" s="337"/>
      <c r="M17" s="337" t="e">
        <f>VLOOKUP(L17,'[1]- DLiêu Gốc -'!$B$2:$G$121,2,0)</f>
        <v>#N/A</v>
      </c>
      <c r="N17" s="338" t="s">
        <v>124</v>
      </c>
      <c r="O17" s="316" t="s">
        <v>125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41</v>
      </c>
      <c r="S17" s="317" t="str">
        <f t="shared" si="1"/>
        <v>Chuyên viên</v>
      </c>
      <c r="T17" s="159" t="str">
        <f t="shared" si="2"/>
        <v>01.003</v>
      </c>
      <c r="U17" s="160" t="s">
        <v>110</v>
      </c>
      <c r="V17" s="159" t="str">
        <f>VLOOKUP(U17,'[1]- DLiêu Gốc -'!$B$1:$G$121,2,0)</f>
        <v>01.003</v>
      </c>
      <c r="W17" s="161" t="str">
        <f t="shared" si="3"/>
        <v>Lương</v>
      </c>
      <c r="X17" s="162">
        <v>7</v>
      </c>
      <c r="Y17" s="163" t="str">
        <f t="shared" si="4"/>
        <v>/</v>
      </c>
      <c r="Z17" s="164">
        <f t="shared" si="5"/>
        <v>9</v>
      </c>
      <c r="AA17" s="165">
        <f t="shared" si="6"/>
        <v>4.32</v>
      </c>
      <c r="AB17" s="166">
        <f t="shared" si="7"/>
        <v>8</v>
      </c>
      <c r="AC17" s="337" t="str">
        <f t="shared" si="8"/>
        <v>/</v>
      </c>
      <c r="AD17" s="164">
        <f t="shared" si="9"/>
        <v>9</v>
      </c>
      <c r="AE17" s="339">
        <f t="shared" si="10"/>
        <v>4.6500000000000004</v>
      </c>
      <c r="AF17" s="167" t="s">
        <v>9</v>
      </c>
      <c r="AG17" s="168" t="s">
        <v>10</v>
      </c>
      <c r="AH17" s="169" t="s">
        <v>40</v>
      </c>
      <c r="AI17" s="170" t="s">
        <v>10</v>
      </c>
      <c r="AJ17" s="171">
        <v>2015</v>
      </c>
      <c r="AK17" s="172"/>
      <c r="AL17" s="173"/>
      <c r="AM17" s="145">
        <f t="shared" si="11"/>
        <v>3</v>
      </c>
      <c r="AN17" s="145">
        <f t="shared" si="12"/>
        <v>-24191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si="13"/>
        <v>o-o-o</v>
      </c>
      <c r="AU17" s="177"/>
      <c r="AV17" s="177"/>
      <c r="AW17" s="141">
        <f t="shared" si="14"/>
        <v>0</v>
      </c>
      <c r="AX17" s="178"/>
      <c r="AY17" s="340"/>
      <c r="AZ17" s="144"/>
      <c r="BA17" s="144"/>
      <c r="BB17" s="144"/>
      <c r="BC17" s="144"/>
      <c r="BD17" s="144"/>
      <c r="BE17" s="144"/>
      <c r="BF17" s="146" t="str">
        <f t="shared" si="15"/>
        <v>- - -</v>
      </c>
      <c r="BG17" s="179" t="str">
        <f t="shared" si="16"/>
        <v>- - -</v>
      </c>
      <c r="BH17" s="315" t="str">
        <f t="shared" si="17"/>
        <v>VC</v>
      </c>
      <c r="BI17" s="141"/>
      <c r="BJ17" s="142"/>
      <c r="BK17" s="139" t="s">
        <v>108</v>
      </c>
      <c r="BL17" s="366" t="str">
        <f t="shared" si="18"/>
        <v>A</v>
      </c>
      <c r="BM17" s="139" t="str">
        <f t="shared" si="19"/>
        <v>=&gt; s</v>
      </c>
      <c r="BN17" s="367">
        <f t="shared" si="20"/>
        <v>24215</v>
      </c>
      <c r="BO17" s="368" t="str">
        <f t="shared" si="21"/>
        <v>---</v>
      </c>
      <c r="BP17" s="369"/>
      <c r="BQ17" s="370"/>
      <c r="BR17" s="371"/>
      <c r="BS17" s="371"/>
      <c r="BT17" s="369" t="str">
        <f t="shared" si="22"/>
        <v>- - -</v>
      </c>
      <c r="BU17" s="372" t="str">
        <f t="shared" si="23"/>
        <v>- - -</v>
      </c>
      <c r="BV17" s="139"/>
      <c r="BW17" s="139"/>
      <c r="BZ17" s="138" t="str">
        <f t="shared" si="24"/>
        <v>CN</v>
      </c>
      <c r="CA17" s="138">
        <v>6</v>
      </c>
      <c r="CB17" s="138">
        <v>2013</v>
      </c>
      <c r="CE17" s="138" t="str">
        <f t="shared" si="25"/>
        <v>---</v>
      </c>
      <c r="CF17" s="138" t="str">
        <f t="shared" si="26"/>
        <v>/-/ /-/</v>
      </c>
      <c r="CG17" s="138">
        <f t="shared" si="27"/>
        <v>4</v>
      </c>
      <c r="CH17" s="138">
        <f t="shared" si="28"/>
        <v>2030</v>
      </c>
      <c r="CI17" s="138">
        <f t="shared" si="29"/>
        <v>1</v>
      </c>
      <c r="CJ17" s="138">
        <f t="shared" si="30"/>
        <v>2030</v>
      </c>
      <c r="CK17" s="138">
        <f t="shared" si="31"/>
        <v>10</v>
      </c>
      <c r="CL17" s="138">
        <f t="shared" si="32"/>
        <v>2029</v>
      </c>
      <c r="CM17" s="138" t="str">
        <f t="shared" si="33"/>
        <v>- - -</v>
      </c>
      <c r="CN17" s="373" t="str">
        <f t="shared" si="34"/>
        <v>. .</v>
      </c>
      <c r="CO17" s="341"/>
      <c r="CP17" s="145">
        <f t="shared" si="35"/>
        <v>720</v>
      </c>
      <c r="CQ17" s="140">
        <f t="shared" si="36"/>
        <v>-23631</v>
      </c>
      <c r="CR17" s="174">
        <f t="shared" si="37"/>
        <v>-1970</v>
      </c>
      <c r="CS17" s="147" t="str">
        <f t="shared" si="38"/>
        <v>Nam dưới 35</v>
      </c>
      <c r="CT17" s="141"/>
      <c r="CU17" s="175"/>
      <c r="CV17" s="176" t="str">
        <f t="shared" si="39"/>
        <v>Đến 30</v>
      </c>
      <c r="CW17" s="180" t="str">
        <f t="shared" si="40"/>
        <v>--</v>
      </c>
      <c r="CX17" s="180"/>
      <c r="CY17" s="141" t="s">
        <v>105</v>
      </c>
      <c r="CZ17" s="342">
        <v>6</v>
      </c>
      <c r="DA17" s="343">
        <v>2013</v>
      </c>
      <c r="DB17" s="144"/>
      <c r="DC17" s="144"/>
      <c r="DG17" s="138" t="s">
        <v>124</v>
      </c>
      <c r="DH17" s="138" t="s">
        <v>9</v>
      </c>
      <c r="DI17" s="138" t="s">
        <v>10</v>
      </c>
      <c r="DJ17" s="138" t="s">
        <v>40</v>
      </c>
      <c r="DK17" s="138" t="s">
        <v>10</v>
      </c>
      <c r="DL17" s="138">
        <v>2012</v>
      </c>
      <c r="DM17" s="138">
        <f t="shared" si="41"/>
        <v>0</v>
      </c>
      <c r="DN17" s="138" t="str">
        <f t="shared" si="42"/>
        <v>- - -</v>
      </c>
      <c r="DO17" s="138" t="s">
        <v>9</v>
      </c>
      <c r="DP17" s="138" t="s">
        <v>10</v>
      </c>
      <c r="DQ17" s="138" t="s">
        <v>40</v>
      </c>
      <c r="DR17" s="138" t="s">
        <v>10</v>
      </c>
      <c r="DS17" s="138">
        <v>2012</v>
      </c>
      <c r="DU17" s="138" t="str">
        <f t="shared" si="43"/>
        <v>- - -</v>
      </c>
      <c r="DV17" s="138" t="str">
        <f t="shared" si="44"/>
        <v>---</v>
      </c>
    </row>
    <row r="18" spans="1:126" s="138" customFormat="1" ht="33" customHeight="1" x14ac:dyDescent="0.25">
      <c r="A18" s="152">
        <v>143</v>
      </c>
      <c r="B18" s="142">
        <v>3</v>
      </c>
      <c r="C18" s="142" t="str">
        <f t="shared" si="0"/>
        <v>Bà</v>
      </c>
      <c r="D18" s="153" t="s">
        <v>143</v>
      </c>
      <c r="E18" s="142" t="s">
        <v>32</v>
      </c>
      <c r="F18" s="154" t="s">
        <v>9</v>
      </c>
      <c r="G18" s="155" t="s">
        <v>10</v>
      </c>
      <c r="H18" s="155" t="s">
        <v>91</v>
      </c>
      <c r="I18" s="155" t="s">
        <v>10</v>
      </c>
      <c r="J18" s="156">
        <v>1985</v>
      </c>
      <c r="K18" s="337"/>
      <c r="L18" s="337"/>
      <c r="M18" s="337" t="e">
        <f>VLOOKUP(L18,'[1]- DLiêu Gốc -'!$B$2:$G$121,2,0)</f>
        <v>#N/A</v>
      </c>
      <c r="N18" s="338"/>
      <c r="O18" s="316" t="s">
        <v>126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41</v>
      </c>
      <c r="S18" s="317" t="str">
        <f t="shared" si="1"/>
        <v>Chuyên viên</v>
      </c>
      <c r="T18" s="159" t="str">
        <f t="shared" si="2"/>
        <v>01.003</v>
      </c>
      <c r="U18" s="160" t="s">
        <v>110</v>
      </c>
      <c r="V18" s="159" t="str">
        <f>VLOOKUP(U18,'[1]- DLiêu Gốc -'!$B$1:$G$121,2,0)</f>
        <v>01.003</v>
      </c>
      <c r="W18" s="161" t="str">
        <f t="shared" si="3"/>
        <v>Lương</v>
      </c>
      <c r="X18" s="162">
        <v>1</v>
      </c>
      <c r="Y18" s="163" t="str">
        <f t="shared" si="4"/>
        <v>/</v>
      </c>
      <c r="Z18" s="164">
        <f t="shared" si="5"/>
        <v>9</v>
      </c>
      <c r="AA18" s="165">
        <f t="shared" si="6"/>
        <v>2.34</v>
      </c>
      <c r="AB18" s="166">
        <f t="shared" si="7"/>
        <v>2</v>
      </c>
      <c r="AC18" s="337" t="str">
        <f t="shared" si="8"/>
        <v>/</v>
      </c>
      <c r="AD18" s="164">
        <f t="shared" si="9"/>
        <v>9</v>
      </c>
      <c r="AE18" s="339">
        <f t="shared" si="10"/>
        <v>2.67</v>
      </c>
      <c r="AF18" s="167" t="s">
        <v>9</v>
      </c>
      <c r="AG18" s="168" t="s">
        <v>10</v>
      </c>
      <c r="AH18" s="169" t="s">
        <v>40</v>
      </c>
      <c r="AI18" s="170" t="s">
        <v>10</v>
      </c>
      <c r="AJ18" s="171">
        <v>2015</v>
      </c>
      <c r="AK18" s="172"/>
      <c r="AL18" s="173"/>
      <c r="AM18" s="145">
        <f t="shared" si="11"/>
        <v>3</v>
      </c>
      <c r="AN18" s="145">
        <f t="shared" si="12"/>
        <v>-24191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40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315" t="str">
        <f t="shared" si="17"/>
        <v>NLĐ</v>
      </c>
      <c r="BI18" s="141"/>
      <c r="BJ18" s="142"/>
      <c r="BK18" s="139" t="s">
        <v>44</v>
      </c>
      <c r="BL18" s="366" t="str">
        <f t="shared" si="18"/>
        <v>A</v>
      </c>
      <c r="BM18" s="139" t="str">
        <f t="shared" si="19"/>
        <v>=&gt; s</v>
      </c>
      <c r="BN18" s="367">
        <f t="shared" si="20"/>
        <v>24215</v>
      </c>
      <c r="BO18" s="368" t="str">
        <f t="shared" si="21"/>
        <v>---</v>
      </c>
      <c r="BP18" s="369"/>
      <c r="BQ18" s="370"/>
      <c r="BR18" s="371"/>
      <c r="BS18" s="371"/>
      <c r="BT18" s="369" t="str">
        <f t="shared" si="22"/>
        <v>- - -</v>
      </c>
      <c r="BU18" s="372" t="str">
        <f t="shared" si="23"/>
        <v>- - -</v>
      </c>
      <c r="BV18" s="139"/>
      <c r="BW18" s="139"/>
      <c r="BZ18" s="138" t="str">
        <f t="shared" si="24"/>
        <v>- - -</v>
      </c>
      <c r="CE18" s="138" t="str">
        <f t="shared" si="25"/>
        <v>---</v>
      </c>
      <c r="CF18" s="138" t="str">
        <f t="shared" si="26"/>
        <v>/-/ /-/</v>
      </c>
      <c r="CG18" s="138">
        <f t="shared" si="27"/>
        <v>4</v>
      </c>
      <c r="CH18" s="138">
        <f t="shared" si="28"/>
        <v>2040</v>
      </c>
      <c r="CI18" s="138">
        <f t="shared" si="29"/>
        <v>1</v>
      </c>
      <c r="CJ18" s="138">
        <f t="shared" si="30"/>
        <v>2040</v>
      </c>
      <c r="CK18" s="138">
        <f t="shared" si="31"/>
        <v>10</v>
      </c>
      <c r="CL18" s="138">
        <f t="shared" si="32"/>
        <v>2039</v>
      </c>
      <c r="CM18" s="138" t="str">
        <f t="shared" si="33"/>
        <v>- - -</v>
      </c>
      <c r="CN18" s="373" t="str">
        <f t="shared" si="34"/>
        <v>. .</v>
      </c>
      <c r="CO18" s="341"/>
      <c r="CP18" s="145">
        <f t="shared" si="35"/>
        <v>660</v>
      </c>
      <c r="CQ18" s="140">
        <f t="shared" si="36"/>
        <v>-23811</v>
      </c>
      <c r="CR18" s="174">
        <f t="shared" si="37"/>
        <v>-1985</v>
      </c>
      <c r="CS18" s="147" t="str">
        <f t="shared" si="38"/>
        <v>Nữ dưới 30</v>
      </c>
      <c r="CT18" s="141"/>
      <c r="CU18" s="175"/>
      <c r="CV18" s="176" t="str">
        <f t="shared" si="39"/>
        <v>Đến 30</v>
      </c>
      <c r="CW18" s="180" t="str">
        <f t="shared" si="40"/>
        <v>--</v>
      </c>
      <c r="CX18" s="180"/>
      <c r="CY18" s="141"/>
      <c r="CZ18" s="342"/>
      <c r="DA18" s="343"/>
      <c r="DB18" s="144"/>
      <c r="DC18" s="144"/>
      <c r="DH18" s="138" t="s">
        <v>9</v>
      </c>
      <c r="DI18" s="138" t="s">
        <v>10</v>
      </c>
      <c r="DJ18" s="138" t="s">
        <v>40</v>
      </c>
      <c r="DK18" s="138" t="s">
        <v>10</v>
      </c>
      <c r="DL18" s="138" t="s">
        <v>42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40</v>
      </c>
      <c r="DR18" s="138" t="s">
        <v>10</v>
      </c>
      <c r="DS18" s="138" t="s">
        <v>42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3" customHeight="1" x14ac:dyDescent="0.25">
      <c r="A19" s="152">
        <v>146</v>
      </c>
      <c r="B19" s="142">
        <v>4</v>
      </c>
      <c r="C19" s="142" t="str">
        <f t="shared" si="0"/>
        <v>Ông</v>
      </c>
      <c r="D19" s="153" t="s">
        <v>144</v>
      </c>
      <c r="E19" s="142" t="s">
        <v>39</v>
      </c>
      <c r="F19" s="154" t="s">
        <v>145</v>
      </c>
      <c r="G19" s="155" t="s">
        <v>10</v>
      </c>
      <c r="H19" s="155" t="s">
        <v>98</v>
      </c>
      <c r="I19" s="155" t="s">
        <v>10</v>
      </c>
      <c r="J19" s="156" t="s">
        <v>135</v>
      </c>
      <c r="K19" s="337"/>
      <c r="L19" s="337"/>
      <c r="M19" s="337" t="e">
        <f>VLOOKUP(L19,'[1]- DLiêu Gốc -'!$B$2:$G$121,2,0)</f>
        <v>#N/A</v>
      </c>
      <c r="N19" s="338" t="s">
        <v>146</v>
      </c>
      <c r="O19" s="316" t="s">
        <v>126</v>
      </c>
      <c r="P19" s="157" t="str">
        <f>VLOOKUP(U19,'[1]- DLiêu Gốc -'!$B$2:$G$56,5,0)</f>
        <v>A1</v>
      </c>
      <c r="Q19" s="157" t="str">
        <f>VLOOKUP(U19,'[1]- DLiêu Gốc -'!$B$2:$G$56,6,0)</f>
        <v>- - -</v>
      </c>
      <c r="R19" s="158" t="s">
        <v>34</v>
      </c>
      <c r="S19" s="317" t="str">
        <f t="shared" si="1"/>
        <v>Giảng viên (hạng III)</v>
      </c>
      <c r="T19" s="159" t="str">
        <f t="shared" si="2"/>
        <v>V.07.01.03</v>
      </c>
      <c r="U19" s="160" t="s">
        <v>35</v>
      </c>
      <c r="V19" s="159" t="str">
        <f>VLOOKUP(U19,'[1]- DLiêu Gốc -'!$B$1:$G$121,2,0)</f>
        <v>V.07.01.03</v>
      </c>
      <c r="W19" s="161" t="str">
        <f t="shared" si="3"/>
        <v>Lương</v>
      </c>
      <c r="X19" s="162">
        <v>4</v>
      </c>
      <c r="Y19" s="163" t="str">
        <f t="shared" si="4"/>
        <v>/</v>
      </c>
      <c r="Z19" s="164">
        <f t="shared" si="5"/>
        <v>9</v>
      </c>
      <c r="AA19" s="165">
        <f t="shared" si="6"/>
        <v>3.33</v>
      </c>
      <c r="AB19" s="166">
        <f t="shared" si="7"/>
        <v>5</v>
      </c>
      <c r="AC19" s="337" t="str">
        <f t="shared" si="8"/>
        <v>/</v>
      </c>
      <c r="AD19" s="164">
        <f t="shared" si="9"/>
        <v>9</v>
      </c>
      <c r="AE19" s="339">
        <f t="shared" si="10"/>
        <v>3.66</v>
      </c>
      <c r="AF19" s="167" t="s">
        <v>9</v>
      </c>
      <c r="AG19" s="168" t="s">
        <v>10</v>
      </c>
      <c r="AH19" s="169" t="s">
        <v>40</v>
      </c>
      <c r="AI19" s="170" t="s">
        <v>10</v>
      </c>
      <c r="AJ19" s="171">
        <v>2015</v>
      </c>
      <c r="AK19" s="172" t="s">
        <v>129</v>
      </c>
      <c r="AL19" s="173"/>
      <c r="AM19" s="145">
        <f t="shared" si="11"/>
        <v>3</v>
      </c>
      <c r="AN19" s="145">
        <f t="shared" si="12"/>
        <v>-24191</v>
      </c>
      <c r="AO19" s="139"/>
      <c r="AP19" s="174"/>
      <c r="AQ19" s="147">
        <f>VLOOKUP(U19,'[1]- DLiêu Gốc -'!$B$1:$E$56,3,0)</f>
        <v>2.34</v>
      </c>
      <c r="AR19" s="141">
        <f>VLOOKUP(U19,'[1]- DLiêu Gốc -'!$B$1:$E$56,4,0)</f>
        <v>0.33</v>
      </c>
      <c r="AS19" s="175"/>
      <c r="AT19" s="176" t="str">
        <f t="shared" si="13"/>
        <v>PCTN</v>
      </c>
      <c r="AU19" s="177">
        <v>8</v>
      </c>
      <c r="AV19" s="177" t="s">
        <v>38</v>
      </c>
      <c r="AW19" s="141">
        <f t="shared" si="14"/>
        <v>9</v>
      </c>
      <c r="AX19" s="178" t="s">
        <v>38</v>
      </c>
      <c r="AY19" s="340">
        <v>11</v>
      </c>
      <c r="AZ19" s="144" t="s">
        <v>10</v>
      </c>
      <c r="BA19" s="144">
        <v>2014</v>
      </c>
      <c r="BB19" s="144"/>
      <c r="BC19" s="144"/>
      <c r="BD19" s="144"/>
      <c r="BE19" s="144">
        <v>11</v>
      </c>
      <c r="BF19" s="146">
        <f t="shared" si="15"/>
        <v>-24179</v>
      </c>
      <c r="BG19" s="179" t="str">
        <f t="shared" si="16"/>
        <v>- - -</v>
      </c>
      <c r="BH19" s="315" t="str">
        <f t="shared" si="17"/>
        <v>VC</v>
      </c>
      <c r="BI19" s="141"/>
      <c r="BJ19" s="142"/>
      <c r="BK19" s="139" t="s">
        <v>108</v>
      </c>
      <c r="BL19" s="366" t="str">
        <f t="shared" si="18"/>
        <v>A</v>
      </c>
      <c r="BM19" s="139" t="str">
        <f t="shared" si="19"/>
        <v>=&gt; s</v>
      </c>
      <c r="BN19" s="367">
        <f t="shared" si="20"/>
        <v>24215</v>
      </c>
      <c r="BO19" s="368" t="str">
        <f t="shared" si="21"/>
        <v>S</v>
      </c>
      <c r="BP19" s="369">
        <v>2012</v>
      </c>
      <c r="BQ19" s="370" t="s">
        <v>36</v>
      </c>
      <c r="BR19" s="371"/>
      <c r="BS19" s="371"/>
      <c r="BT19" s="369" t="str">
        <f t="shared" si="22"/>
        <v>Cùg Ng</v>
      </c>
      <c r="BU19" s="372" t="str">
        <f t="shared" si="23"/>
        <v>- - -</v>
      </c>
      <c r="BV19" s="139"/>
      <c r="BW19" s="139"/>
      <c r="BZ19" s="138" t="str">
        <f t="shared" si="24"/>
        <v>- - -</v>
      </c>
      <c r="CE19" s="138" t="str">
        <f t="shared" si="25"/>
        <v>---</v>
      </c>
      <c r="CF19" s="138" t="str">
        <f t="shared" si="26"/>
        <v>/-/ /-/</v>
      </c>
      <c r="CG19" s="138">
        <f t="shared" si="27"/>
        <v>10</v>
      </c>
      <c r="CH19" s="138">
        <f t="shared" si="28"/>
        <v>2037</v>
      </c>
      <c r="CI19" s="138">
        <f t="shared" si="29"/>
        <v>7</v>
      </c>
      <c r="CJ19" s="138">
        <f t="shared" si="30"/>
        <v>2037</v>
      </c>
      <c r="CK19" s="138">
        <f t="shared" si="31"/>
        <v>4</v>
      </c>
      <c r="CL19" s="138">
        <f t="shared" si="32"/>
        <v>2037</v>
      </c>
      <c r="CM19" s="138" t="str">
        <f t="shared" si="33"/>
        <v>- - -</v>
      </c>
      <c r="CN19" s="373" t="str">
        <f t="shared" si="34"/>
        <v>. .</v>
      </c>
      <c r="CO19" s="341"/>
      <c r="CP19" s="145">
        <f t="shared" si="35"/>
        <v>720</v>
      </c>
      <c r="CQ19" s="140">
        <f t="shared" si="36"/>
        <v>-23721</v>
      </c>
      <c r="CR19" s="174">
        <f t="shared" si="37"/>
        <v>-1977</v>
      </c>
      <c r="CS19" s="147" t="str">
        <f t="shared" si="38"/>
        <v>Nam dưới 35</v>
      </c>
      <c r="CT19" s="141"/>
      <c r="CU19" s="175"/>
      <c r="CV19" s="176" t="str">
        <f t="shared" si="39"/>
        <v>Đến 30</v>
      </c>
      <c r="CW19" s="180" t="str">
        <f t="shared" si="40"/>
        <v>TD</v>
      </c>
      <c r="CX19" s="180">
        <v>2012</v>
      </c>
      <c r="CY19" s="141"/>
      <c r="CZ19" s="342"/>
      <c r="DA19" s="343"/>
      <c r="DB19" s="144"/>
      <c r="DC19" s="144"/>
      <c r="DG19" s="138" t="s">
        <v>146</v>
      </c>
      <c r="DH19" s="138" t="s">
        <v>9</v>
      </c>
      <c r="DI19" s="138" t="s">
        <v>10</v>
      </c>
      <c r="DJ19" s="138" t="s">
        <v>40</v>
      </c>
      <c r="DK19" s="138" t="s">
        <v>10</v>
      </c>
      <c r="DL19" s="138">
        <v>2012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40</v>
      </c>
      <c r="DR19" s="138" t="s">
        <v>10</v>
      </c>
      <c r="DS19" s="138">
        <v>2012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3" customHeight="1" x14ac:dyDescent="0.25">
      <c r="A20" s="152">
        <v>170</v>
      </c>
      <c r="B20" s="142">
        <v>5</v>
      </c>
      <c r="C20" s="142" t="str">
        <f t="shared" si="0"/>
        <v>Bà</v>
      </c>
      <c r="D20" s="153" t="s">
        <v>132</v>
      </c>
      <c r="E20" s="142" t="s">
        <v>32</v>
      </c>
      <c r="F20" s="154" t="s">
        <v>9</v>
      </c>
      <c r="G20" s="155" t="s">
        <v>10</v>
      </c>
      <c r="H20" s="155" t="s">
        <v>98</v>
      </c>
      <c r="I20" s="155" t="s">
        <v>10</v>
      </c>
      <c r="J20" s="156" t="s">
        <v>116</v>
      </c>
      <c r="K20" s="337"/>
      <c r="L20" s="337"/>
      <c r="M20" s="337" t="e">
        <f>VLOOKUP(L20,'[1]- DLiêu Gốc -'!$B$2:$G$121,2,0)</f>
        <v>#N/A</v>
      </c>
      <c r="N20" s="338" t="s">
        <v>133</v>
      </c>
      <c r="O20" s="316" t="s">
        <v>126</v>
      </c>
      <c r="P20" s="157" t="str">
        <f>VLOOKUP(U20,'[1]- DLiêu Gốc -'!$B$2:$G$56,5,0)</f>
        <v>A1</v>
      </c>
      <c r="Q20" s="157" t="str">
        <f>VLOOKUP(U20,'[1]- DLiêu Gốc -'!$B$2:$G$56,6,0)</f>
        <v>- - -</v>
      </c>
      <c r="R20" s="158" t="s">
        <v>34</v>
      </c>
      <c r="S20" s="317" t="str">
        <f t="shared" si="1"/>
        <v>Giảng viên (hạng III)</v>
      </c>
      <c r="T20" s="159" t="str">
        <f t="shared" si="2"/>
        <v>V.07.01.03</v>
      </c>
      <c r="U20" s="160" t="s">
        <v>35</v>
      </c>
      <c r="V20" s="159" t="str">
        <f>VLOOKUP(U20,'[1]- DLiêu Gốc -'!$B$1:$G$121,2,0)</f>
        <v>V.07.01.03</v>
      </c>
      <c r="W20" s="161" t="str">
        <f t="shared" si="3"/>
        <v>Lương</v>
      </c>
      <c r="X20" s="162">
        <v>5</v>
      </c>
      <c r="Y20" s="163" t="str">
        <f t="shared" si="4"/>
        <v>/</v>
      </c>
      <c r="Z20" s="164">
        <f t="shared" si="5"/>
        <v>9</v>
      </c>
      <c r="AA20" s="165">
        <f t="shared" si="6"/>
        <v>3.66</v>
      </c>
      <c r="AB20" s="166">
        <f t="shared" si="7"/>
        <v>6</v>
      </c>
      <c r="AC20" s="337" t="str">
        <f t="shared" si="8"/>
        <v>/</v>
      </c>
      <c r="AD20" s="164">
        <f t="shared" si="9"/>
        <v>9</v>
      </c>
      <c r="AE20" s="339">
        <f t="shared" si="10"/>
        <v>3.99</v>
      </c>
      <c r="AF20" s="167" t="s">
        <v>9</v>
      </c>
      <c r="AG20" s="168" t="s">
        <v>10</v>
      </c>
      <c r="AH20" s="169" t="s">
        <v>40</v>
      </c>
      <c r="AI20" s="170" t="s">
        <v>10</v>
      </c>
      <c r="AJ20" s="171">
        <v>2015</v>
      </c>
      <c r="AK20" s="172"/>
      <c r="AL20" s="173"/>
      <c r="AM20" s="145">
        <f t="shared" si="11"/>
        <v>3</v>
      </c>
      <c r="AN20" s="145">
        <f t="shared" si="12"/>
        <v>-24191</v>
      </c>
      <c r="AO20" s="139"/>
      <c r="AP20" s="174"/>
      <c r="AQ20" s="147">
        <f>VLOOKUP(U20,'[1]- DLiêu Gốc -'!$B$1:$E$56,3,0)</f>
        <v>2.34</v>
      </c>
      <c r="AR20" s="141">
        <f>VLOOKUP(U20,'[1]- DLiêu Gốc -'!$B$1:$E$56,4,0)</f>
        <v>0.33</v>
      </c>
      <c r="AS20" s="175"/>
      <c r="AT20" s="176" t="str">
        <f t="shared" si="13"/>
        <v>PCTN</v>
      </c>
      <c r="AU20" s="177">
        <v>14</v>
      </c>
      <c r="AV20" s="177" t="s">
        <v>38</v>
      </c>
      <c r="AW20" s="141">
        <f t="shared" si="14"/>
        <v>15</v>
      </c>
      <c r="AX20" s="178" t="s">
        <v>38</v>
      </c>
      <c r="AY20" s="340">
        <v>10</v>
      </c>
      <c r="AZ20" s="144" t="s">
        <v>10</v>
      </c>
      <c r="BA20" s="144">
        <v>2015</v>
      </c>
      <c r="BB20" s="144"/>
      <c r="BC20" s="144"/>
      <c r="BD20" s="144"/>
      <c r="BE20" s="144">
        <v>10</v>
      </c>
      <c r="BF20" s="146">
        <f t="shared" si="15"/>
        <v>-24190</v>
      </c>
      <c r="BG20" s="179" t="str">
        <f t="shared" si="16"/>
        <v>- - -</v>
      </c>
      <c r="BH20" s="315" t="str">
        <f t="shared" si="17"/>
        <v>VC</v>
      </c>
      <c r="BI20" s="141"/>
      <c r="BJ20" s="142"/>
      <c r="BK20" s="139" t="s">
        <v>108</v>
      </c>
      <c r="BL20" s="366" t="str">
        <f t="shared" si="18"/>
        <v>A</v>
      </c>
      <c r="BM20" s="139" t="str">
        <f t="shared" si="19"/>
        <v>=&gt; s</v>
      </c>
      <c r="BN20" s="367">
        <f t="shared" si="20"/>
        <v>24215</v>
      </c>
      <c r="BO20" s="368" t="str">
        <f t="shared" si="21"/>
        <v>---</v>
      </c>
      <c r="BP20" s="369"/>
      <c r="BQ20" s="370"/>
      <c r="BR20" s="371"/>
      <c r="BS20" s="371"/>
      <c r="BT20" s="369" t="str">
        <f t="shared" si="22"/>
        <v>- - -</v>
      </c>
      <c r="BU20" s="372" t="str">
        <f t="shared" si="23"/>
        <v>- - -</v>
      </c>
      <c r="BV20" s="139"/>
      <c r="BW20" s="139"/>
      <c r="BZ20" s="138" t="str">
        <f t="shared" si="24"/>
        <v>- - -</v>
      </c>
      <c r="CE20" s="138" t="str">
        <f t="shared" si="25"/>
        <v>---</v>
      </c>
      <c r="CF20" s="138" t="str">
        <f t="shared" si="26"/>
        <v>/-/ /-/</v>
      </c>
      <c r="CG20" s="138">
        <f t="shared" si="27"/>
        <v>10</v>
      </c>
      <c r="CH20" s="138">
        <f t="shared" si="28"/>
        <v>2031</v>
      </c>
      <c r="CI20" s="138">
        <f t="shared" si="29"/>
        <v>7</v>
      </c>
      <c r="CJ20" s="138">
        <f t="shared" si="30"/>
        <v>2031</v>
      </c>
      <c r="CK20" s="138">
        <f t="shared" si="31"/>
        <v>4</v>
      </c>
      <c r="CL20" s="138">
        <f t="shared" si="32"/>
        <v>2031</v>
      </c>
      <c r="CM20" s="138" t="str">
        <f t="shared" si="33"/>
        <v>- - -</v>
      </c>
      <c r="CN20" s="373" t="str">
        <f t="shared" si="34"/>
        <v>. .</v>
      </c>
      <c r="CO20" s="341"/>
      <c r="CP20" s="145">
        <f t="shared" si="35"/>
        <v>660</v>
      </c>
      <c r="CQ20" s="140">
        <f t="shared" si="36"/>
        <v>-23709</v>
      </c>
      <c r="CR20" s="174">
        <f t="shared" si="37"/>
        <v>-1976</v>
      </c>
      <c r="CS20" s="147" t="str">
        <f t="shared" si="38"/>
        <v>Nữ dưới 30</v>
      </c>
      <c r="CT20" s="141"/>
      <c r="CU20" s="175"/>
      <c r="CV20" s="176" t="str">
        <f t="shared" si="39"/>
        <v>Đến 30</v>
      </c>
      <c r="CW20" s="180" t="str">
        <f t="shared" si="40"/>
        <v>--</v>
      </c>
      <c r="CX20" s="180"/>
      <c r="CY20" s="141"/>
      <c r="CZ20" s="342"/>
      <c r="DA20" s="343"/>
      <c r="DB20" s="144"/>
      <c r="DC20" s="144"/>
      <c r="DG20" s="138" t="s">
        <v>133</v>
      </c>
      <c r="DH20" s="138" t="s">
        <v>9</v>
      </c>
      <c r="DI20" s="138" t="s">
        <v>10</v>
      </c>
      <c r="DJ20" s="138" t="s">
        <v>40</v>
      </c>
      <c r="DK20" s="138" t="s">
        <v>10</v>
      </c>
      <c r="DL20" s="138">
        <v>2012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 t="s">
        <v>40</v>
      </c>
      <c r="DR20" s="138" t="s">
        <v>10</v>
      </c>
      <c r="DS20" s="138">
        <v>2012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3" customHeight="1" x14ac:dyDescent="0.25">
      <c r="A21" s="152">
        <v>183</v>
      </c>
      <c r="B21" s="142">
        <v>6</v>
      </c>
      <c r="C21" s="142" t="str">
        <f t="shared" si="0"/>
        <v>Bà</v>
      </c>
      <c r="D21" s="153" t="s">
        <v>147</v>
      </c>
      <c r="E21" s="142" t="s">
        <v>32</v>
      </c>
      <c r="F21" s="154" t="s">
        <v>97</v>
      </c>
      <c r="G21" s="155" t="s">
        <v>10</v>
      </c>
      <c r="H21" s="155" t="s">
        <v>40</v>
      </c>
      <c r="I21" s="155" t="s">
        <v>10</v>
      </c>
      <c r="J21" s="156">
        <v>1980</v>
      </c>
      <c r="K21" s="337"/>
      <c r="L21" s="337"/>
      <c r="M21" s="337" t="e">
        <f>VLOOKUP(L21,'[1]- DLiêu Gốc -'!$B$2:$G$121,2,0)</f>
        <v>#N/A</v>
      </c>
      <c r="N21" s="338" t="s">
        <v>101</v>
      </c>
      <c r="O21" s="316" t="s">
        <v>96</v>
      </c>
      <c r="P21" s="157" t="str">
        <f>VLOOKUP(U21,'[1]- DLiêu Gốc -'!$B$2:$G$56,5,0)</f>
        <v>A1</v>
      </c>
      <c r="Q21" s="157" t="str">
        <f>VLOOKUP(U21,'[1]- DLiêu Gốc -'!$B$2:$G$56,6,0)</f>
        <v>- - -</v>
      </c>
      <c r="R21" s="158" t="s">
        <v>41</v>
      </c>
      <c r="S21" s="317" t="str">
        <f t="shared" si="1"/>
        <v>Giáo viên trung học</v>
      </c>
      <c r="T21" s="159" t="str">
        <f t="shared" si="2"/>
        <v>15.113</v>
      </c>
      <c r="U21" s="160" t="s">
        <v>117</v>
      </c>
      <c r="V21" s="159" t="str">
        <f>VLOOKUP(U21,'[1]- DLiêu Gốc -'!$B$1:$G$121,2,0)</f>
        <v>15.113</v>
      </c>
      <c r="W21" s="161" t="str">
        <f t="shared" si="3"/>
        <v>Lương</v>
      </c>
      <c r="X21" s="162">
        <v>4</v>
      </c>
      <c r="Y21" s="163" t="str">
        <f t="shared" si="4"/>
        <v>/</v>
      </c>
      <c r="Z21" s="164">
        <f t="shared" si="5"/>
        <v>9</v>
      </c>
      <c r="AA21" s="165">
        <f t="shared" si="6"/>
        <v>3.33</v>
      </c>
      <c r="AB21" s="166">
        <f t="shared" si="7"/>
        <v>5</v>
      </c>
      <c r="AC21" s="337" t="str">
        <f t="shared" si="8"/>
        <v>/</v>
      </c>
      <c r="AD21" s="164">
        <f t="shared" si="9"/>
        <v>9</v>
      </c>
      <c r="AE21" s="339">
        <f t="shared" si="10"/>
        <v>3.66</v>
      </c>
      <c r="AF21" s="167" t="s">
        <v>9</v>
      </c>
      <c r="AG21" s="168"/>
      <c r="AH21" s="169" t="s">
        <v>40</v>
      </c>
      <c r="AI21" s="170"/>
      <c r="AJ21" s="171">
        <v>2015</v>
      </c>
      <c r="AK21" s="172"/>
      <c r="AL21" s="173"/>
      <c r="AM21" s="145">
        <f t="shared" si="11"/>
        <v>3</v>
      </c>
      <c r="AN21" s="145">
        <f t="shared" si="12"/>
        <v>-24191</v>
      </c>
      <c r="AO21" s="139"/>
      <c r="AP21" s="174"/>
      <c r="AQ21" s="147">
        <f>VLOOKUP(U21,'[1]- DLiêu Gốc -'!$B$1:$E$56,3,0)</f>
        <v>2.34</v>
      </c>
      <c r="AR21" s="141">
        <f>VLOOKUP(U21,'[1]- DLiêu Gốc -'!$B$1:$E$56,4,0)</f>
        <v>0.33</v>
      </c>
      <c r="AS21" s="175"/>
      <c r="AT21" s="176" t="str">
        <f t="shared" si="13"/>
        <v>PCTN</v>
      </c>
      <c r="AU21" s="177">
        <v>10</v>
      </c>
      <c r="AV21" s="177" t="s">
        <v>38</v>
      </c>
      <c r="AW21" s="141">
        <f t="shared" si="14"/>
        <v>11</v>
      </c>
      <c r="AX21" s="178" t="s">
        <v>38</v>
      </c>
      <c r="AY21" s="340">
        <v>11</v>
      </c>
      <c r="AZ21" s="144" t="s">
        <v>10</v>
      </c>
      <c r="BA21" s="144">
        <v>2014</v>
      </c>
      <c r="BB21" s="144" t="s">
        <v>148</v>
      </c>
      <c r="BC21" s="144"/>
      <c r="BD21" s="144"/>
      <c r="BE21" s="144">
        <v>11</v>
      </c>
      <c r="BF21" s="146">
        <f t="shared" si="15"/>
        <v>-24179</v>
      </c>
      <c r="BG21" s="179" t="str">
        <f t="shared" si="16"/>
        <v>- - -</v>
      </c>
      <c r="BH21" s="315" t="str">
        <f t="shared" si="17"/>
        <v>VC</v>
      </c>
      <c r="BI21" s="141"/>
      <c r="BJ21" s="142"/>
      <c r="BK21" s="139" t="s">
        <v>108</v>
      </c>
      <c r="BL21" s="366" t="str">
        <f t="shared" si="18"/>
        <v>A</v>
      </c>
      <c r="BM21" s="139" t="str">
        <f t="shared" si="19"/>
        <v>=&gt; s</v>
      </c>
      <c r="BN21" s="367">
        <f t="shared" si="20"/>
        <v>24215</v>
      </c>
      <c r="BO21" s="368" t="str">
        <f t="shared" si="21"/>
        <v>---</v>
      </c>
      <c r="BP21" s="369"/>
      <c r="BQ21" s="370"/>
      <c r="BR21" s="371"/>
      <c r="BS21" s="371"/>
      <c r="BT21" s="369" t="str">
        <f t="shared" si="22"/>
        <v>- - -</v>
      </c>
      <c r="BU21" s="372" t="str">
        <f t="shared" si="23"/>
        <v>- - -</v>
      </c>
      <c r="BV21" s="139"/>
      <c r="BW21" s="139"/>
      <c r="BZ21" s="138" t="str">
        <f t="shared" si="24"/>
        <v>- - -</v>
      </c>
      <c r="CE21" s="138" t="str">
        <f t="shared" si="25"/>
        <v>---</v>
      </c>
      <c r="CF21" s="138" t="str">
        <f t="shared" si="26"/>
        <v>/-/ /-/</v>
      </c>
      <c r="CG21" s="138">
        <f t="shared" si="27"/>
        <v>12</v>
      </c>
      <c r="CH21" s="138">
        <f t="shared" si="28"/>
        <v>2035</v>
      </c>
      <c r="CI21" s="138">
        <f t="shared" si="29"/>
        <v>9</v>
      </c>
      <c r="CJ21" s="138">
        <f t="shared" si="30"/>
        <v>2035</v>
      </c>
      <c r="CK21" s="138">
        <f t="shared" si="31"/>
        <v>6</v>
      </c>
      <c r="CL21" s="138">
        <f t="shared" si="32"/>
        <v>2035</v>
      </c>
      <c r="CM21" s="138" t="str">
        <f t="shared" si="33"/>
        <v>- - -</v>
      </c>
      <c r="CN21" s="373" t="str">
        <f t="shared" si="34"/>
        <v>. .</v>
      </c>
      <c r="CO21" s="341"/>
      <c r="CP21" s="145">
        <f t="shared" si="35"/>
        <v>660</v>
      </c>
      <c r="CQ21" s="140">
        <f t="shared" si="36"/>
        <v>-23759</v>
      </c>
      <c r="CR21" s="174">
        <f t="shared" si="37"/>
        <v>-1980</v>
      </c>
      <c r="CS21" s="147" t="str">
        <f t="shared" si="38"/>
        <v>Nữ dưới 30</v>
      </c>
      <c r="CT21" s="141"/>
      <c r="CU21" s="175"/>
      <c r="CV21" s="176" t="str">
        <f t="shared" si="39"/>
        <v>Đến 30</v>
      </c>
      <c r="CW21" s="180" t="str">
        <f t="shared" si="40"/>
        <v>--</v>
      </c>
      <c r="CX21" s="180"/>
      <c r="CY21" s="141"/>
      <c r="CZ21" s="342"/>
      <c r="DA21" s="343"/>
      <c r="DB21" s="144"/>
      <c r="DC21" s="144"/>
      <c r="DG21" s="138" t="s">
        <v>101</v>
      </c>
      <c r="DH21" s="138" t="s">
        <v>9</v>
      </c>
      <c r="DI21" s="138" t="s">
        <v>10</v>
      </c>
      <c r="DJ21" s="138" t="s">
        <v>40</v>
      </c>
      <c r="DK21" s="138" t="s">
        <v>10</v>
      </c>
      <c r="DL21" s="138">
        <v>2012</v>
      </c>
      <c r="DM21" s="138">
        <f t="shared" si="41"/>
        <v>0</v>
      </c>
      <c r="DN21" s="138" t="str">
        <f t="shared" si="42"/>
        <v>- - -</v>
      </c>
      <c r="DO21" s="138" t="s">
        <v>9</v>
      </c>
      <c r="DP21" s="138" t="s">
        <v>10</v>
      </c>
      <c r="DQ21" s="138" t="s">
        <v>40</v>
      </c>
      <c r="DR21" s="138" t="s">
        <v>10</v>
      </c>
      <c r="DS21" s="138">
        <v>2012</v>
      </c>
      <c r="DU21" s="138" t="str">
        <f t="shared" si="43"/>
        <v>- - -</v>
      </c>
      <c r="DV21" s="138" t="str">
        <f t="shared" si="44"/>
        <v>---</v>
      </c>
    </row>
    <row r="22" spans="1:126" s="138" customFormat="1" ht="33" customHeight="1" x14ac:dyDescent="0.25">
      <c r="A22" s="152">
        <v>190</v>
      </c>
      <c r="B22" s="142">
        <v>7</v>
      </c>
      <c r="C22" s="142" t="str">
        <f t="shared" si="0"/>
        <v>Bà</v>
      </c>
      <c r="D22" s="153" t="s">
        <v>149</v>
      </c>
      <c r="E22" s="142" t="s">
        <v>32</v>
      </c>
      <c r="F22" s="154" t="s">
        <v>93</v>
      </c>
      <c r="G22" s="155" t="s">
        <v>10</v>
      </c>
      <c r="H22" s="155" t="s">
        <v>91</v>
      </c>
      <c r="I22" s="155" t="s">
        <v>10</v>
      </c>
      <c r="J22" s="156">
        <v>1980</v>
      </c>
      <c r="K22" s="337"/>
      <c r="L22" s="337"/>
      <c r="M22" s="337" t="e">
        <f>VLOOKUP(L22,'[1]- DLiêu Gốc -'!$B$2:$G$121,2,0)</f>
        <v>#N/A</v>
      </c>
      <c r="N22" s="338" t="s">
        <v>150</v>
      </c>
      <c r="O22" s="316" t="s">
        <v>96</v>
      </c>
      <c r="P22" s="157" t="str">
        <f>VLOOKUP(U22,'[1]- DLiêu Gốc -'!$B$2:$G$56,5,0)</f>
        <v>A1</v>
      </c>
      <c r="Q22" s="157" t="str">
        <f>VLOOKUP(U22,'[1]- DLiêu Gốc -'!$B$2:$G$56,6,0)</f>
        <v>- - -</v>
      </c>
      <c r="R22" s="158" t="s">
        <v>34</v>
      </c>
      <c r="S22" s="317" t="str">
        <f t="shared" si="1"/>
        <v>Giảng viên (hạng III)</v>
      </c>
      <c r="T22" s="159" t="str">
        <f t="shared" si="2"/>
        <v>V.07.01.03</v>
      </c>
      <c r="U22" s="160" t="s">
        <v>35</v>
      </c>
      <c r="V22" s="159" t="str">
        <f>VLOOKUP(U22,'[1]- DLiêu Gốc -'!$B$1:$G$121,2,0)</f>
        <v>V.07.01.03</v>
      </c>
      <c r="W22" s="161" t="str">
        <f t="shared" si="3"/>
        <v>Lương</v>
      </c>
      <c r="X22" s="162">
        <v>4</v>
      </c>
      <c r="Y22" s="163" t="str">
        <f t="shared" si="4"/>
        <v>/</v>
      </c>
      <c r="Z22" s="164">
        <f t="shared" si="5"/>
        <v>9</v>
      </c>
      <c r="AA22" s="165">
        <f t="shared" si="6"/>
        <v>3.33</v>
      </c>
      <c r="AB22" s="166">
        <f t="shared" si="7"/>
        <v>5</v>
      </c>
      <c r="AC22" s="337" t="str">
        <f t="shared" si="8"/>
        <v>/</v>
      </c>
      <c r="AD22" s="164">
        <f t="shared" si="9"/>
        <v>9</v>
      </c>
      <c r="AE22" s="339">
        <f t="shared" si="10"/>
        <v>3.66</v>
      </c>
      <c r="AF22" s="167" t="s">
        <v>9</v>
      </c>
      <c r="AG22" s="168" t="s">
        <v>10</v>
      </c>
      <c r="AH22" s="169" t="s">
        <v>40</v>
      </c>
      <c r="AI22" s="170" t="s">
        <v>10</v>
      </c>
      <c r="AJ22" s="171">
        <v>2015</v>
      </c>
      <c r="AK22" s="172"/>
      <c r="AL22" s="173"/>
      <c r="AM22" s="145">
        <f t="shared" si="11"/>
        <v>3</v>
      </c>
      <c r="AN22" s="145">
        <f t="shared" si="12"/>
        <v>-24191</v>
      </c>
      <c r="AO22" s="139"/>
      <c r="AP22" s="174"/>
      <c r="AQ22" s="147">
        <f>VLOOKUP(U22,'[1]- DLiêu Gốc -'!$B$1:$E$56,3,0)</f>
        <v>2.34</v>
      </c>
      <c r="AR22" s="141">
        <f>VLOOKUP(U22,'[1]- DLiêu Gốc -'!$B$1:$E$56,4,0)</f>
        <v>0.33</v>
      </c>
      <c r="AS22" s="175"/>
      <c r="AT22" s="176" t="str">
        <f t="shared" si="13"/>
        <v>PCTN</v>
      </c>
      <c r="AU22" s="177">
        <v>11</v>
      </c>
      <c r="AV22" s="177" t="s">
        <v>38</v>
      </c>
      <c r="AW22" s="141">
        <f t="shared" si="14"/>
        <v>12</v>
      </c>
      <c r="AX22" s="178" t="s">
        <v>38</v>
      </c>
      <c r="AY22" s="340" t="s">
        <v>48</v>
      </c>
      <c r="AZ22" s="144"/>
      <c r="BA22" s="144">
        <v>2015</v>
      </c>
      <c r="BB22" s="144"/>
      <c r="BC22" s="144"/>
      <c r="BD22" s="144"/>
      <c r="BE22" s="144"/>
      <c r="BF22" s="146">
        <f t="shared" si="15"/>
        <v>-24186</v>
      </c>
      <c r="BG22" s="179" t="str">
        <f t="shared" si="16"/>
        <v>- - -</v>
      </c>
      <c r="BH22" s="315" t="str">
        <f t="shared" si="17"/>
        <v>VC</v>
      </c>
      <c r="BI22" s="141"/>
      <c r="BJ22" s="142"/>
      <c r="BK22" s="139" t="s">
        <v>108</v>
      </c>
      <c r="BL22" s="366" t="str">
        <f t="shared" si="18"/>
        <v>A</v>
      </c>
      <c r="BM22" s="139" t="str">
        <f t="shared" si="19"/>
        <v>=&gt; s</v>
      </c>
      <c r="BN22" s="367">
        <f t="shared" si="20"/>
        <v>24215</v>
      </c>
      <c r="BO22" s="368" t="str">
        <f t="shared" si="21"/>
        <v>---</v>
      </c>
      <c r="BP22" s="369"/>
      <c r="BQ22" s="370"/>
      <c r="BR22" s="371"/>
      <c r="BS22" s="371"/>
      <c r="BT22" s="369" t="str">
        <f t="shared" si="22"/>
        <v>- - -</v>
      </c>
      <c r="BU22" s="372" t="str">
        <f t="shared" si="23"/>
        <v>- - -</v>
      </c>
      <c r="BV22" s="139"/>
      <c r="BW22" s="139"/>
      <c r="BZ22" s="138" t="str">
        <f t="shared" si="24"/>
        <v>- - -</v>
      </c>
      <c r="CE22" s="138" t="str">
        <f t="shared" si="25"/>
        <v>---</v>
      </c>
      <c r="CF22" s="138" t="str">
        <f t="shared" si="26"/>
        <v>/-/ /-/</v>
      </c>
      <c r="CG22" s="138">
        <f t="shared" si="27"/>
        <v>4</v>
      </c>
      <c r="CH22" s="138">
        <f t="shared" si="28"/>
        <v>2035</v>
      </c>
      <c r="CI22" s="138">
        <f t="shared" si="29"/>
        <v>1</v>
      </c>
      <c r="CJ22" s="138">
        <f t="shared" si="30"/>
        <v>2035</v>
      </c>
      <c r="CK22" s="138">
        <f t="shared" si="31"/>
        <v>10</v>
      </c>
      <c r="CL22" s="138">
        <f t="shared" si="32"/>
        <v>2034</v>
      </c>
      <c r="CM22" s="138" t="str">
        <f t="shared" si="33"/>
        <v>- - -</v>
      </c>
      <c r="CN22" s="373" t="str">
        <f t="shared" si="34"/>
        <v>. .</v>
      </c>
      <c r="CO22" s="341"/>
      <c r="CP22" s="145">
        <f t="shared" si="35"/>
        <v>660</v>
      </c>
      <c r="CQ22" s="140">
        <f t="shared" si="36"/>
        <v>-23751</v>
      </c>
      <c r="CR22" s="174">
        <f t="shared" si="37"/>
        <v>-1980</v>
      </c>
      <c r="CS22" s="147" t="str">
        <f t="shared" si="38"/>
        <v>Nữ dưới 30</v>
      </c>
      <c r="CT22" s="141"/>
      <c r="CU22" s="175"/>
      <c r="CV22" s="176" t="str">
        <f t="shared" si="39"/>
        <v>Đến 30</v>
      </c>
      <c r="CW22" s="180" t="str">
        <f t="shared" si="40"/>
        <v>TD</v>
      </c>
      <c r="CX22" s="180">
        <v>2009</v>
      </c>
      <c r="CY22" s="141"/>
      <c r="CZ22" s="342"/>
      <c r="DA22" s="343"/>
      <c r="DB22" s="144"/>
      <c r="DC22" s="144"/>
      <c r="DG22" s="138" t="s">
        <v>150</v>
      </c>
      <c r="DH22" s="138" t="s">
        <v>9</v>
      </c>
      <c r="DI22" s="138" t="s">
        <v>10</v>
      </c>
      <c r="DJ22" s="138" t="s">
        <v>40</v>
      </c>
      <c r="DK22" s="138" t="s">
        <v>10</v>
      </c>
      <c r="DL22" s="138">
        <v>2012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 t="s">
        <v>40</v>
      </c>
      <c r="DR22" s="138" t="s">
        <v>10</v>
      </c>
      <c r="DS22" s="138">
        <v>2012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3" customHeight="1" x14ac:dyDescent="0.25">
      <c r="A23" s="152">
        <v>195</v>
      </c>
      <c r="B23" s="142">
        <v>8</v>
      </c>
      <c r="C23" s="142" t="str">
        <f t="shared" si="0"/>
        <v>Bà</v>
      </c>
      <c r="D23" s="153" t="s">
        <v>151</v>
      </c>
      <c r="E23" s="142" t="s">
        <v>32</v>
      </c>
      <c r="F23" s="154" t="s">
        <v>95</v>
      </c>
      <c r="G23" s="155" t="s">
        <v>10</v>
      </c>
      <c r="H23" s="155" t="s">
        <v>91</v>
      </c>
      <c r="I23" s="155" t="s">
        <v>10</v>
      </c>
      <c r="J23" s="156">
        <v>1989</v>
      </c>
      <c r="K23" s="337"/>
      <c r="L23" s="337"/>
      <c r="M23" s="337" t="e">
        <f>VLOOKUP(L23,'[1]- DLiêu Gốc -'!$B$2:$G$121,2,0)</f>
        <v>#N/A</v>
      </c>
      <c r="N23" s="338" t="s">
        <v>150</v>
      </c>
      <c r="O23" s="316" t="s">
        <v>96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34</v>
      </c>
      <c r="S23" s="317" t="str">
        <f t="shared" si="1"/>
        <v>Giảng viên (hạng III)</v>
      </c>
      <c r="T23" s="159" t="str">
        <f t="shared" si="2"/>
        <v>V.07.01.03</v>
      </c>
      <c r="U23" s="160" t="s">
        <v>35</v>
      </c>
      <c r="V23" s="159" t="str">
        <f>VLOOKUP(U23,'[1]- DLiêu Gốc -'!$B$1:$G$121,2,0)</f>
        <v>V.07.01.03</v>
      </c>
      <c r="W23" s="161" t="str">
        <f t="shared" si="3"/>
        <v>Lương</v>
      </c>
      <c r="X23" s="162">
        <v>1</v>
      </c>
      <c r="Y23" s="163" t="str">
        <f t="shared" si="4"/>
        <v>/</v>
      </c>
      <c r="Z23" s="164">
        <f t="shared" si="5"/>
        <v>9</v>
      </c>
      <c r="AA23" s="165">
        <f t="shared" si="6"/>
        <v>2.34</v>
      </c>
      <c r="AB23" s="166">
        <f t="shared" si="7"/>
        <v>2</v>
      </c>
      <c r="AC23" s="337" t="str">
        <f t="shared" si="8"/>
        <v>/</v>
      </c>
      <c r="AD23" s="164">
        <f t="shared" si="9"/>
        <v>9</v>
      </c>
      <c r="AE23" s="339">
        <f t="shared" si="10"/>
        <v>2.67</v>
      </c>
      <c r="AF23" s="167" t="s">
        <v>9</v>
      </c>
      <c r="AG23" s="168" t="s">
        <v>10</v>
      </c>
      <c r="AH23" s="169" t="s">
        <v>40</v>
      </c>
      <c r="AI23" s="170" t="s">
        <v>10</v>
      </c>
      <c r="AJ23" s="171">
        <v>2015</v>
      </c>
      <c r="AK23" s="172"/>
      <c r="AL23" s="173"/>
      <c r="AM23" s="145">
        <f t="shared" si="11"/>
        <v>3</v>
      </c>
      <c r="AN23" s="145">
        <f t="shared" si="12"/>
        <v>-24191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o-o-o</v>
      </c>
      <c r="AU23" s="177"/>
      <c r="AV23" s="177"/>
      <c r="AW23" s="141">
        <f t="shared" si="14"/>
        <v>0</v>
      </c>
      <c r="AX23" s="178"/>
      <c r="AY23" s="340"/>
      <c r="AZ23" s="144"/>
      <c r="BA23" s="144"/>
      <c r="BB23" s="144"/>
      <c r="BC23" s="144"/>
      <c r="BD23" s="144"/>
      <c r="BE23" s="144"/>
      <c r="BF23" s="146" t="str">
        <f t="shared" si="15"/>
        <v>- - -</v>
      </c>
      <c r="BG23" s="179" t="str">
        <f t="shared" si="16"/>
        <v>- - -</v>
      </c>
      <c r="BH23" s="315" t="str">
        <f t="shared" si="17"/>
        <v>NLĐ</v>
      </c>
      <c r="BI23" s="141"/>
      <c r="BJ23" s="142"/>
      <c r="BK23" s="139" t="s">
        <v>44</v>
      </c>
      <c r="BL23" s="366" t="str">
        <f t="shared" si="18"/>
        <v>A</v>
      </c>
      <c r="BM23" s="139" t="str">
        <f t="shared" si="19"/>
        <v>=&gt; s</v>
      </c>
      <c r="BN23" s="367">
        <f t="shared" si="20"/>
        <v>24215</v>
      </c>
      <c r="BO23" s="368" t="str">
        <f t="shared" si="21"/>
        <v>---</v>
      </c>
      <c r="BP23" s="369"/>
      <c r="BQ23" s="370"/>
      <c r="BR23" s="371"/>
      <c r="BS23" s="371"/>
      <c r="BT23" s="369" t="str">
        <f t="shared" si="22"/>
        <v>- - -</v>
      </c>
      <c r="BU23" s="372" t="str">
        <f t="shared" si="23"/>
        <v>- - -</v>
      </c>
      <c r="BV23" s="139"/>
      <c r="BW23" s="139"/>
      <c r="BZ23" s="138" t="str">
        <f t="shared" si="24"/>
        <v>- - -</v>
      </c>
      <c r="CE23" s="138" t="str">
        <f t="shared" si="25"/>
        <v>---</v>
      </c>
      <c r="CF23" s="138" t="str">
        <f t="shared" si="26"/>
        <v>/-/ /-/</v>
      </c>
      <c r="CG23" s="138">
        <f t="shared" si="27"/>
        <v>4</v>
      </c>
      <c r="CH23" s="138">
        <f t="shared" si="28"/>
        <v>2044</v>
      </c>
      <c r="CI23" s="138">
        <f t="shared" si="29"/>
        <v>1</v>
      </c>
      <c r="CJ23" s="138">
        <f t="shared" si="30"/>
        <v>2044</v>
      </c>
      <c r="CK23" s="138">
        <f t="shared" si="31"/>
        <v>10</v>
      </c>
      <c r="CL23" s="138">
        <f t="shared" si="32"/>
        <v>2043</v>
      </c>
      <c r="CM23" s="138" t="str">
        <f t="shared" si="33"/>
        <v>- - -</v>
      </c>
      <c r="CN23" s="373" t="str">
        <f t="shared" si="34"/>
        <v>. .</v>
      </c>
      <c r="CO23" s="341"/>
      <c r="CP23" s="145">
        <f t="shared" si="35"/>
        <v>660</v>
      </c>
      <c r="CQ23" s="140">
        <f t="shared" si="36"/>
        <v>-23859</v>
      </c>
      <c r="CR23" s="174">
        <f t="shared" si="37"/>
        <v>-1989</v>
      </c>
      <c r="CS23" s="147" t="str">
        <f t="shared" si="38"/>
        <v>Nữ dưới 30</v>
      </c>
      <c r="CT23" s="141"/>
      <c r="CU23" s="175"/>
      <c r="CV23" s="176" t="str">
        <f t="shared" si="39"/>
        <v>Đến 30</v>
      </c>
      <c r="CW23" s="180" t="str">
        <f t="shared" si="40"/>
        <v>--</v>
      </c>
      <c r="CX23" s="180"/>
      <c r="CY23" s="141"/>
      <c r="CZ23" s="342"/>
      <c r="DA23" s="343"/>
      <c r="DB23" s="144"/>
      <c r="DC23" s="144"/>
      <c r="DG23" s="138" t="s">
        <v>150</v>
      </c>
      <c r="DH23" s="138" t="s">
        <v>95</v>
      </c>
      <c r="DI23" s="138" t="s">
        <v>10</v>
      </c>
      <c r="DJ23" s="138" t="s">
        <v>40</v>
      </c>
      <c r="DK23" s="138" t="s">
        <v>10</v>
      </c>
      <c r="DL23" s="138" t="s">
        <v>42</v>
      </c>
      <c r="DM23" s="138">
        <f t="shared" si="41"/>
        <v>14</v>
      </c>
      <c r="DN23" s="138" t="str">
        <f t="shared" si="42"/>
        <v>Sửa</v>
      </c>
      <c r="DO23" s="138" t="s">
        <v>9</v>
      </c>
      <c r="DP23" s="138" t="s">
        <v>10</v>
      </c>
      <c r="DQ23" s="138" t="s">
        <v>40</v>
      </c>
      <c r="DR23" s="138" t="s">
        <v>10</v>
      </c>
      <c r="DS23" s="138" t="s">
        <v>42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3" customHeight="1" x14ac:dyDescent="0.25">
      <c r="A24" s="152">
        <v>233</v>
      </c>
      <c r="B24" s="142">
        <v>9</v>
      </c>
      <c r="C24" s="142" t="str">
        <f t="shared" si="0"/>
        <v>Bà</v>
      </c>
      <c r="D24" s="153" t="s">
        <v>152</v>
      </c>
      <c r="E24" s="142" t="s">
        <v>32</v>
      </c>
      <c r="F24" s="154" t="s">
        <v>111</v>
      </c>
      <c r="G24" s="155" t="s">
        <v>10</v>
      </c>
      <c r="H24" s="155" t="s">
        <v>91</v>
      </c>
      <c r="I24" s="155" t="s">
        <v>10</v>
      </c>
      <c r="J24" s="156">
        <v>1986</v>
      </c>
      <c r="K24" s="337"/>
      <c r="L24" s="337"/>
      <c r="M24" s="337" t="e">
        <f>VLOOKUP(L24,'[1]- DLiêu Gốc -'!$B$2:$G$121,2,0)</f>
        <v>#N/A</v>
      </c>
      <c r="N24" s="344"/>
      <c r="O24" s="316" t="s">
        <v>134</v>
      </c>
      <c r="P24" s="157" t="str">
        <f>VLOOKUP(U24,'[1]- DLiêu Gốc -'!$B$2:$G$56,5,0)</f>
        <v>A1</v>
      </c>
      <c r="Q24" s="157" t="str">
        <f>VLOOKUP(U24,'[1]- DLiêu Gốc -'!$B$2:$G$56,6,0)</f>
        <v>- - -</v>
      </c>
      <c r="R24" s="158" t="s">
        <v>34</v>
      </c>
      <c r="S24" s="317" t="str">
        <f t="shared" si="1"/>
        <v>Giảng viên (hạng III)</v>
      </c>
      <c r="T24" s="159" t="str">
        <f t="shared" si="2"/>
        <v>V.07.01.03</v>
      </c>
      <c r="U24" s="160" t="s">
        <v>35</v>
      </c>
      <c r="V24" s="159" t="str">
        <f>VLOOKUP(U24,'[1]- DLiêu Gốc -'!$B$1:$G$121,2,0)</f>
        <v>V.07.01.03</v>
      </c>
      <c r="W24" s="161" t="str">
        <f t="shared" si="3"/>
        <v>Lương</v>
      </c>
      <c r="X24" s="162">
        <v>2</v>
      </c>
      <c r="Y24" s="163" t="str">
        <f t="shared" si="4"/>
        <v>/</v>
      </c>
      <c r="Z24" s="164">
        <f t="shared" si="5"/>
        <v>9</v>
      </c>
      <c r="AA24" s="165">
        <f t="shared" si="6"/>
        <v>2.67</v>
      </c>
      <c r="AB24" s="166">
        <f t="shared" si="7"/>
        <v>3</v>
      </c>
      <c r="AC24" s="337" t="str">
        <f t="shared" si="8"/>
        <v>/</v>
      </c>
      <c r="AD24" s="164">
        <f t="shared" si="9"/>
        <v>9</v>
      </c>
      <c r="AE24" s="339">
        <f t="shared" si="10"/>
        <v>3</v>
      </c>
      <c r="AF24" s="167" t="s">
        <v>9</v>
      </c>
      <c r="AG24" s="168" t="s">
        <v>10</v>
      </c>
      <c r="AH24" s="169" t="s">
        <v>40</v>
      </c>
      <c r="AI24" s="170" t="s">
        <v>10</v>
      </c>
      <c r="AJ24" s="171">
        <v>2015</v>
      </c>
      <c r="AK24" s="172"/>
      <c r="AL24" s="173"/>
      <c r="AM24" s="145">
        <f t="shared" si="11"/>
        <v>3</v>
      </c>
      <c r="AN24" s="145">
        <f t="shared" si="12"/>
        <v>-24191</v>
      </c>
      <c r="AO24" s="139"/>
      <c r="AP24" s="174"/>
      <c r="AQ24" s="147">
        <f>VLOOKUP(U24,'[1]- DLiêu Gốc -'!$B$1:$E$56,3,0)</f>
        <v>2.34</v>
      </c>
      <c r="AR24" s="141">
        <f>VLOOKUP(U24,'[1]- DLiêu Gốc -'!$B$1:$E$56,4,0)</f>
        <v>0.33</v>
      </c>
      <c r="AS24" s="175"/>
      <c r="AT24" s="176" t="str">
        <f t="shared" si="13"/>
        <v>o-o-o</v>
      </c>
      <c r="AU24" s="177"/>
      <c r="AV24" s="177"/>
      <c r="AW24" s="141">
        <f t="shared" si="14"/>
        <v>0</v>
      </c>
      <c r="AX24" s="178"/>
      <c r="AY24" s="340"/>
      <c r="AZ24" s="144"/>
      <c r="BA24" s="144"/>
      <c r="BB24" s="144"/>
      <c r="BC24" s="144"/>
      <c r="BD24" s="144"/>
      <c r="BE24" s="144"/>
      <c r="BF24" s="146" t="str">
        <f t="shared" si="15"/>
        <v>- - -</v>
      </c>
      <c r="BG24" s="179" t="str">
        <f t="shared" si="16"/>
        <v>- - -</v>
      </c>
      <c r="BH24" s="315" t="str">
        <f t="shared" si="17"/>
        <v>NLĐ</v>
      </c>
      <c r="BI24" s="141"/>
      <c r="BJ24" s="142"/>
      <c r="BK24" s="139" t="s">
        <v>44</v>
      </c>
      <c r="BL24" s="366" t="str">
        <f t="shared" si="18"/>
        <v>A</v>
      </c>
      <c r="BM24" s="139" t="str">
        <f t="shared" si="19"/>
        <v>=&gt; s</v>
      </c>
      <c r="BN24" s="367">
        <f t="shared" si="20"/>
        <v>24215</v>
      </c>
      <c r="BO24" s="368" t="str">
        <f t="shared" si="21"/>
        <v>---</v>
      </c>
      <c r="BP24" s="369"/>
      <c r="BQ24" s="370"/>
      <c r="BR24" s="371"/>
      <c r="BS24" s="371"/>
      <c r="BT24" s="369" t="str">
        <f t="shared" si="22"/>
        <v>- - -</v>
      </c>
      <c r="BU24" s="372" t="str">
        <f t="shared" si="23"/>
        <v>- - -</v>
      </c>
      <c r="BV24" s="139"/>
      <c r="BW24" s="139"/>
      <c r="BZ24" s="138" t="str">
        <f t="shared" si="24"/>
        <v>- - -</v>
      </c>
      <c r="CE24" s="138" t="str">
        <f t="shared" si="25"/>
        <v>---</v>
      </c>
      <c r="CF24" s="138" t="str">
        <f t="shared" si="26"/>
        <v>/-/ /-/</v>
      </c>
      <c r="CG24" s="138">
        <f t="shared" si="27"/>
        <v>4</v>
      </c>
      <c r="CH24" s="138">
        <f t="shared" si="28"/>
        <v>2041</v>
      </c>
      <c r="CI24" s="138">
        <f t="shared" si="29"/>
        <v>1</v>
      </c>
      <c r="CJ24" s="138">
        <f t="shared" si="30"/>
        <v>2041</v>
      </c>
      <c r="CK24" s="138">
        <f t="shared" si="31"/>
        <v>10</v>
      </c>
      <c r="CL24" s="138">
        <f t="shared" si="32"/>
        <v>2040</v>
      </c>
      <c r="CM24" s="138" t="str">
        <f t="shared" si="33"/>
        <v>- - -</v>
      </c>
      <c r="CN24" s="373" t="str">
        <f t="shared" si="34"/>
        <v>. .</v>
      </c>
      <c r="CO24" s="341"/>
      <c r="CP24" s="145">
        <f t="shared" si="35"/>
        <v>660</v>
      </c>
      <c r="CQ24" s="140">
        <f t="shared" si="36"/>
        <v>-23823</v>
      </c>
      <c r="CR24" s="174">
        <f t="shared" si="37"/>
        <v>-1986</v>
      </c>
      <c r="CS24" s="147" t="str">
        <f t="shared" si="38"/>
        <v>Nữ dưới 30</v>
      </c>
      <c r="CT24" s="141"/>
      <c r="CU24" s="175"/>
      <c r="CV24" s="176" t="str">
        <f t="shared" si="39"/>
        <v>Đến 30</v>
      </c>
      <c r="CW24" s="180" t="str">
        <f t="shared" si="40"/>
        <v>--</v>
      </c>
      <c r="CX24" s="180"/>
      <c r="CY24" s="141"/>
      <c r="CZ24" s="342"/>
      <c r="DA24" s="343"/>
      <c r="DB24" s="144"/>
      <c r="DC24" s="144"/>
      <c r="DH24" s="138" t="s">
        <v>95</v>
      </c>
      <c r="DI24" s="138" t="s">
        <v>10</v>
      </c>
      <c r="DJ24" s="138" t="s">
        <v>40</v>
      </c>
      <c r="DK24" s="138" t="s">
        <v>10</v>
      </c>
      <c r="DL24" s="138">
        <v>2012</v>
      </c>
      <c r="DM24" s="138">
        <f t="shared" si="41"/>
        <v>14</v>
      </c>
      <c r="DN24" s="138" t="str">
        <f t="shared" si="42"/>
        <v>Sửa</v>
      </c>
      <c r="DO24" s="138" t="s">
        <v>9</v>
      </c>
      <c r="DP24" s="138" t="s">
        <v>10</v>
      </c>
      <c r="DQ24" s="138" t="s">
        <v>40</v>
      </c>
      <c r="DR24" s="138" t="s">
        <v>10</v>
      </c>
      <c r="DS24" s="138">
        <v>2012</v>
      </c>
      <c r="DU24" s="138" t="str">
        <f t="shared" si="43"/>
        <v>- - -</v>
      </c>
      <c r="DV24" s="138" t="str">
        <f t="shared" si="44"/>
        <v>---</v>
      </c>
    </row>
    <row r="25" spans="1:126" s="138" customFormat="1" ht="33" customHeight="1" x14ac:dyDescent="0.25">
      <c r="A25" s="152">
        <v>236</v>
      </c>
      <c r="B25" s="142">
        <v>10</v>
      </c>
      <c r="C25" s="142" t="str">
        <f t="shared" si="0"/>
        <v>Bà</v>
      </c>
      <c r="D25" s="153" t="s">
        <v>137</v>
      </c>
      <c r="E25" s="142" t="s">
        <v>32</v>
      </c>
      <c r="F25" s="154" t="s">
        <v>131</v>
      </c>
      <c r="G25" s="155" t="s">
        <v>10</v>
      </c>
      <c r="H25" s="155" t="s">
        <v>37</v>
      </c>
      <c r="I25" s="155" t="s">
        <v>10</v>
      </c>
      <c r="J25" s="156" t="s">
        <v>153</v>
      </c>
      <c r="K25" s="337"/>
      <c r="L25" s="337"/>
      <c r="M25" s="337" t="e">
        <f>VLOOKUP(L25,'[1]- DLiêu Gốc -'!$B$2:$G$121,2,0)</f>
        <v>#N/A</v>
      </c>
      <c r="N25" s="344"/>
      <c r="O25" s="316" t="s">
        <v>134</v>
      </c>
      <c r="P25" s="157" t="str">
        <f>VLOOKUP(U25,'[1]- DLiêu Gốc -'!$B$2:$G$56,5,0)</f>
        <v>A1</v>
      </c>
      <c r="Q25" s="157" t="str">
        <f>VLOOKUP(U25,'[1]- DLiêu Gốc -'!$B$2:$G$56,6,0)</f>
        <v>- - -</v>
      </c>
      <c r="R25" s="158" t="s">
        <v>34</v>
      </c>
      <c r="S25" s="317" t="str">
        <f t="shared" si="1"/>
        <v>Giảng viên (hạng III)</v>
      </c>
      <c r="T25" s="159" t="str">
        <f t="shared" si="2"/>
        <v>V.07.01.03</v>
      </c>
      <c r="U25" s="160" t="s">
        <v>35</v>
      </c>
      <c r="V25" s="159" t="str">
        <f>VLOOKUP(U25,'[1]- DLiêu Gốc -'!$B$1:$G$121,2,0)</f>
        <v>V.07.01.03</v>
      </c>
      <c r="W25" s="161" t="str">
        <f t="shared" si="3"/>
        <v>Lương</v>
      </c>
      <c r="X25" s="162">
        <v>1</v>
      </c>
      <c r="Y25" s="163" t="str">
        <f t="shared" si="4"/>
        <v>/</v>
      </c>
      <c r="Z25" s="164">
        <f t="shared" si="5"/>
        <v>9</v>
      </c>
      <c r="AA25" s="165">
        <f t="shared" si="6"/>
        <v>2.34</v>
      </c>
      <c r="AB25" s="166">
        <f t="shared" si="7"/>
        <v>2</v>
      </c>
      <c r="AC25" s="337" t="str">
        <f t="shared" si="8"/>
        <v>/</v>
      </c>
      <c r="AD25" s="164">
        <f t="shared" si="9"/>
        <v>9</v>
      </c>
      <c r="AE25" s="339">
        <f t="shared" si="10"/>
        <v>2.67</v>
      </c>
      <c r="AF25" s="167" t="s">
        <v>9</v>
      </c>
      <c r="AG25" s="168" t="s">
        <v>10</v>
      </c>
      <c r="AH25" s="169" t="s">
        <v>40</v>
      </c>
      <c r="AI25" s="170" t="s">
        <v>10</v>
      </c>
      <c r="AJ25" s="171">
        <v>2015</v>
      </c>
      <c r="AK25" s="172"/>
      <c r="AL25" s="173"/>
      <c r="AM25" s="145">
        <f t="shared" si="11"/>
        <v>3</v>
      </c>
      <c r="AN25" s="145">
        <f t="shared" si="12"/>
        <v>-24191</v>
      </c>
      <c r="AO25" s="139"/>
      <c r="AP25" s="174"/>
      <c r="AQ25" s="147">
        <f>VLOOKUP(U25,'[1]- DLiêu Gốc -'!$B$1:$E$56,3,0)</f>
        <v>2.34</v>
      </c>
      <c r="AR25" s="141">
        <f>VLOOKUP(U25,'[1]- DLiêu Gốc -'!$B$1:$E$56,4,0)</f>
        <v>0.33</v>
      </c>
      <c r="AS25" s="175"/>
      <c r="AT25" s="176" t="str">
        <f t="shared" si="13"/>
        <v>o-o-o</v>
      </c>
      <c r="AU25" s="177"/>
      <c r="AV25" s="177"/>
      <c r="AW25" s="141">
        <f t="shared" si="14"/>
        <v>0</v>
      </c>
      <c r="AX25" s="178"/>
      <c r="AY25" s="340"/>
      <c r="AZ25" s="144"/>
      <c r="BA25" s="144"/>
      <c r="BB25" s="144"/>
      <c r="BC25" s="144"/>
      <c r="BD25" s="144"/>
      <c r="BE25" s="144"/>
      <c r="BF25" s="146" t="str">
        <f t="shared" si="15"/>
        <v>- - -</v>
      </c>
      <c r="BG25" s="179" t="str">
        <f t="shared" si="16"/>
        <v>- - -</v>
      </c>
      <c r="BH25" s="315" t="str">
        <f t="shared" si="17"/>
        <v>NLĐ</v>
      </c>
      <c r="BI25" s="141"/>
      <c r="BJ25" s="142"/>
      <c r="BK25" s="139" t="s">
        <v>44</v>
      </c>
      <c r="BL25" s="366" t="str">
        <f t="shared" si="18"/>
        <v>A</v>
      </c>
      <c r="BM25" s="139" t="str">
        <f t="shared" si="19"/>
        <v>=&gt; s</v>
      </c>
      <c r="BN25" s="367">
        <f t="shared" si="20"/>
        <v>24215</v>
      </c>
      <c r="BO25" s="368" t="str">
        <f t="shared" si="21"/>
        <v>---</v>
      </c>
      <c r="BP25" s="369"/>
      <c r="BQ25" s="370"/>
      <c r="BR25" s="371"/>
      <c r="BS25" s="371"/>
      <c r="BT25" s="369" t="str">
        <f t="shared" si="22"/>
        <v>- - -</v>
      </c>
      <c r="BU25" s="372" t="str">
        <f t="shared" si="23"/>
        <v>- - -</v>
      </c>
      <c r="BV25" s="139"/>
      <c r="BW25" s="139"/>
      <c r="BZ25" s="138" t="str">
        <f t="shared" si="24"/>
        <v>- - -</v>
      </c>
      <c r="CE25" s="138" t="str">
        <f t="shared" si="25"/>
        <v>---</v>
      </c>
      <c r="CF25" s="138" t="str">
        <f t="shared" si="26"/>
        <v>/-/ /-/</v>
      </c>
      <c r="CG25" s="138">
        <f t="shared" si="27"/>
        <v>3</v>
      </c>
      <c r="CH25" s="138">
        <f t="shared" si="28"/>
        <v>2042</v>
      </c>
      <c r="CI25" s="138">
        <f t="shared" si="29"/>
        <v>12</v>
      </c>
      <c r="CJ25" s="138">
        <f t="shared" si="30"/>
        <v>2041</v>
      </c>
      <c r="CK25" s="138">
        <f t="shared" si="31"/>
        <v>9</v>
      </c>
      <c r="CL25" s="138">
        <f t="shared" si="32"/>
        <v>2041</v>
      </c>
      <c r="CM25" s="138" t="str">
        <f t="shared" si="33"/>
        <v>- - -</v>
      </c>
      <c r="CN25" s="373" t="str">
        <f t="shared" si="34"/>
        <v>. .</v>
      </c>
      <c r="CO25" s="341"/>
      <c r="CP25" s="145">
        <f t="shared" si="35"/>
        <v>660</v>
      </c>
      <c r="CQ25" s="140">
        <f t="shared" si="36"/>
        <v>-23834</v>
      </c>
      <c r="CR25" s="174">
        <f t="shared" si="37"/>
        <v>-1987</v>
      </c>
      <c r="CS25" s="147" t="str">
        <f t="shared" si="38"/>
        <v>Nữ dưới 30</v>
      </c>
      <c r="CT25" s="141"/>
      <c r="CU25" s="175"/>
      <c r="CV25" s="176" t="str">
        <f t="shared" si="39"/>
        <v>Đến 30</v>
      </c>
      <c r="CW25" s="180" t="str">
        <f t="shared" si="40"/>
        <v>--</v>
      </c>
      <c r="CX25" s="180"/>
      <c r="CY25" s="141"/>
      <c r="CZ25" s="342"/>
      <c r="DA25" s="343"/>
      <c r="DB25" s="144"/>
      <c r="DC25" s="144"/>
      <c r="DH25" s="138" t="s">
        <v>9</v>
      </c>
      <c r="DI25" s="138" t="s">
        <v>10</v>
      </c>
      <c r="DJ25" s="138" t="s">
        <v>40</v>
      </c>
      <c r="DK25" s="138" t="s">
        <v>10</v>
      </c>
      <c r="DL25" s="138" t="s">
        <v>42</v>
      </c>
      <c r="DM25" s="138">
        <f t="shared" si="41"/>
        <v>0</v>
      </c>
      <c r="DN25" s="138" t="str">
        <f t="shared" si="42"/>
        <v>- - -</v>
      </c>
      <c r="DO25" s="138" t="s">
        <v>9</v>
      </c>
      <c r="DP25" s="138" t="s">
        <v>10</v>
      </c>
      <c r="DQ25" s="138" t="s">
        <v>40</v>
      </c>
      <c r="DR25" s="138" t="s">
        <v>10</v>
      </c>
      <c r="DS25" s="138" t="s">
        <v>42</v>
      </c>
      <c r="DU25" s="138" t="str">
        <f t="shared" si="43"/>
        <v>- - -</v>
      </c>
      <c r="DV25" s="138" t="str">
        <f t="shared" si="44"/>
        <v>---</v>
      </c>
    </row>
    <row r="26" spans="1:126" s="138" customFormat="1" ht="33" customHeight="1" x14ac:dyDescent="0.25">
      <c r="A26" s="152">
        <v>251</v>
      </c>
      <c r="B26" s="142">
        <v>11</v>
      </c>
      <c r="C26" s="142" t="str">
        <f t="shared" si="0"/>
        <v>Bà</v>
      </c>
      <c r="D26" s="153" t="s">
        <v>154</v>
      </c>
      <c r="E26" s="142" t="s">
        <v>32</v>
      </c>
      <c r="F26" s="154" t="s">
        <v>109</v>
      </c>
      <c r="G26" s="155" t="s">
        <v>10</v>
      </c>
      <c r="H26" s="155">
        <v>5</v>
      </c>
      <c r="I26" s="155" t="s">
        <v>10</v>
      </c>
      <c r="J26" s="156">
        <v>1981</v>
      </c>
      <c r="K26" s="337"/>
      <c r="L26" s="337"/>
      <c r="M26" s="337" t="e">
        <f>VLOOKUP(L26,'[1]- DLiêu Gốc -'!$B$2:$G$121,2,0)</f>
        <v>#N/A</v>
      </c>
      <c r="N26" s="338" t="s">
        <v>155</v>
      </c>
      <c r="O26" s="316" t="s">
        <v>156</v>
      </c>
      <c r="P26" s="157" t="str">
        <f>VLOOKUP(U26,'[1]- DLiêu Gốc -'!$B$2:$G$56,5,0)</f>
        <v>A1</v>
      </c>
      <c r="Q26" s="157" t="str">
        <f>VLOOKUP(U26,'[1]- DLiêu Gốc -'!$B$2:$G$56,6,0)</f>
        <v>- - -</v>
      </c>
      <c r="R26" s="158" t="s">
        <v>34</v>
      </c>
      <c r="S26" s="317" t="str">
        <f t="shared" si="1"/>
        <v>Giảng viên (hạng III)</v>
      </c>
      <c r="T26" s="159" t="str">
        <f t="shared" si="2"/>
        <v>V.07.01.03</v>
      </c>
      <c r="U26" s="160" t="s">
        <v>35</v>
      </c>
      <c r="V26" s="159" t="str">
        <f>VLOOKUP(U26,'[1]- DLiêu Gốc -'!$B$1:$G$121,2,0)</f>
        <v>V.07.01.03</v>
      </c>
      <c r="W26" s="161" t="str">
        <f t="shared" si="3"/>
        <v>Lương</v>
      </c>
      <c r="X26" s="162">
        <v>4</v>
      </c>
      <c r="Y26" s="163" t="str">
        <f t="shared" si="4"/>
        <v>/</v>
      </c>
      <c r="Z26" s="164">
        <f t="shared" si="5"/>
        <v>9</v>
      </c>
      <c r="AA26" s="165">
        <f t="shared" si="6"/>
        <v>3.33</v>
      </c>
      <c r="AB26" s="166">
        <f t="shared" si="7"/>
        <v>5</v>
      </c>
      <c r="AC26" s="337" t="str">
        <f t="shared" si="8"/>
        <v>/</v>
      </c>
      <c r="AD26" s="164">
        <f t="shared" si="9"/>
        <v>9</v>
      </c>
      <c r="AE26" s="339">
        <f t="shared" si="10"/>
        <v>3.66</v>
      </c>
      <c r="AF26" s="167" t="s">
        <v>9</v>
      </c>
      <c r="AG26" s="168" t="s">
        <v>10</v>
      </c>
      <c r="AH26" s="169" t="s">
        <v>40</v>
      </c>
      <c r="AI26" s="170" t="s">
        <v>10</v>
      </c>
      <c r="AJ26" s="171">
        <v>2015</v>
      </c>
      <c r="AK26" s="172" t="s">
        <v>129</v>
      </c>
      <c r="AL26" s="173"/>
      <c r="AM26" s="145">
        <f t="shared" si="11"/>
        <v>3</v>
      </c>
      <c r="AN26" s="145">
        <f t="shared" si="12"/>
        <v>-24191</v>
      </c>
      <c r="AO26" s="139"/>
      <c r="AP26" s="174"/>
      <c r="AQ26" s="147">
        <f>VLOOKUP(U26,'[1]- DLiêu Gốc -'!$B$1:$E$56,3,0)</f>
        <v>2.34</v>
      </c>
      <c r="AR26" s="141">
        <f>VLOOKUP(U26,'[1]- DLiêu Gốc -'!$B$1:$E$56,4,0)</f>
        <v>0.33</v>
      </c>
      <c r="AS26" s="175"/>
      <c r="AT26" s="176" t="str">
        <f t="shared" si="13"/>
        <v>PCTN</v>
      </c>
      <c r="AU26" s="177">
        <v>9</v>
      </c>
      <c r="AV26" s="177" t="s">
        <v>38</v>
      </c>
      <c r="AW26" s="141">
        <f t="shared" si="14"/>
        <v>10</v>
      </c>
      <c r="AX26" s="178" t="s">
        <v>38</v>
      </c>
      <c r="AY26" s="340">
        <v>11</v>
      </c>
      <c r="AZ26" s="144" t="s">
        <v>10</v>
      </c>
      <c r="BA26" s="144">
        <v>2014</v>
      </c>
      <c r="BB26" s="144"/>
      <c r="BC26" s="144"/>
      <c r="BD26" s="144"/>
      <c r="BE26" s="144">
        <v>11</v>
      </c>
      <c r="BF26" s="146">
        <f t="shared" si="15"/>
        <v>-24179</v>
      </c>
      <c r="BG26" s="179" t="str">
        <f t="shared" si="16"/>
        <v>- - -</v>
      </c>
      <c r="BH26" s="315" t="str">
        <f t="shared" si="17"/>
        <v>VC</v>
      </c>
      <c r="BI26" s="141"/>
      <c r="BJ26" s="142"/>
      <c r="BK26" s="139" t="s">
        <v>108</v>
      </c>
      <c r="BL26" s="366" t="str">
        <f t="shared" si="18"/>
        <v>A</v>
      </c>
      <c r="BM26" s="139" t="str">
        <f t="shared" si="19"/>
        <v>=&gt; s</v>
      </c>
      <c r="BN26" s="367">
        <f t="shared" si="20"/>
        <v>24215</v>
      </c>
      <c r="BO26" s="368" t="str">
        <f t="shared" si="21"/>
        <v>S</v>
      </c>
      <c r="BP26" s="369">
        <v>2012</v>
      </c>
      <c r="BQ26" s="370" t="s">
        <v>36</v>
      </c>
      <c r="BR26" s="371"/>
      <c r="BS26" s="371"/>
      <c r="BT26" s="369" t="str">
        <f t="shared" si="22"/>
        <v>Cùg Ng</v>
      </c>
      <c r="BU26" s="372" t="str">
        <f t="shared" si="23"/>
        <v>- - -</v>
      </c>
      <c r="BV26" s="139"/>
      <c r="BW26" s="139"/>
      <c r="BZ26" s="138" t="str">
        <f t="shared" si="24"/>
        <v>- - -</v>
      </c>
      <c r="CE26" s="138" t="str">
        <f t="shared" si="25"/>
        <v>---</v>
      </c>
      <c r="CF26" s="138" t="str">
        <f t="shared" si="26"/>
        <v>/-/ /-/</v>
      </c>
      <c r="CG26" s="138">
        <f t="shared" si="27"/>
        <v>6</v>
      </c>
      <c r="CH26" s="138">
        <f t="shared" si="28"/>
        <v>2036</v>
      </c>
      <c r="CI26" s="138">
        <f t="shared" si="29"/>
        <v>3</v>
      </c>
      <c r="CJ26" s="138">
        <f t="shared" si="30"/>
        <v>2036</v>
      </c>
      <c r="CK26" s="138">
        <f t="shared" si="31"/>
        <v>12</v>
      </c>
      <c r="CL26" s="138">
        <f t="shared" si="32"/>
        <v>2035</v>
      </c>
      <c r="CM26" s="138" t="str">
        <f t="shared" si="33"/>
        <v>- - -</v>
      </c>
      <c r="CN26" s="373" t="str">
        <f t="shared" si="34"/>
        <v>. .</v>
      </c>
      <c r="CO26" s="341"/>
      <c r="CP26" s="145">
        <f t="shared" si="35"/>
        <v>660</v>
      </c>
      <c r="CQ26" s="140">
        <f t="shared" si="36"/>
        <v>-23765</v>
      </c>
      <c r="CR26" s="174">
        <f t="shared" si="37"/>
        <v>-1981</v>
      </c>
      <c r="CS26" s="147" t="str">
        <f t="shared" si="38"/>
        <v>Nữ dưới 30</v>
      </c>
      <c r="CT26" s="141"/>
      <c r="CU26" s="175"/>
      <c r="CV26" s="176" t="str">
        <f t="shared" si="39"/>
        <v>Đến 30</v>
      </c>
      <c r="CW26" s="180" t="str">
        <f t="shared" si="40"/>
        <v>--</v>
      </c>
      <c r="CX26" s="180"/>
      <c r="CY26" s="141"/>
      <c r="CZ26" s="342"/>
      <c r="DA26" s="343"/>
      <c r="DB26" s="144"/>
      <c r="DC26" s="144"/>
      <c r="DG26" s="138" t="s">
        <v>155</v>
      </c>
      <c r="DH26" s="138" t="s">
        <v>9</v>
      </c>
      <c r="DI26" s="138" t="s">
        <v>10</v>
      </c>
      <c r="DJ26" s="138" t="s">
        <v>40</v>
      </c>
      <c r="DK26" s="138" t="s">
        <v>10</v>
      </c>
      <c r="DL26" s="138">
        <v>2012</v>
      </c>
      <c r="DM26" s="138">
        <f t="shared" si="41"/>
        <v>0</v>
      </c>
      <c r="DN26" s="138" t="str">
        <f t="shared" si="42"/>
        <v>- - -</v>
      </c>
      <c r="DO26" s="138" t="s">
        <v>9</v>
      </c>
      <c r="DP26" s="138" t="s">
        <v>10</v>
      </c>
      <c r="DQ26" s="138" t="s">
        <v>40</v>
      </c>
      <c r="DR26" s="138" t="s">
        <v>10</v>
      </c>
      <c r="DS26" s="138">
        <v>2012</v>
      </c>
      <c r="DU26" s="138" t="str">
        <f t="shared" si="43"/>
        <v>- - -</v>
      </c>
      <c r="DV26" s="138" t="str">
        <f t="shared" si="44"/>
        <v>---</v>
      </c>
    </row>
    <row r="27" spans="1:126" s="138" customFormat="1" ht="33" customHeight="1" x14ac:dyDescent="0.25">
      <c r="A27" s="152">
        <v>298</v>
      </c>
      <c r="B27" s="142">
        <v>12</v>
      </c>
      <c r="C27" s="142" t="str">
        <f t="shared" si="0"/>
        <v>Bà</v>
      </c>
      <c r="D27" s="153" t="s">
        <v>137</v>
      </c>
      <c r="E27" s="142" t="s">
        <v>32</v>
      </c>
      <c r="F27" s="154" t="s">
        <v>115</v>
      </c>
      <c r="G27" s="155" t="s">
        <v>10</v>
      </c>
      <c r="H27" s="155" t="s">
        <v>48</v>
      </c>
      <c r="I27" s="155" t="s">
        <v>10</v>
      </c>
      <c r="J27" s="156" t="s">
        <v>122</v>
      </c>
      <c r="K27" s="337"/>
      <c r="L27" s="337"/>
      <c r="M27" s="337" t="e">
        <f>VLOOKUP(L27,'[1]- DLiêu Gốc -'!$B$2:$G$121,2,0)</f>
        <v>#N/A</v>
      </c>
      <c r="N27" s="338" t="s">
        <v>138</v>
      </c>
      <c r="O27" s="316" t="s">
        <v>99</v>
      </c>
      <c r="P27" s="157" t="str">
        <f>VLOOKUP(U27,'[1]- DLiêu Gốc -'!$B$2:$G$56,5,0)</f>
        <v>A1</v>
      </c>
      <c r="Q27" s="157" t="str">
        <f>VLOOKUP(U27,'[1]- DLiêu Gốc -'!$B$2:$G$56,6,0)</f>
        <v>- - -</v>
      </c>
      <c r="R27" s="158" t="s">
        <v>34</v>
      </c>
      <c r="S27" s="317" t="str">
        <f t="shared" si="1"/>
        <v>Giảng viên (hạng III)</v>
      </c>
      <c r="T27" s="159" t="str">
        <f t="shared" si="2"/>
        <v>V.07.01.03</v>
      </c>
      <c r="U27" s="160" t="s">
        <v>35</v>
      </c>
      <c r="V27" s="159" t="str">
        <f>VLOOKUP(U27,'[1]- DLiêu Gốc -'!$B$1:$G$121,2,0)</f>
        <v>V.07.01.03</v>
      </c>
      <c r="W27" s="161" t="str">
        <f t="shared" si="3"/>
        <v>Lương</v>
      </c>
      <c r="X27" s="162">
        <v>4</v>
      </c>
      <c r="Y27" s="163" t="str">
        <f t="shared" si="4"/>
        <v>/</v>
      </c>
      <c r="Z27" s="164">
        <f t="shared" si="5"/>
        <v>9</v>
      </c>
      <c r="AA27" s="165">
        <f t="shared" si="6"/>
        <v>3.33</v>
      </c>
      <c r="AB27" s="166">
        <f t="shared" si="7"/>
        <v>5</v>
      </c>
      <c r="AC27" s="337" t="str">
        <f t="shared" si="8"/>
        <v>/</v>
      </c>
      <c r="AD27" s="164">
        <f t="shared" si="9"/>
        <v>9</v>
      </c>
      <c r="AE27" s="339">
        <f t="shared" si="10"/>
        <v>3.66</v>
      </c>
      <c r="AF27" s="167" t="s">
        <v>9</v>
      </c>
      <c r="AG27" s="168" t="s">
        <v>10</v>
      </c>
      <c r="AH27" s="169" t="s">
        <v>40</v>
      </c>
      <c r="AI27" s="170" t="s">
        <v>10</v>
      </c>
      <c r="AJ27" s="171">
        <v>2015</v>
      </c>
      <c r="AK27" s="172"/>
      <c r="AL27" s="173"/>
      <c r="AM27" s="145">
        <f t="shared" si="11"/>
        <v>3</v>
      </c>
      <c r="AN27" s="145">
        <f t="shared" si="12"/>
        <v>-24191</v>
      </c>
      <c r="AO27" s="139"/>
      <c r="AP27" s="174"/>
      <c r="AQ27" s="147">
        <f>VLOOKUP(U27,'[1]- DLiêu Gốc -'!$B$1:$E$56,3,0)</f>
        <v>2.34</v>
      </c>
      <c r="AR27" s="141">
        <f>VLOOKUP(U27,'[1]- DLiêu Gốc -'!$B$1:$E$56,4,0)</f>
        <v>0.33</v>
      </c>
      <c r="AS27" s="175"/>
      <c r="AT27" s="176" t="str">
        <f t="shared" si="13"/>
        <v>PCTN</v>
      </c>
      <c r="AU27" s="177">
        <v>7</v>
      </c>
      <c r="AV27" s="177" t="s">
        <v>38</v>
      </c>
      <c r="AW27" s="141">
        <f t="shared" si="14"/>
        <v>8</v>
      </c>
      <c r="AX27" s="178" t="s">
        <v>38</v>
      </c>
      <c r="AY27" s="340" t="s">
        <v>47</v>
      </c>
      <c r="AZ27" s="144" t="s">
        <v>10</v>
      </c>
      <c r="BA27" s="144">
        <v>2015</v>
      </c>
      <c r="BB27" s="144"/>
      <c r="BC27" s="144"/>
      <c r="BD27" s="144"/>
      <c r="BE27" s="144">
        <v>10</v>
      </c>
      <c r="BF27" s="146">
        <f t="shared" si="15"/>
        <v>-24190</v>
      </c>
      <c r="BG27" s="179" t="str">
        <f t="shared" si="16"/>
        <v>- - -</v>
      </c>
      <c r="BH27" s="315" t="str">
        <f t="shared" si="17"/>
        <v>VC</v>
      </c>
      <c r="BI27" s="141"/>
      <c r="BJ27" s="142"/>
      <c r="BK27" s="139" t="s">
        <v>108</v>
      </c>
      <c r="BL27" s="366" t="str">
        <f t="shared" si="18"/>
        <v>A</v>
      </c>
      <c r="BM27" s="139" t="str">
        <f t="shared" si="19"/>
        <v>=&gt; s</v>
      </c>
      <c r="BN27" s="367">
        <f t="shared" si="20"/>
        <v>24215</v>
      </c>
      <c r="BO27" s="368" t="str">
        <f t="shared" si="21"/>
        <v>---</v>
      </c>
      <c r="BP27" s="369"/>
      <c r="BQ27" s="370"/>
      <c r="BR27" s="371"/>
      <c r="BS27" s="371"/>
      <c r="BT27" s="369" t="str">
        <f t="shared" si="22"/>
        <v>- - -</v>
      </c>
      <c r="BU27" s="372" t="str">
        <f t="shared" si="23"/>
        <v>- - -</v>
      </c>
      <c r="BV27" s="139"/>
      <c r="BW27" s="139"/>
      <c r="BZ27" s="138" t="str">
        <f t="shared" si="24"/>
        <v>- - -</v>
      </c>
      <c r="CE27" s="138" t="str">
        <f t="shared" si="25"/>
        <v>---</v>
      </c>
      <c r="CF27" s="138" t="str">
        <f t="shared" si="26"/>
        <v>/-/ /-/</v>
      </c>
      <c r="CG27" s="138">
        <f t="shared" si="27"/>
        <v>7</v>
      </c>
      <c r="CH27" s="138">
        <f t="shared" si="28"/>
        <v>2033</v>
      </c>
      <c r="CI27" s="138">
        <f t="shared" si="29"/>
        <v>4</v>
      </c>
      <c r="CJ27" s="138">
        <f t="shared" si="30"/>
        <v>2033</v>
      </c>
      <c r="CK27" s="138">
        <f t="shared" si="31"/>
        <v>1</v>
      </c>
      <c r="CL27" s="138">
        <f t="shared" si="32"/>
        <v>2033</v>
      </c>
      <c r="CM27" s="138" t="str">
        <f t="shared" si="33"/>
        <v>- - -</v>
      </c>
      <c r="CN27" s="373" t="str">
        <f t="shared" si="34"/>
        <v>. .</v>
      </c>
      <c r="CO27" s="341"/>
      <c r="CP27" s="145">
        <f t="shared" si="35"/>
        <v>660</v>
      </c>
      <c r="CQ27" s="140">
        <f t="shared" si="36"/>
        <v>-23730</v>
      </c>
      <c r="CR27" s="174">
        <f t="shared" si="37"/>
        <v>-1978</v>
      </c>
      <c r="CS27" s="147" t="str">
        <f t="shared" si="38"/>
        <v>Nữ dưới 30</v>
      </c>
      <c r="CT27" s="141"/>
      <c r="CU27" s="175"/>
      <c r="CV27" s="176" t="str">
        <f t="shared" si="39"/>
        <v>Đến 30</v>
      </c>
      <c r="CW27" s="180" t="str">
        <f t="shared" si="40"/>
        <v>--</v>
      </c>
      <c r="CX27" s="180"/>
      <c r="CY27" s="141"/>
      <c r="CZ27" s="342"/>
      <c r="DA27" s="343"/>
      <c r="DB27" s="144"/>
      <c r="DC27" s="144"/>
      <c r="DG27" s="138" t="s">
        <v>138</v>
      </c>
      <c r="DH27" s="138" t="s">
        <v>9</v>
      </c>
      <c r="DI27" s="138" t="s">
        <v>10</v>
      </c>
      <c r="DJ27" s="138" t="s">
        <v>40</v>
      </c>
      <c r="DK27" s="138" t="s">
        <v>10</v>
      </c>
      <c r="DL27" s="138">
        <v>2012</v>
      </c>
      <c r="DM27" s="138">
        <f t="shared" si="41"/>
        <v>0</v>
      </c>
      <c r="DN27" s="138" t="str">
        <f t="shared" si="42"/>
        <v>- - -</v>
      </c>
      <c r="DO27" s="138" t="s">
        <v>9</v>
      </c>
      <c r="DP27" s="138" t="s">
        <v>10</v>
      </c>
      <c r="DQ27" s="138" t="s">
        <v>40</v>
      </c>
      <c r="DR27" s="138" t="s">
        <v>10</v>
      </c>
      <c r="DS27" s="138">
        <v>2012</v>
      </c>
      <c r="DU27" s="138" t="str">
        <f t="shared" si="43"/>
        <v>- - -</v>
      </c>
      <c r="DV27" s="138" t="str">
        <f t="shared" si="44"/>
        <v>---</v>
      </c>
    </row>
    <row r="28" spans="1:126" s="138" customFormat="1" ht="33" customHeight="1" x14ac:dyDescent="0.25">
      <c r="A28" s="152">
        <v>315</v>
      </c>
      <c r="B28" s="142">
        <v>13</v>
      </c>
      <c r="C28" s="142" t="str">
        <f t="shared" si="0"/>
        <v>Bà</v>
      </c>
      <c r="D28" s="153" t="s">
        <v>157</v>
      </c>
      <c r="E28" s="142" t="s">
        <v>32</v>
      </c>
      <c r="F28" s="154" t="s">
        <v>145</v>
      </c>
      <c r="G28" s="155" t="s">
        <v>10</v>
      </c>
      <c r="H28" s="155">
        <v>7</v>
      </c>
      <c r="I28" s="155" t="s">
        <v>10</v>
      </c>
      <c r="J28" s="156">
        <v>1976</v>
      </c>
      <c r="K28" s="337" t="str">
        <f>IF(AND((M28+0)&gt;0.3,(M28+0)&lt;1.5),"CVụ","- -")</f>
        <v>CVụ</v>
      </c>
      <c r="L28" s="337" t="s">
        <v>128</v>
      </c>
      <c r="M28" s="337" t="str">
        <f>VLOOKUP(L28,'[1]- DLiêu Gốc -'!$B$2:$G$121,2,0)</f>
        <v>0,6</v>
      </c>
      <c r="N28" s="338" t="s">
        <v>158</v>
      </c>
      <c r="O28" s="316" t="s">
        <v>127</v>
      </c>
      <c r="P28" s="157" t="str">
        <f>VLOOKUP(U28,'[1]- DLiêu Gốc -'!$B$2:$G$56,5,0)</f>
        <v>A1</v>
      </c>
      <c r="Q28" s="157" t="str">
        <f>VLOOKUP(U28,'[1]- DLiêu Gốc -'!$B$2:$G$56,6,0)</f>
        <v>- - -</v>
      </c>
      <c r="R28" s="158" t="s">
        <v>41</v>
      </c>
      <c r="S28" s="317" t="str">
        <f t="shared" si="1"/>
        <v>Chuyên viên</v>
      </c>
      <c r="T28" s="159" t="str">
        <f t="shared" si="2"/>
        <v>01.003</v>
      </c>
      <c r="U28" s="160" t="s">
        <v>110</v>
      </c>
      <c r="V28" s="159" t="str">
        <f>VLOOKUP(U28,'[1]- DLiêu Gốc -'!$B$1:$G$121,2,0)</f>
        <v>01.003</v>
      </c>
      <c r="W28" s="161" t="str">
        <f t="shared" si="3"/>
        <v>Lương</v>
      </c>
      <c r="X28" s="162">
        <v>4</v>
      </c>
      <c r="Y28" s="163" t="str">
        <f t="shared" si="4"/>
        <v>/</v>
      </c>
      <c r="Z28" s="164">
        <f t="shared" si="5"/>
        <v>9</v>
      </c>
      <c r="AA28" s="165">
        <f t="shared" si="6"/>
        <v>3.33</v>
      </c>
      <c r="AB28" s="166">
        <f t="shared" si="7"/>
        <v>5</v>
      </c>
      <c r="AC28" s="337" t="str">
        <f t="shared" si="8"/>
        <v>/</v>
      </c>
      <c r="AD28" s="164">
        <f t="shared" si="9"/>
        <v>9</v>
      </c>
      <c r="AE28" s="339">
        <f t="shared" si="10"/>
        <v>3.66</v>
      </c>
      <c r="AF28" s="167" t="s">
        <v>9</v>
      </c>
      <c r="AG28" s="168" t="s">
        <v>10</v>
      </c>
      <c r="AH28" s="169" t="s">
        <v>40</v>
      </c>
      <c r="AI28" s="170" t="s">
        <v>10</v>
      </c>
      <c r="AJ28" s="171">
        <v>2015</v>
      </c>
      <c r="AK28" s="172"/>
      <c r="AL28" s="173"/>
      <c r="AM28" s="145">
        <f t="shared" si="11"/>
        <v>3</v>
      </c>
      <c r="AN28" s="145">
        <f t="shared" si="12"/>
        <v>-24191</v>
      </c>
      <c r="AO28" s="139"/>
      <c r="AP28" s="174"/>
      <c r="AQ28" s="147">
        <f>VLOOKUP(U28,'[1]- DLiêu Gốc -'!$B$1:$E$56,3,0)</f>
        <v>2.34</v>
      </c>
      <c r="AR28" s="141">
        <f>VLOOKUP(U28,'[1]- DLiêu Gốc -'!$B$1:$E$56,4,0)</f>
        <v>0.33</v>
      </c>
      <c r="AS28" s="175"/>
      <c r="AT28" s="176" t="str">
        <f t="shared" si="13"/>
        <v>o-o-o</v>
      </c>
      <c r="AU28" s="177"/>
      <c r="AV28" s="177"/>
      <c r="AW28" s="141">
        <f t="shared" si="14"/>
        <v>0</v>
      </c>
      <c r="AX28" s="178"/>
      <c r="AY28" s="340"/>
      <c r="AZ28" s="144"/>
      <c r="BA28" s="144"/>
      <c r="BB28" s="144"/>
      <c r="BC28" s="144"/>
      <c r="BD28" s="144"/>
      <c r="BE28" s="144"/>
      <c r="BF28" s="146" t="str">
        <f t="shared" si="15"/>
        <v>- - -</v>
      </c>
      <c r="BG28" s="179" t="str">
        <f t="shared" si="16"/>
        <v>- - -</v>
      </c>
      <c r="BH28" s="315" t="str">
        <f t="shared" si="17"/>
        <v>VC</v>
      </c>
      <c r="BI28" s="141"/>
      <c r="BJ28" s="142"/>
      <c r="BK28" s="139" t="s">
        <v>108</v>
      </c>
      <c r="BL28" s="366" t="str">
        <f t="shared" si="18"/>
        <v>A</v>
      </c>
      <c r="BM28" s="139" t="str">
        <f t="shared" si="19"/>
        <v>=&gt; s</v>
      </c>
      <c r="BN28" s="367">
        <f t="shared" si="20"/>
        <v>24215</v>
      </c>
      <c r="BO28" s="368" t="str">
        <f t="shared" si="21"/>
        <v>S</v>
      </c>
      <c r="BP28" s="369">
        <v>2012</v>
      </c>
      <c r="BQ28" s="370" t="s">
        <v>113</v>
      </c>
      <c r="BR28" s="371"/>
      <c r="BS28" s="371"/>
      <c r="BT28" s="369" t="str">
        <f t="shared" si="22"/>
        <v>Cùg Ng</v>
      </c>
      <c r="BU28" s="372" t="str">
        <f t="shared" si="23"/>
        <v>- - -</v>
      </c>
      <c r="BV28" s="139"/>
      <c r="BW28" s="139"/>
      <c r="BZ28" s="138" t="str">
        <f t="shared" si="24"/>
        <v>- - -</v>
      </c>
      <c r="CE28" s="138" t="str">
        <f t="shared" si="25"/>
        <v>---</v>
      </c>
      <c r="CF28" s="138" t="str">
        <f t="shared" si="26"/>
        <v>/-/ /-/</v>
      </c>
      <c r="CG28" s="138">
        <f t="shared" si="27"/>
        <v>8</v>
      </c>
      <c r="CH28" s="138">
        <f t="shared" si="28"/>
        <v>2031</v>
      </c>
      <c r="CI28" s="138">
        <f t="shared" si="29"/>
        <v>5</v>
      </c>
      <c r="CJ28" s="138">
        <f t="shared" si="30"/>
        <v>2031</v>
      </c>
      <c r="CK28" s="138">
        <f t="shared" si="31"/>
        <v>2</v>
      </c>
      <c r="CL28" s="138">
        <f t="shared" si="32"/>
        <v>2031</v>
      </c>
      <c r="CM28" s="138" t="str">
        <f t="shared" si="33"/>
        <v>- - -</v>
      </c>
      <c r="CN28" s="373" t="str">
        <f t="shared" si="34"/>
        <v>. .</v>
      </c>
      <c r="CO28" s="341"/>
      <c r="CP28" s="145">
        <f t="shared" si="35"/>
        <v>660</v>
      </c>
      <c r="CQ28" s="140">
        <f t="shared" si="36"/>
        <v>-23707</v>
      </c>
      <c r="CR28" s="174">
        <f t="shared" si="37"/>
        <v>-1976</v>
      </c>
      <c r="CS28" s="147" t="str">
        <f t="shared" si="38"/>
        <v>Nữ dưới 30</v>
      </c>
      <c r="CT28" s="141"/>
      <c r="CU28" s="175"/>
      <c r="CV28" s="176" t="str">
        <f t="shared" si="39"/>
        <v>Đến 30</v>
      </c>
      <c r="CW28" s="180" t="str">
        <f t="shared" si="40"/>
        <v>TD</v>
      </c>
      <c r="CX28" s="180">
        <v>2008</v>
      </c>
      <c r="CY28" s="141"/>
      <c r="CZ28" s="342"/>
      <c r="DA28" s="343"/>
      <c r="DB28" s="144"/>
      <c r="DC28" s="144"/>
      <c r="DG28" s="138" t="s">
        <v>158</v>
      </c>
      <c r="DH28" s="138" t="s">
        <v>9</v>
      </c>
      <c r="DI28" s="138" t="s">
        <v>10</v>
      </c>
      <c r="DJ28" s="138" t="s">
        <v>40</v>
      </c>
      <c r="DK28" s="138" t="s">
        <v>10</v>
      </c>
      <c r="DL28" s="138">
        <v>2012</v>
      </c>
      <c r="DM28" s="138">
        <f t="shared" si="41"/>
        <v>0</v>
      </c>
      <c r="DN28" s="138" t="str">
        <f t="shared" si="42"/>
        <v>- - -</v>
      </c>
      <c r="DO28" s="138" t="s">
        <v>9</v>
      </c>
      <c r="DP28" s="138" t="s">
        <v>10</v>
      </c>
      <c r="DQ28" s="138" t="s">
        <v>40</v>
      </c>
      <c r="DR28" s="138" t="s">
        <v>10</v>
      </c>
      <c r="DS28" s="138">
        <v>2012</v>
      </c>
      <c r="DU28" s="138" t="str">
        <f t="shared" si="43"/>
        <v>- - -</v>
      </c>
      <c r="DV28" s="138" t="str">
        <f t="shared" si="44"/>
        <v>---</v>
      </c>
    </row>
    <row r="29" spans="1:126" s="138" customFormat="1" ht="33" customHeight="1" x14ac:dyDescent="0.25">
      <c r="A29" s="152">
        <v>529</v>
      </c>
      <c r="B29" s="142">
        <v>14</v>
      </c>
      <c r="C29" s="142" t="str">
        <f t="shared" si="0"/>
        <v>Bà</v>
      </c>
      <c r="D29" s="153" t="s">
        <v>159</v>
      </c>
      <c r="E29" s="142" t="s">
        <v>32</v>
      </c>
      <c r="F29" s="154" t="s">
        <v>109</v>
      </c>
      <c r="G29" s="155" t="s">
        <v>10</v>
      </c>
      <c r="H29" s="155" t="s">
        <v>47</v>
      </c>
      <c r="I29" s="155" t="s">
        <v>10</v>
      </c>
      <c r="J29" s="156">
        <v>1984</v>
      </c>
      <c r="K29" s="337"/>
      <c r="L29" s="337"/>
      <c r="M29" s="337" t="e">
        <f>VLOOKUP(L29,'[1]- DLiêu Gốc -'!$B$2:$G$121,2,0)</f>
        <v>#N/A</v>
      </c>
      <c r="N29" s="344" t="s">
        <v>160</v>
      </c>
      <c r="O29" s="316" t="s">
        <v>49</v>
      </c>
      <c r="P29" s="157" t="str">
        <f>VLOOKUP(U29,'[1]- DLiêu Gốc -'!$B$2:$G$56,5,0)</f>
        <v>A1</v>
      </c>
      <c r="Q29" s="157" t="str">
        <f>VLOOKUP(U29,'[1]- DLiêu Gốc -'!$B$2:$G$56,6,0)</f>
        <v>- - -</v>
      </c>
      <c r="R29" s="158" t="s">
        <v>41</v>
      </c>
      <c r="S29" s="317" t="str">
        <f t="shared" si="1"/>
        <v>Kế toán viên</v>
      </c>
      <c r="T29" s="159" t="str">
        <f t="shared" si="2"/>
        <v>06.031</v>
      </c>
      <c r="U29" s="160" t="s">
        <v>161</v>
      </c>
      <c r="V29" s="159" t="str">
        <f>VLOOKUP(U29,'[1]- DLiêu Gốc -'!$B$1:$G$121,2,0)</f>
        <v>06.031</v>
      </c>
      <c r="W29" s="161" t="str">
        <f t="shared" si="3"/>
        <v>Lương</v>
      </c>
      <c r="X29" s="162">
        <v>1</v>
      </c>
      <c r="Y29" s="163" t="str">
        <f t="shared" si="4"/>
        <v>/</v>
      </c>
      <c r="Z29" s="164">
        <f t="shared" si="5"/>
        <v>9</v>
      </c>
      <c r="AA29" s="165">
        <f t="shared" si="6"/>
        <v>2.34</v>
      </c>
      <c r="AB29" s="166">
        <f t="shared" si="7"/>
        <v>2</v>
      </c>
      <c r="AC29" s="337" t="str">
        <f t="shared" si="8"/>
        <v>/</v>
      </c>
      <c r="AD29" s="164">
        <f t="shared" si="9"/>
        <v>9</v>
      </c>
      <c r="AE29" s="339">
        <f t="shared" si="10"/>
        <v>2.67</v>
      </c>
      <c r="AF29" s="167" t="s">
        <v>9</v>
      </c>
      <c r="AG29" s="168" t="s">
        <v>10</v>
      </c>
      <c r="AH29" s="169" t="s">
        <v>40</v>
      </c>
      <c r="AI29" s="170" t="s">
        <v>10</v>
      </c>
      <c r="AJ29" s="171">
        <v>2015</v>
      </c>
      <c r="AK29" s="172"/>
      <c r="AL29" s="173"/>
      <c r="AM29" s="145">
        <f t="shared" si="11"/>
        <v>3</v>
      </c>
      <c r="AN29" s="145">
        <f t="shared" si="12"/>
        <v>-24191</v>
      </c>
      <c r="AO29" s="139"/>
      <c r="AP29" s="174"/>
      <c r="AQ29" s="147">
        <f>VLOOKUP(U29,'[1]- DLiêu Gốc -'!$B$1:$E$56,3,0)</f>
        <v>2.34</v>
      </c>
      <c r="AR29" s="141">
        <f>VLOOKUP(U29,'[1]- DLiêu Gốc -'!$B$1:$E$56,4,0)</f>
        <v>0.33</v>
      </c>
      <c r="AS29" s="175"/>
      <c r="AT29" s="176" t="str">
        <f t="shared" si="13"/>
        <v>o-o-o</v>
      </c>
      <c r="AU29" s="177"/>
      <c r="AV29" s="177"/>
      <c r="AW29" s="141">
        <f t="shared" si="14"/>
        <v>0</v>
      </c>
      <c r="AX29" s="178"/>
      <c r="AY29" s="340"/>
      <c r="AZ29" s="144"/>
      <c r="BA29" s="144"/>
      <c r="BB29" s="144"/>
      <c r="BC29" s="144"/>
      <c r="BD29" s="144"/>
      <c r="BE29" s="144"/>
      <c r="BF29" s="146" t="str">
        <f t="shared" si="15"/>
        <v>- - -</v>
      </c>
      <c r="BG29" s="179" t="str">
        <f t="shared" si="16"/>
        <v>- - -</v>
      </c>
      <c r="BH29" s="315" t="str">
        <f t="shared" si="17"/>
        <v>NLĐ</v>
      </c>
      <c r="BI29" s="141"/>
      <c r="BJ29" s="142"/>
      <c r="BK29" s="139" t="s">
        <v>44</v>
      </c>
      <c r="BL29" s="366" t="str">
        <f t="shared" si="18"/>
        <v>A</v>
      </c>
      <c r="BM29" s="139" t="str">
        <f t="shared" si="19"/>
        <v>=&gt; s</v>
      </c>
      <c r="BN29" s="367">
        <f t="shared" si="20"/>
        <v>24215</v>
      </c>
      <c r="BO29" s="368" t="str">
        <f t="shared" si="21"/>
        <v>---</v>
      </c>
      <c r="BP29" s="369"/>
      <c r="BQ29" s="370"/>
      <c r="BR29" s="371"/>
      <c r="BS29" s="371"/>
      <c r="BT29" s="369" t="str">
        <f t="shared" si="22"/>
        <v>- - -</v>
      </c>
      <c r="BU29" s="372" t="str">
        <f t="shared" si="23"/>
        <v>- - -</v>
      </c>
      <c r="BV29" s="139"/>
      <c r="BW29" s="139"/>
      <c r="BZ29" s="138" t="str">
        <f t="shared" si="24"/>
        <v>- - -</v>
      </c>
      <c r="CE29" s="138" t="str">
        <f t="shared" si="25"/>
        <v>---</v>
      </c>
      <c r="CF29" s="138" t="str">
        <f t="shared" si="26"/>
        <v>/-/ /-/</v>
      </c>
      <c r="CG29" s="138">
        <f t="shared" si="27"/>
        <v>11</v>
      </c>
      <c r="CH29" s="138">
        <f t="shared" si="28"/>
        <v>2039</v>
      </c>
      <c r="CI29" s="138">
        <f t="shared" si="29"/>
        <v>8</v>
      </c>
      <c r="CJ29" s="138">
        <f t="shared" si="30"/>
        <v>2039</v>
      </c>
      <c r="CK29" s="138">
        <f t="shared" si="31"/>
        <v>5</v>
      </c>
      <c r="CL29" s="138">
        <f t="shared" si="32"/>
        <v>2039</v>
      </c>
      <c r="CM29" s="138" t="str">
        <f t="shared" si="33"/>
        <v>- - -</v>
      </c>
      <c r="CN29" s="373" t="str">
        <f t="shared" si="34"/>
        <v>. .</v>
      </c>
      <c r="CO29" s="341"/>
      <c r="CP29" s="145">
        <f t="shared" si="35"/>
        <v>660</v>
      </c>
      <c r="CQ29" s="140">
        <f t="shared" si="36"/>
        <v>-23806</v>
      </c>
      <c r="CR29" s="174">
        <f t="shared" si="37"/>
        <v>-1984</v>
      </c>
      <c r="CS29" s="147" t="str">
        <f t="shared" si="38"/>
        <v>Nữ dưới 30</v>
      </c>
      <c r="CT29" s="141"/>
      <c r="CU29" s="175"/>
      <c r="CV29" s="176" t="str">
        <f t="shared" si="39"/>
        <v>Đến 30</v>
      </c>
      <c r="CW29" s="180" t="str">
        <f t="shared" si="40"/>
        <v>--</v>
      </c>
      <c r="CX29" s="180"/>
      <c r="CY29" s="141"/>
      <c r="CZ29" s="342"/>
      <c r="DA29" s="343"/>
      <c r="DB29" s="144"/>
      <c r="DC29" s="144"/>
      <c r="DG29" s="138" t="s">
        <v>160</v>
      </c>
      <c r="DH29" s="138" t="s">
        <v>9</v>
      </c>
      <c r="DI29" s="138" t="s">
        <v>10</v>
      </c>
      <c r="DJ29" s="138" t="s">
        <v>40</v>
      </c>
      <c r="DK29" s="138" t="s">
        <v>10</v>
      </c>
      <c r="DL29" s="138" t="s">
        <v>42</v>
      </c>
      <c r="DM29" s="138">
        <f t="shared" si="41"/>
        <v>0</v>
      </c>
      <c r="DN29" s="138" t="str">
        <f t="shared" si="42"/>
        <v>- - -</v>
      </c>
      <c r="DO29" s="138" t="s">
        <v>9</v>
      </c>
      <c r="DP29" s="138" t="s">
        <v>10</v>
      </c>
      <c r="DQ29" s="138" t="s">
        <v>40</v>
      </c>
      <c r="DR29" s="138" t="s">
        <v>10</v>
      </c>
      <c r="DS29" s="138" t="s">
        <v>42</v>
      </c>
      <c r="DU29" s="138" t="str">
        <f t="shared" si="43"/>
        <v>- - -</v>
      </c>
      <c r="DV29" s="138" t="str">
        <f t="shared" si="44"/>
        <v>---</v>
      </c>
    </row>
    <row r="30" spans="1:126" s="187" customFormat="1" ht="21" customHeight="1" x14ac:dyDescent="0.3">
      <c r="A30" s="181"/>
      <c r="B30" s="182" t="s">
        <v>50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4"/>
      <c r="Q30" s="184"/>
      <c r="R30" s="184"/>
      <c r="S30" s="185"/>
      <c r="T30" s="186"/>
      <c r="U30" s="185"/>
      <c r="V30" s="127"/>
      <c r="W30" s="127"/>
      <c r="X30" s="388" t="s">
        <v>51</v>
      </c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</row>
    <row r="31" spans="1:126" s="195" customFormat="1" ht="15.75" x14ac:dyDescent="0.25">
      <c r="A31" s="188"/>
      <c r="B31" s="197" t="s">
        <v>54</v>
      </c>
      <c r="C31" s="189"/>
      <c r="D31" s="187"/>
      <c r="E31" s="190"/>
      <c r="F31" s="189"/>
      <c r="G31" s="191"/>
      <c r="H31" s="187"/>
      <c r="I31" s="192"/>
      <c r="J31" s="192"/>
      <c r="K31" s="192"/>
      <c r="L31" s="192"/>
      <c r="M31" s="192"/>
      <c r="N31" s="193"/>
      <c r="O31" s="193"/>
      <c r="P31" s="192"/>
      <c r="Q31" s="192"/>
      <c r="R31" s="192"/>
      <c r="S31" s="193"/>
      <c r="T31" s="190"/>
      <c r="U31" s="193"/>
      <c r="V31" s="194"/>
      <c r="W31" s="194"/>
      <c r="X31" s="388" t="s">
        <v>53</v>
      </c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59"/>
      <c r="BJ31" s="359"/>
      <c r="BK31" s="359"/>
      <c r="BL31" s="359"/>
      <c r="BM31" s="359"/>
      <c r="BN31" s="359"/>
      <c r="BO31" s="359"/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</row>
    <row r="32" spans="1:126" s="205" customFormat="1" ht="15.75" x14ac:dyDescent="0.25">
      <c r="A32" s="196">
        <v>690</v>
      </c>
      <c r="B32" s="197" t="s">
        <v>56</v>
      </c>
      <c r="C32" s="189"/>
      <c r="D32" s="187"/>
      <c r="E32" s="190"/>
      <c r="F32" s="189"/>
      <c r="G32" s="191"/>
      <c r="H32" s="187"/>
      <c r="I32" s="192"/>
      <c r="J32" s="192"/>
      <c r="K32" s="192"/>
      <c r="L32" s="192"/>
      <c r="M32" s="192"/>
      <c r="N32" s="193"/>
      <c r="O32" s="193"/>
      <c r="P32" s="192"/>
      <c r="Q32" s="192"/>
      <c r="R32" s="192"/>
      <c r="S32" s="193"/>
      <c r="T32" s="190"/>
      <c r="U32" s="193"/>
      <c r="V32" s="194"/>
      <c r="W32" s="194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9"/>
      <c r="AL32" s="200"/>
      <c r="AM32" s="200"/>
      <c r="AN32" s="200"/>
      <c r="AO32" s="200"/>
      <c r="AP32" s="200"/>
      <c r="AQ32" s="200"/>
      <c r="AR32" s="200"/>
      <c r="AS32" s="200"/>
      <c r="AT32" s="200"/>
      <c r="AU32" s="201"/>
      <c r="AV32" s="201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350"/>
      <c r="BJ32" s="241"/>
      <c r="BK32" s="242"/>
      <c r="BL32" s="243"/>
      <c r="BM32" s="242"/>
      <c r="BN32" s="360"/>
      <c r="BO32" s="361"/>
      <c r="BP32" s="362"/>
      <c r="BQ32" s="363"/>
      <c r="BR32" s="363"/>
      <c r="BS32" s="363"/>
      <c r="BT32" s="362"/>
      <c r="BU32" s="361"/>
      <c r="BV32" s="242"/>
      <c r="BW32" s="242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5"/>
      <c r="CO32" s="216"/>
      <c r="CP32" s="217"/>
      <c r="CQ32" s="218"/>
      <c r="CR32" s="219"/>
      <c r="CS32" s="220"/>
      <c r="CT32" s="221"/>
      <c r="CU32" s="222"/>
      <c r="CV32" s="223"/>
      <c r="CW32" s="224"/>
      <c r="CX32" s="224"/>
      <c r="CY32" s="221"/>
      <c r="CZ32" s="202"/>
      <c r="DA32" s="203"/>
      <c r="DB32" s="204"/>
      <c r="DC32" s="204"/>
    </row>
    <row r="33" spans="1:107" s="205" customFormat="1" ht="15.75" x14ac:dyDescent="0.25">
      <c r="A33" s="196">
        <v>721</v>
      </c>
      <c r="B33" s="197"/>
      <c r="C33" s="189"/>
      <c r="D33" s="187"/>
      <c r="E33" s="190"/>
      <c r="F33" s="189"/>
      <c r="G33" s="191"/>
      <c r="H33" s="187"/>
      <c r="I33" s="206"/>
      <c r="J33" s="206"/>
      <c r="K33" s="206"/>
      <c r="L33" s="206"/>
      <c r="M33" s="206"/>
      <c r="N33" s="207"/>
      <c r="O33" s="207"/>
      <c r="P33" s="206"/>
      <c r="Q33" s="206"/>
      <c r="R33" s="206"/>
      <c r="S33" s="207"/>
      <c r="T33" s="208"/>
      <c r="U33" s="207"/>
      <c r="V33" s="194"/>
      <c r="W33" s="194"/>
      <c r="X33" s="389" t="s">
        <v>55</v>
      </c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50"/>
      <c r="BJ33" s="241"/>
      <c r="BK33" s="242"/>
      <c r="BL33" s="243"/>
      <c r="BM33" s="242"/>
      <c r="BN33" s="360"/>
      <c r="BO33" s="361"/>
      <c r="BP33" s="362"/>
      <c r="BQ33" s="363"/>
      <c r="BR33" s="363"/>
      <c r="BS33" s="363"/>
      <c r="BT33" s="362"/>
      <c r="BU33" s="361"/>
      <c r="BV33" s="242"/>
      <c r="BW33" s="242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5"/>
      <c r="CO33" s="216"/>
      <c r="CP33" s="217"/>
      <c r="CQ33" s="218"/>
      <c r="CR33" s="219"/>
      <c r="CS33" s="220"/>
      <c r="CT33" s="221"/>
      <c r="CU33" s="222"/>
      <c r="CV33" s="223"/>
      <c r="CW33" s="224"/>
      <c r="CX33" s="224"/>
      <c r="CY33" s="221"/>
      <c r="CZ33" s="202"/>
      <c r="DA33" s="203"/>
      <c r="DB33" s="204"/>
      <c r="DC33" s="204"/>
    </row>
    <row r="34" spans="1:107" s="205" customFormat="1" ht="15.75" x14ac:dyDescent="0.25">
      <c r="A34" s="196">
        <v>746</v>
      </c>
      <c r="C34" s="189"/>
      <c r="D34" s="187"/>
      <c r="E34" s="190"/>
      <c r="F34" s="189"/>
      <c r="G34" s="191"/>
      <c r="H34" s="187"/>
      <c r="I34" s="206"/>
      <c r="J34" s="206"/>
      <c r="K34" s="206"/>
      <c r="L34" s="206"/>
      <c r="M34" s="206"/>
      <c r="N34" s="207"/>
      <c r="O34" s="207"/>
      <c r="P34" s="206"/>
      <c r="Q34" s="206"/>
      <c r="R34" s="206"/>
      <c r="S34" s="207"/>
      <c r="T34" s="208"/>
      <c r="U34" s="207"/>
      <c r="V34" s="194"/>
      <c r="W34" s="194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350"/>
      <c r="BJ34" s="241"/>
      <c r="BK34" s="242"/>
      <c r="BL34" s="243"/>
      <c r="BM34" s="242"/>
      <c r="BN34" s="360"/>
      <c r="BO34" s="361"/>
      <c r="BP34" s="362"/>
      <c r="BQ34" s="363"/>
      <c r="BR34" s="363"/>
      <c r="BS34" s="363"/>
      <c r="BT34" s="362"/>
      <c r="BU34" s="361"/>
      <c r="BV34" s="242"/>
      <c r="BW34" s="242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5"/>
      <c r="CO34" s="216"/>
      <c r="CP34" s="217"/>
      <c r="CQ34" s="218"/>
      <c r="CR34" s="219"/>
      <c r="CS34" s="220"/>
      <c r="CT34" s="221"/>
      <c r="CU34" s="222"/>
      <c r="CV34" s="223"/>
      <c r="CW34" s="224"/>
      <c r="CX34" s="224"/>
      <c r="CY34" s="221"/>
      <c r="CZ34" s="202"/>
      <c r="DA34" s="203"/>
      <c r="DB34" s="204"/>
      <c r="DC34" s="204"/>
    </row>
    <row r="35" spans="1:107" s="205" customFormat="1" ht="16.5" customHeight="1" x14ac:dyDescent="0.3">
      <c r="A35" s="196">
        <v>749</v>
      </c>
      <c r="B35" s="210"/>
      <c r="C35" s="189"/>
      <c r="D35" s="211"/>
      <c r="E35" s="190"/>
      <c r="F35" s="189"/>
      <c r="G35" s="191"/>
      <c r="H35" s="187"/>
      <c r="I35" s="206"/>
      <c r="J35" s="206"/>
      <c r="K35" s="206"/>
      <c r="L35" s="206"/>
      <c r="M35" s="206"/>
      <c r="N35" s="207"/>
      <c r="O35" s="207"/>
      <c r="P35" s="206"/>
      <c r="Q35" s="206"/>
      <c r="R35" s="206"/>
      <c r="S35" s="207"/>
      <c r="T35" s="208"/>
      <c r="U35" s="207"/>
      <c r="V35" s="194"/>
      <c r="W35" s="194"/>
      <c r="X35" s="390" t="s">
        <v>106</v>
      </c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244"/>
      <c r="BJ35" s="241"/>
      <c r="BK35" s="242"/>
      <c r="BL35" s="243"/>
      <c r="BM35" s="242"/>
      <c r="BN35" s="214"/>
      <c r="BO35" s="351"/>
      <c r="BP35" s="352"/>
      <c r="BQ35" s="353"/>
      <c r="BR35" s="354"/>
      <c r="BS35" s="354"/>
      <c r="BT35" s="352"/>
      <c r="BU35" s="355"/>
      <c r="BV35" s="356"/>
      <c r="BW35" s="356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357"/>
      <c r="CO35" s="216"/>
      <c r="CP35" s="217"/>
      <c r="CQ35" s="218"/>
      <c r="CR35" s="219"/>
      <c r="CS35" s="220"/>
      <c r="CT35" s="221"/>
      <c r="CU35" s="222"/>
      <c r="CV35" s="223"/>
      <c r="CW35" s="224"/>
      <c r="CX35" s="224"/>
      <c r="CY35" s="221"/>
      <c r="CZ35" s="202"/>
      <c r="DA35" s="203"/>
      <c r="DB35" s="204"/>
      <c r="DC35" s="204"/>
    </row>
  </sheetData>
  <mergeCells count="31">
    <mergeCell ref="X30:BH30"/>
    <mergeCell ref="X31:BH31"/>
    <mergeCell ref="X33:BH33"/>
    <mergeCell ref="X35:BH35"/>
    <mergeCell ref="N15:O15"/>
    <mergeCell ref="S15:T15"/>
    <mergeCell ref="X15:Z15"/>
    <mergeCell ref="AB15:AD15"/>
    <mergeCell ref="AF15:AJ15"/>
    <mergeCell ref="AK13:AK14"/>
    <mergeCell ref="AM13:AM14"/>
    <mergeCell ref="AX13:AX14"/>
    <mergeCell ref="BH13:BH14"/>
    <mergeCell ref="X14:Z14"/>
    <mergeCell ref="AB14:AD14"/>
    <mergeCell ref="AF14:AJ14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4:BH5"/>
    <mergeCell ref="B1:N1"/>
    <mergeCell ref="S1:AE1"/>
    <mergeCell ref="B2:N2"/>
    <mergeCell ref="S2:AE2"/>
    <mergeCell ref="S3:AE3"/>
  </mergeCells>
  <conditionalFormatting sqref="BI12:BI14">
    <cfRule type="expression" dxfId="398" priority="3204" stopIfTrue="1">
      <formula>IF(BJ12="Trên 45",1,0)</formula>
    </cfRule>
    <cfRule type="expression" dxfId="397" priority="3205" stopIfTrue="1">
      <formula>IF(BJ12="30 - 45",1,0)</formula>
    </cfRule>
    <cfRule type="expression" dxfId="396" priority="3206" stopIfTrue="1">
      <formula>IF(BJ12="Dưới 30",1,0)</formula>
    </cfRule>
  </conditionalFormatting>
  <conditionalFormatting sqref="CU12:CU14">
    <cfRule type="expression" dxfId="395" priority="3207" stopIfTrue="1">
      <formula>IF(CV12&gt;0,1,0)</formula>
    </cfRule>
    <cfRule type="expression" dxfId="394" priority="3208" stopIfTrue="1">
      <formula>IF(CV12=0,1,0)</formula>
    </cfRule>
  </conditionalFormatting>
  <conditionalFormatting sqref="CT12:CT14">
    <cfRule type="expression" dxfId="393" priority="3198" stopIfTrue="1">
      <formula>12*(#REF!-CM12)+(#REF!-CK12)</formula>
    </cfRule>
  </conditionalFormatting>
  <conditionalFormatting sqref="CY12:CY14">
    <cfRule type="expression" dxfId="392" priority="3199" stopIfTrue="1">
      <formula>12*(#REF!-CQ12)+(#REF!-CO12)</formula>
    </cfRule>
  </conditionalFormatting>
  <conditionalFormatting sqref="BJ10">
    <cfRule type="expression" dxfId="391" priority="2984" stopIfTrue="1">
      <formula>IF(BK10="Trên 45",1,0)</formula>
    </cfRule>
    <cfRule type="expression" dxfId="390" priority="2985" stopIfTrue="1">
      <formula>IF(BK10="30 - 45",1,0)</formula>
    </cfRule>
    <cfRule type="expression" dxfId="389" priority="2986" stopIfTrue="1">
      <formula>IF(BK10="Dưới 30",1,0)</formula>
    </cfRule>
  </conditionalFormatting>
  <conditionalFormatting sqref="CV10">
    <cfRule type="expression" dxfId="388" priority="2987" stopIfTrue="1">
      <formula>IF(CW10&gt;0,1,0)</formula>
    </cfRule>
    <cfRule type="expression" dxfId="387" priority="2988" stopIfTrue="1">
      <formula>IF(CW10=0,1,0)</formula>
    </cfRule>
  </conditionalFormatting>
  <conditionalFormatting sqref="BI10">
    <cfRule type="cellIs" dxfId="386" priority="2989" stopIfTrue="1" operator="between">
      <formula>"720"</formula>
      <formula>"720"</formula>
    </cfRule>
    <cfRule type="cellIs" dxfId="385" priority="2990" stopIfTrue="1" operator="between">
      <formula>"660"</formula>
      <formula>"660"</formula>
    </cfRule>
  </conditionalFormatting>
  <conditionalFormatting sqref="CY10">
    <cfRule type="expression" dxfId="384" priority="2996" stopIfTrue="1">
      <formula>IF(OR(CY10=0.36),1,0)</formula>
    </cfRule>
    <cfRule type="expression" dxfId="383" priority="2997" stopIfTrue="1">
      <formula>IF(CY10=0.34,1,0)</formula>
    </cfRule>
    <cfRule type="expression" dxfId="382" priority="2998" stopIfTrue="1">
      <formula>IF(CY10&lt;0.33,1,0)</formula>
    </cfRule>
  </conditionalFormatting>
  <conditionalFormatting sqref="DB10">
    <cfRule type="cellIs" dxfId="381" priority="2999" stopIfTrue="1" operator="between">
      <formula>"Hưu"</formula>
      <formula>"Hưu"</formula>
    </cfRule>
    <cfRule type="cellIs" dxfId="380" priority="3000" stopIfTrue="1" operator="between">
      <formula>"---"</formula>
      <formula>"---"</formula>
    </cfRule>
    <cfRule type="cellIs" dxfId="379" priority="3001" stopIfTrue="1" operator="between">
      <formula>"Quá"</formula>
      <formula>"Quá"</formula>
    </cfRule>
  </conditionalFormatting>
  <conditionalFormatting sqref="CX10">
    <cfRule type="expression" dxfId="378" priority="3002" stopIfTrue="1">
      <formula>IF(OR(CX10=5.57,CX10=6.2),1,0)</formula>
    </cfRule>
    <cfRule type="expression" dxfId="377" priority="3003" stopIfTrue="1">
      <formula>IF(OR(CX10=4,CX10=4.4),1,0)</formula>
    </cfRule>
    <cfRule type="expression" dxfId="376" priority="3004" stopIfTrue="1">
      <formula>IF(AND(CX10&gt;0.9,CX10&lt;2.34),1,0)</formula>
    </cfRule>
  </conditionalFormatting>
  <conditionalFormatting sqref="CT10">
    <cfRule type="cellIs" dxfId="375" priority="3005" stopIfTrue="1" operator="between">
      <formula>1</formula>
      <formula>1</formula>
    </cfRule>
    <cfRule type="cellIs" dxfId="374" priority="3006" stopIfTrue="1" operator="between">
      <formula>2</formula>
      <formula>2</formula>
    </cfRule>
    <cfRule type="cellIs" dxfId="373" priority="3007" stopIfTrue="1" operator="between">
      <formula>3</formula>
      <formula>3</formula>
    </cfRule>
  </conditionalFormatting>
  <conditionalFormatting sqref="CW10">
    <cfRule type="expression" dxfId="372" priority="3008" stopIfTrue="1">
      <formula>IF(CW10&gt;0,1,0)</formula>
    </cfRule>
    <cfRule type="expression" dxfId="371" priority="3009" stopIfTrue="1">
      <formula>IF(CW10&lt;1,1,0)</formula>
    </cfRule>
  </conditionalFormatting>
  <conditionalFormatting sqref="CS10">
    <cfRule type="cellIs" dxfId="370" priority="3010" stopIfTrue="1" operator="between">
      <formula>"Đến"</formula>
      <formula>"Đến"</formula>
    </cfRule>
    <cfRule type="cellIs" dxfId="369" priority="3011" stopIfTrue="1" operator="between">
      <formula>"Quá"</formula>
      <formula>"Quá"</formula>
    </cfRule>
    <cfRule type="expression" dxfId="368" priority="3012" stopIfTrue="1">
      <formula>IF(OR(CS10="Lương Sớm Hưu",CS10="Nâng Ngạch Hưu"),1,0)</formula>
    </cfRule>
  </conditionalFormatting>
  <conditionalFormatting sqref="DC10:DD10">
    <cfRule type="expression" dxfId="367" priority="3013" stopIfTrue="1">
      <formula>IF(DC10&gt;0,1,0)</formula>
    </cfRule>
  </conditionalFormatting>
  <conditionalFormatting sqref="CR10">
    <cfRule type="cellIs" dxfId="366" priority="3014" stopIfTrue="1" operator="between">
      <formula>"B"</formula>
      <formula>"B"</formula>
    </cfRule>
    <cfRule type="cellIs" dxfId="365" priority="3015" stopIfTrue="1" operator="between">
      <formula>"C"</formula>
      <formula>"C"</formula>
    </cfRule>
    <cfRule type="cellIs" dxfId="364" priority="3016" stopIfTrue="1" operator="between">
      <formula>"D"</formula>
      <formula>"D"</formula>
    </cfRule>
  </conditionalFormatting>
  <conditionalFormatting sqref="CQ10">
    <cfRule type="cellIs" dxfId="363" priority="3017" stopIfTrue="1" operator="between">
      <formula>"công chức, viên chức"</formula>
      <formula>"công chức, viên chức"</formula>
    </cfRule>
    <cfRule type="cellIs" dxfId="362" priority="3018" stopIfTrue="1" operator="between">
      <formula>"lao động hợp đồng"</formula>
      <formula>"lao động hợp đồng"</formula>
    </cfRule>
  </conditionalFormatting>
  <conditionalFormatting sqref="DA10">
    <cfRule type="expression" dxfId="361" priority="3019" stopIfTrue="1">
      <formula>IF(DA10="Nâg Ngạch sau TB",1,0)</formula>
    </cfRule>
    <cfRule type="expression" dxfId="360" priority="3020" stopIfTrue="1">
      <formula>IF(DA10="Nâg Lươg Sớm sau TB",1,0)</formula>
    </cfRule>
    <cfRule type="expression" dxfId="359" priority="3021" stopIfTrue="1">
      <formula>IF(DA10="Nâg PC TNVK cùng QĐ",1,0)</formula>
    </cfRule>
  </conditionalFormatting>
  <conditionalFormatting sqref="CP10">
    <cfRule type="expression" dxfId="358" priority="3022" stopIfTrue="1">
      <formula>IF(CP10=0,1,0)</formula>
    </cfRule>
    <cfRule type="expression" dxfId="357" priority="3023" stopIfTrue="1">
      <formula>IF(CP10&gt;0,1,0)</formula>
    </cfRule>
  </conditionalFormatting>
  <conditionalFormatting sqref="BK10">
    <cfRule type="expression" dxfId="356" priority="2991" stopIfTrue="1">
      <formula>IF(BK10="Trên 45",1,0)</formula>
    </cfRule>
    <cfRule type="expression" dxfId="355" priority="2992" stopIfTrue="1">
      <formula>IF(BK10="30 - 45",1,0)</formula>
    </cfRule>
    <cfRule type="expression" dxfId="354" priority="2993" stopIfTrue="1">
      <formula>IF(BK10="Dưới 30",1,0)</formula>
    </cfRule>
  </conditionalFormatting>
  <conditionalFormatting sqref="BM10">
    <cfRule type="cellIs" dxfId="353" priority="2994" stopIfTrue="1" operator="between">
      <formula>"Có hạn"</formula>
      <formula>"Có hạn"</formula>
    </cfRule>
    <cfRule type="cellIs" dxfId="352" priority="2995" stopIfTrue="1" operator="between">
      <formula>"Ko hạn"</formula>
      <formula>"Ko hạn"</formula>
    </cfRule>
  </conditionalFormatting>
  <conditionalFormatting sqref="CX12:CX14">
    <cfRule type="expression" dxfId="351" priority="2956" stopIfTrue="1">
      <formula>IF(OR(CX12=0.36),1,0)</formula>
    </cfRule>
    <cfRule type="expression" dxfId="350" priority="2957" stopIfTrue="1">
      <formula>IF(CX12=0.34,1,0)</formula>
    </cfRule>
    <cfRule type="expression" dxfId="349" priority="2958" stopIfTrue="1">
      <formula>IF(CX12&lt;0.33,1,0)</formula>
    </cfRule>
  </conditionalFormatting>
  <conditionalFormatting sqref="DA12:DA14">
    <cfRule type="cellIs" dxfId="348" priority="2959" stopIfTrue="1" operator="between">
      <formula>"Hưu"</formula>
      <formula>"Hưu"</formula>
    </cfRule>
    <cfRule type="cellIs" dxfId="347" priority="2960" stopIfTrue="1" operator="between">
      <formula>"---"</formula>
      <formula>"---"</formula>
    </cfRule>
    <cfRule type="cellIs" dxfId="346" priority="2961" stopIfTrue="1" operator="between">
      <formula>"Quá"</formula>
      <formula>"Quá"</formula>
    </cfRule>
  </conditionalFormatting>
  <conditionalFormatting sqref="CW12:CW14">
    <cfRule type="expression" dxfId="345" priority="2962" stopIfTrue="1">
      <formula>IF(OR(CW12=5.57,CW12=6.2),1,0)</formula>
    </cfRule>
    <cfRule type="expression" dxfId="344" priority="2963" stopIfTrue="1">
      <formula>IF(OR(CW12=4,CW12=4.4),1,0)</formula>
    </cfRule>
    <cfRule type="expression" dxfId="343" priority="2964" stopIfTrue="1">
      <formula>IF(AND(CW12&gt;0.9,CW12&lt;2.34),1,0)</formula>
    </cfRule>
  </conditionalFormatting>
  <conditionalFormatting sqref="CS12:CS14">
    <cfRule type="cellIs" dxfId="342" priority="2965" stopIfTrue="1" operator="between">
      <formula>1</formula>
      <formula>1</formula>
    </cfRule>
    <cfRule type="cellIs" dxfId="341" priority="2966" stopIfTrue="1" operator="between">
      <formula>2</formula>
      <formula>2</formula>
    </cfRule>
    <cfRule type="cellIs" dxfId="340" priority="2967" stopIfTrue="1" operator="between">
      <formula>3</formula>
      <formula>3</formula>
    </cfRule>
  </conditionalFormatting>
  <conditionalFormatting sqref="CV12:CV14">
    <cfRule type="expression" dxfId="339" priority="2968" stopIfTrue="1">
      <formula>IF(CV12&gt;0,1,0)</formula>
    </cfRule>
    <cfRule type="expression" dxfId="338" priority="2969" stopIfTrue="1">
      <formula>IF(CV12&lt;1,1,0)</formula>
    </cfRule>
  </conditionalFormatting>
  <conditionalFormatting sqref="CR12:CR14">
    <cfRule type="cellIs" dxfId="337" priority="2970" stopIfTrue="1" operator="between">
      <formula>"Đến"</formula>
      <formula>"Đến"</formula>
    </cfRule>
    <cfRule type="cellIs" dxfId="336" priority="2971" stopIfTrue="1" operator="between">
      <formula>"Quá"</formula>
      <formula>"Quá"</formula>
    </cfRule>
    <cfRule type="expression" dxfId="335" priority="2972" stopIfTrue="1">
      <formula>IF(OR(CR12="Lương Sớm Hưu",CR12="Nâng Ngạch Hưu"),1,0)</formula>
    </cfRule>
  </conditionalFormatting>
  <conditionalFormatting sqref="DB12:DC14">
    <cfRule type="expression" dxfId="334" priority="2973" stopIfTrue="1">
      <formula>IF(DB12&gt;0,1,0)</formula>
    </cfRule>
  </conditionalFormatting>
  <conditionalFormatting sqref="CQ12:CQ14">
    <cfRule type="cellIs" dxfId="333" priority="2974" stopIfTrue="1" operator="between">
      <formula>"B"</formula>
      <formula>"B"</formula>
    </cfRule>
    <cfRule type="cellIs" dxfId="332" priority="2975" stopIfTrue="1" operator="between">
      <formula>"C"</formula>
      <formula>"C"</formula>
    </cfRule>
    <cfRule type="cellIs" dxfId="331" priority="2976" stopIfTrue="1" operator="between">
      <formula>"D"</formula>
      <formula>"D"</formula>
    </cfRule>
  </conditionalFormatting>
  <conditionalFormatting sqref="CP12:CP14">
    <cfRule type="cellIs" dxfId="330" priority="2977" stopIfTrue="1" operator="between">
      <formula>"công chức, viên chức"</formula>
      <formula>"công chức, viên chức"</formula>
    </cfRule>
    <cfRule type="cellIs" dxfId="329" priority="2978" stopIfTrue="1" operator="between">
      <formula>"lao động hợp đồng"</formula>
      <formula>"lao động hợp đồng"</formula>
    </cfRule>
  </conditionalFormatting>
  <conditionalFormatting sqref="CZ12:CZ14">
    <cfRule type="expression" dxfId="328" priority="2979" stopIfTrue="1">
      <formula>IF(CZ12="Nâg Ngạch sau TB",1,0)</formula>
    </cfRule>
    <cfRule type="expression" dxfId="327" priority="2980" stopIfTrue="1">
      <formula>IF(CZ12="Nâg Lươg Sớm sau TB",1,0)</formula>
    </cfRule>
    <cfRule type="expression" dxfId="326" priority="2981" stopIfTrue="1">
      <formula>IF(CZ12="Nâg PC TNVK cùng QĐ",1,0)</formula>
    </cfRule>
  </conditionalFormatting>
  <conditionalFormatting sqref="CO12:CO14">
    <cfRule type="expression" dxfId="325" priority="2982" stopIfTrue="1">
      <formula>IF(CO12=0,1,0)</formula>
    </cfRule>
    <cfRule type="expression" dxfId="324" priority="2983" stopIfTrue="1">
      <formula>IF(CO12&gt;0,1,0)</formula>
    </cfRule>
  </conditionalFormatting>
  <conditionalFormatting sqref="BJ12:BJ14">
    <cfRule type="expression" dxfId="323" priority="2951" stopIfTrue="1">
      <formula>IF(BJ12="Trên 45",1,0)</formula>
    </cfRule>
    <cfRule type="expression" dxfId="322" priority="2952" stopIfTrue="1">
      <formula>IF(BJ12="30 - 45",1,0)</formula>
    </cfRule>
    <cfRule type="expression" dxfId="321" priority="2953" stopIfTrue="1">
      <formula>IF(BJ12="Dưới 30",1,0)</formula>
    </cfRule>
  </conditionalFormatting>
  <conditionalFormatting sqref="BL12:BL14">
    <cfRule type="cellIs" dxfId="320" priority="2954" stopIfTrue="1" operator="between">
      <formula>"Có hạn"</formula>
      <formula>"Có hạn"</formula>
    </cfRule>
    <cfRule type="cellIs" dxfId="319" priority="2955" stopIfTrue="1" operator="between">
      <formula>"Ko hạn"</formula>
      <formula>"Ko hạn"</formula>
    </cfRule>
  </conditionalFormatting>
  <conditionalFormatting sqref="CZ10">
    <cfRule type="expression" dxfId="318" priority="3254" stopIfTrue="1">
      <formula>12*(#REF!-CR10)+(#REF!-CP10)</formula>
    </cfRule>
  </conditionalFormatting>
  <conditionalFormatting sqref="CU10">
    <cfRule type="expression" dxfId="317" priority="3255" stopIfTrue="1">
      <formula>12*(#REF!-CN10)+(#REF!-CL10)</formula>
    </cfRule>
  </conditionalFormatting>
  <conditionalFormatting sqref="BI32:BI34">
    <cfRule type="expression" dxfId="316" priority="2907" stopIfTrue="1">
      <formula>IF(BJ32="Trên 45",1,0)</formula>
    </cfRule>
    <cfRule type="expression" dxfId="315" priority="2908" stopIfTrue="1">
      <formula>IF(BJ32="30 - 45",1,0)</formula>
    </cfRule>
    <cfRule type="expression" dxfId="314" priority="2909" stopIfTrue="1">
      <formula>IF(BJ32="Dưới 30",1,0)</formula>
    </cfRule>
  </conditionalFormatting>
  <conditionalFormatting sqref="CU32:CU35">
    <cfRule type="expression" dxfId="313" priority="2910" stopIfTrue="1">
      <formula>IF(CV32&gt;0,1,0)</formula>
    </cfRule>
    <cfRule type="expression" dxfId="312" priority="2911" stopIfTrue="1">
      <formula>IF(CV32=0,1,0)</formula>
    </cfRule>
  </conditionalFormatting>
  <conditionalFormatting sqref="CT32:CT35">
    <cfRule type="expression" dxfId="311" priority="2912" stopIfTrue="1">
      <formula>12*(#REF!-CM32)+(#REF!-CK32)</formula>
    </cfRule>
  </conditionalFormatting>
  <conditionalFormatting sqref="CY32:CY35">
    <cfRule type="expression" dxfId="310" priority="2913" stopIfTrue="1">
      <formula>12*(#REF!-CQ32)+(#REF!-CO32)</formula>
    </cfRule>
  </conditionalFormatting>
  <conditionalFormatting sqref="AV32 CX32:CX35">
    <cfRule type="expression" dxfId="309" priority="2919" stopIfTrue="1">
      <formula>IF(OR(AV32=0.36),1,0)</formula>
    </cfRule>
    <cfRule type="expression" dxfId="308" priority="2920" stopIfTrue="1">
      <formula>IF(AV32=0.34,1,0)</formula>
    </cfRule>
    <cfRule type="expression" dxfId="307" priority="2921" stopIfTrue="1">
      <formula>IF(AV32&lt;0.33,1,0)</formula>
    </cfRule>
  </conditionalFormatting>
  <conditionalFormatting sqref="DA32:DA35">
    <cfRule type="cellIs" dxfId="306" priority="2922" stopIfTrue="1" operator="between">
      <formula>"Hưu"</formula>
      <formula>"Hưu"</formula>
    </cfRule>
    <cfRule type="cellIs" dxfId="305" priority="2923" stopIfTrue="1" operator="between">
      <formula>"---"</formula>
      <formula>"---"</formula>
    </cfRule>
    <cfRule type="cellIs" dxfId="304" priority="2924" stopIfTrue="1" operator="between">
      <formula>"Quá"</formula>
      <formula>"Quá"</formula>
    </cfRule>
  </conditionalFormatting>
  <conditionalFormatting sqref="AU32 CW32:CW35">
    <cfRule type="expression" dxfId="303" priority="2925" stopIfTrue="1">
      <formula>IF(OR(AU32=5.57,AU32=6.2),1,0)</formula>
    </cfRule>
    <cfRule type="expression" dxfId="302" priority="2926" stopIfTrue="1">
      <formula>IF(OR(AU32=4,AU32=4.4),1,0)</formula>
    </cfRule>
    <cfRule type="expression" dxfId="301" priority="2927" stopIfTrue="1">
      <formula>IF(AND(AU32&gt;0.9,AU32&lt;2.34),1,0)</formula>
    </cfRule>
  </conditionalFormatting>
  <conditionalFormatting sqref="CS32:CS35">
    <cfRule type="cellIs" dxfId="300" priority="2928" stopIfTrue="1" operator="between">
      <formula>1</formula>
      <formula>1</formula>
    </cfRule>
    <cfRule type="cellIs" dxfId="299" priority="2929" stopIfTrue="1" operator="between">
      <formula>2</formula>
      <formula>2</formula>
    </cfRule>
    <cfRule type="cellIs" dxfId="298" priority="2930" stopIfTrue="1" operator="between">
      <formula>3</formula>
      <formula>3</formula>
    </cfRule>
  </conditionalFormatting>
  <conditionalFormatting sqref="CV32:CV35">
    <cfRule type="expression" dxfId="297" priority="2931" stopIfTrue="1">
      <formula>IF(CV32&gt;0,1,0)</formula>
    </cfRule>
    <cfRule type="expression" dxfId="296" priority="2932" stopIfTrue="1">
      <formula>IF(CV32&lt;1,1,0)</formula>
    </cfRule>
  </conditionalFormatting>
  <conditionalFormatting sqref="CR32:CR35">
    <cfRule type="cellIs" dxfId="295" priority="2933" stopIfTrue="1" operator="between">
      <formula>"Đến"</formula>
      <formula>"Đến"</formula>
    </cfRule>
    <cfRule type="cellIs" dxfId="294" priority="2934" stopIfTrue="1" operator="between">
      <formula>"Quá"</formula>
      <formula>"Quá"</formula>
    </cfRule>
    <cfRule type="expression" dxfId="293" priority="2935" stopIfTrue="1">
      <formula>IF(OR(CR32="Lương Sớm Hưu",CR32="Nâng Ngạch Hưu"),1,0)</formula>
    </cfRule>
  </conditionalFormatting>
  <conditionalFormatting sqref="DB32:DC35">
    <cfRule type="expression" dxfId="292" priority="2936" stopIfTrue="1">
      <formula>IF(DB32&gt;0,1,0)</formula>
    </cfRule>
  </conditionalFormatting>
  <conditionalFormatting sqref="CQ32:CQ35">
    <cfRule type="cellIs" dxfId="291" priority="2937" stopIfTrue="1" operator="between">
      <formula>"B"</formula>
      <formula>"B"</formula>
    </cfRule>
    <cfRule type="cellIs" dxfId="290" priority="2938" stopIfTrue="1" operator="between">
      <formula>"C"</formula>
      <formula>"C"</formula>
    </cfRule>
    <cfRule type="cellIs" dxfId="289" priority="2939" stopIfTrue="1" operator="between">
      <formula>"D"</formula>
      <formula>"D"</formula>
    </cfRule>
  </conditionalFormatting>
  <conditionalFormatting sqref="CP32:CP35">
    <cfRule type="cellIs" dxfId="288" priority="2940" stopIfTrue="1" operator="between">
      <formula>"công chức, viên chức"</formula>
      <formula>"công chức, viên chức"</formula>
    </cfRule>
    <cfRule type="cellIs" dxfId="287" priority="2941" stopIfTrue="1" operator="between">
      <formula>"lao động hợp đồng"</formula>
      <formula>"lao động hợp đồng"</formula>
    </cfRule>
  </conditionalFormatting>
  <conditionalFormatting sqref="CZ32:CZ35">
    <cfRule type="expression" dxfId="286" priority="2942" stopIfTrue="1">
      <formula>IF(CZ32="Nâg Ngạch sau TB",1,0)</formula>
    </cfRule>
    <cfRule type="expression" dxfId="285" priority="2943" stopIfTrue="1">
      <formula>IF(CZ32="Nâg Lươg Sớm sau TB",1,0)</formula>
    </cfRule>
    <cfRule type="expression" dxfId="284" priority="2944" stopIfTrue="1">
      <formula>IF(CZ32="Nâg PC TNVK cùng QĐ",1,0)</formula>
    </cfRule>
  </conditionalFormatting>
  <conditionalFormatting sqref="CO32:CO35">
    <cfRule type="expression" dxfId="283" priority="2945" stopIfTrue="1">
      <formula>IF(CO32=0,1,0)</formula>
    </cfRule>
    <cfRule type="expression" dxfId="282" priority="2946" stopIfTrue="1">
      <formula>IF(CO32&gt;0,1,0)</formula>
    </cfRule>
  </conditionalFormatting>
  <conditionalFormatting sqref="BJ32:BJ35">
    <cfRule type="expression" dxfId="281" priority="2914" stopIfTrue="1">
      <formula>IF(BJ32="Trên 45",1,0)</formula>
    </cfRule>
    <cfRule type="expression" dxfId="280" priority="2915" stopIfTrue="1">
      <formula>IF(BJ32="30 - 45",1,0)</formula>
    </cfRule>
    <cfRule type="expression" dxfId="279" priority="2916" stopIfTrue="1">
      <formula>IF(BJ32="Dưới 30",1,0)</formula>
    </cfRule>
  </conditionalFormatting>
  <conditionalFormatting sqref="BL32:BL35">
    <cfRule type="cellIs" dxfId="278" priority="2917" stopIfTrue="1" operator="between">
      <formula>"Có hạn"</formula>
      <formula>"Có hạn"</formula>
    </cfRule>
    <cfRule type="cellIs" dxfId="277" priority="2918" stopIfTrue="1" operator="between">
      <formula>"Ko hạn"</formula>
      <formula>"Ko hạn"</formula>
    </cfRule>
  </conditionalFormatting>
  <conditionalFormatting sqref="A33:A35">
    <cfRule type="expression" dxfId="276" priority="2947" stopIfTrue="1">
      <formula>IF(#REF!="Hưu",1,0)</formula>
    </cfRule>
    <cfRule type="expression" dxfId="275" priority="2948" stopIfTrue="1">
      <formula>IF(#REF!="Quá",1,0)</formula>
    </cfRule>
  </conditionalFormatting>
  <conditionalFormatting sqref="A32">
    <cfRule type="expression" dxfId="274" priority="2949" stopIfTrue="1">
      <formula>IF(#REF!="Hưu",1,0)</formula>
    </cfRule>
    <cfRule type="expression" dxfId="273" priority="2950" stopIfTrue="1">
      <formula>IF(#REF!="Quá",1,0)</formula>
    </cfRule>
  </conditionalFormatting>
  <conditionalFormatting sqref="BD15">
    <cfRule type="expression" dxfId="272" priority="2862" stopIfTrue="1">
      <formula>IF(BA15&gt;6,BB15,IF(BA15&lt;7,BB15-1))</formula>
    </cfRule>
  </conditionalFormatting>
  <conditionalFormatting sqref="AT15">
    <cfRule type="expression" dxfId="271" priority="2863" stopIfTrue="1">
      <formula>IF(AU15&gt;0,1,0)</formula>
    </cfRule>
    <cfRule type="expression" dxfId="270" priority="2864" stopIfTrue="1">
      <formula>IF(AU15=0,1,0)</formula>
    </cfRule>
  </conditionalFormatting>
  <conditionalFormatting sqref="BF15">
    <cfRule type="expression" dxfId="269" priority="2865" stopIfTrue="1">
      <formula>IF(BC15&gt;6,BD15,IF(BC15&lt;7,BD15-1))</formula>
    </cfRule>
  </conditionalFormatting>
  <conditionalFormatting sqref="AW15">
    <cfRule type="expression" dxfId="268" priority="2866" stopIfTrue="1">
      <formula>IF(OR(AW15=0.36),1,0)</formula>
    </cfRule>
    <cfRule type="expression" dxfId="267" priority="2867" stopIfTrue="1">
      <formula>IF(AW15=0.34,1,0)</formula>
    </cfRule>
    <cfRule type="expression" dxfId="266" priority="2868" stopIfTrue="1">
      <formula>IF(AW15&lt;0.33,1,0)</formula>
    </cfRule>
  </conditionalFormatting>
  <conditionalFormatting sqref="AZ15">
    <cfRule type="cellIs" dxfId="265" priority="2869" stopIfTrue="1" operator="between">
      <formula>"Hưu"</formula>
      <formula>"Hưu"</formula>
    </cfRule>
    <cfRule type="cellIs" dxfId="264" priority="2870" stopIfTrue="1" operator="between">
      <formula>"---"</formula>
      <formula>"---"</formula>
    </cfRule>
    <cfRule type="cellIs" dxfId="263" priority="2871" stopIfTrue="1" operator="between">
      <formula>"Quá"</formula>
      <formula>"Quá"</formula>
    </cfRule>
  </conditionalFormatting>
  <conditionalFormatting sqref="AV15">
    <cfRule type="expression" dxfId="262" priority="2872" stopIfTrue="1">
      <formula>IF(OR(AV15=5.57,AV15=6.2),1,0)</formula>
    </cfRule>
    <cfRule type="expression" dxfId="261" priority="2873" stopIfTrue="1">
      <formula>IF(OR(AV15=4,AV15=4.4),1,0)</formula>
    </cfRule>
    <cfRule type="expression" dxfId="260" priority="2874" stopIfTrue="1">
      <formula>IF(AND(AV15&gt;0.9,AV15&lt;2.34),1,0)</formula>
    </cfRule>
  </conditionalFormatting>
  <conditionalFormatting sqref="AR15">
    <cfRule type="cellIs" dxfId="259" priority="2875" stopIfTrue="1" operator="between">
      <formula>1</formula>
      <formula>1</formula>
    </cfRule>
    <cfRule type="cellIs" dxfId="258" priority="2876" stopIfTrue="1" operator="between">
      <formula>2</formula>
      <formula>2</formula>
    </cfRule>
    <cfRule type="cellIs" dxfId="257" priority="2877" stopIfTrue="1" operator="between">
      <formula>3</formula>
      <formula>3</formula>
    </cfRule>
  </conditionalFormatting>
  <conditionalFormatting sqref="AU15">
    <cfRule type="expression" dxfId="256" priority="2878" stopIfTrue="1">
      <formula>IF(AU15&gt;0,1,0)</formula>
    </cfRule>
    <cfRule type="expression" dxfId="255" priority="2879" stopIfTrue="1">
      <formula>IF(AU15&lt;1,1,0)</formula>
    </cfRule>
  </conditionalFormatting>
  <conditionalFormatting sqref="AQ15">
    <cfRule type="cellIs" dxfId="254" priority="2880" stopIfTrue="1" operator="between">
      <formula>"Đến"</formula>
      <formula>"Đến"</formula>
    </cfRule>
    <cfRule type="cellIs" dxfId="253" priority="2881" stopIfTrue="1" operator="between">
      <formula>"Quá"</formula>
      <formula>"Quá"</formula>
    </cfRule>
    <cfRule type="expression" dxfId="252" priority="2882" stopIfTrue="1">
      <formula>IF(OR(AQ15="Lương Sớm Hưu",AQ15="Nâng Ngạch Hưu"),1,0)</formula>
    </cfRule>
  </conditionalFormatting>
  <conditionalFormatting sqref="BA15:BB15 G15">
    <cfRule type="expression" dxfId="251" priority="2883" stopIfTrue="1">
      <formula>IF(G15&gt;0,1,0)</formula>
    </cfRule>
  </conditionalFormatting>
  <conditionalFormatting sqref="AP15">
    <cfRule type="cellIs" dxfId="250" priority="2884" stopIfTrue="1" operator="between">
      <formula>"B"</formula>
      <formula>"B"</formula>
    </cfRule>
    <cfRule type="cellIs" dxfId="249" priority="2885" stopIfTrue="1" operator="between">
      <formula>"C"</formula>
      <formula>"C"</formula>
    </cfRule>
    <cfRule type="cellIs" dxfId="248" priority="2886" stopIfTrue="1" operator="between">
      <formula>"D"</formula>
      <formula>"D"</formula>
    </cfRule>
  </conditionalFormatting>
  <conditionalFormatting sqref="AO15">
    <cfRule type="cellIs" dxfId="247" priority="2887" stopIfTrue="1" operator="between">
      <formula>"công chức, viên chức"</formula>
      <formula>"công chức, viên chức"</formula>
    </cfRule>
    <cfRule type="cellIs" dxfId="246" priority="2888" stopIfTrue="1" operator="between">
      <formula>"lao động hợp đồng"</formula>
      <formula>"lao động hợp đồng"</formula>
    </cfRule>
  </conditionalFormatting>
  <conditionalFormatting sqref="AY15">
    <cfRule type="expression" dxfId="245" priority="2889" stopIfTrue="1">
      <formula>IF(AY15="Nâg Ngạch sau TB",1,0)</formula>
    </cfRule>
    <cfRule type="expression" dxfId="244" priority="2890" stopIfTrue="1">
      <formula>IF(AY15="Nâg Lươg Sớm sau TB",1,0)</formula>
    </cfRule>
    <cfRule type="expression" dxfId="243" priority="2891" stopIfTrue="1">
      <formula>IF(AY15="Nâg PC TNVK cùng QĐ",1,0)</formula>
    </cfRule>
  </conditionalFormatting>
  <conditionalFormatting sqref="AN15">
    <cfRule type="expression" dxfId="242" priority="2892" stopIfTrue="1">
      <formula>IF(AN15=0,1,0)</formula>
    </cfRule>
    <cfRule type="expression" dxfId="241" priority="2893" stopIfTrue="1">
      <formula>IF(AN15&gt;0,1,0)</formula>
    </cfRule>
  </conditionalFormatting>
  <conditionalFormatting sqref="BE15">
    <cfRule type="expression" dxfId="240" priority="2894" stopIfTrue="1">
      <formula>IF(#REF!&gt;6,#REF!-6,IF(#REF!=6,12,IF(#REF!&lt;6,#REF!+6)))</formula>
    </cfRule>
  </conditionalFormatting>
  <conditionalFormatting sqref="BG15">
    <cfRule type="cellIs" dxfId="239" priority="2895" stopIfTrue="1" operator="between">
      <formula>"-"</formula>
      <formula>"-"</formula>
    </cfRule>
    <cfRule type="cellIs" dxfId="238" priority="2896" stopIfTrue="1" operator="between">
      <formula>1</formula>
      <formula>40</formula>
    </cfRule>
  </conditionalFormatting>
  <conditionalFormatting sqref="U15">
    <cfRule type="expression" dxfId="237" priority="2897" stopIfTrue="1">
      <formula>IF(U15="A0-CĐ",1,0)</formula>
    </cfRule>
    <cfRule type="expression" dxfId="236" priority="2898" stopIfTrue="1">
      <formula>IF(U15="B-TC",1,0)</formula>
    </cfRule>
    <cfRule type="expression" dxfId="235" priority="2899" stopIfTrue="1">
      <formula>IF(U15="C-NV",1,0)</formula>
    </cfRule>
  </conditionalFormatting>
  <conditionalFormatting sqref="F15">
    <cfRule type="cellIs" dxfId="234" priority="2900" stopIfTrue="1" operator="between">
      <formula>"Nam"</formula>
      <formula>"Nam"</formula>
    </cfRule>
    <cfRule type="cellIs" dxfId="233" priority="2901" stopIfTrue="1" operator="between">
      <formula>"Nữ"</formula>
      <formula>"Nữ"</formula>
    </cfRule>
  </conditionalFormatting>
  <conditionalFormatting sqref="BC15">
    <cfRule type="expression" dxfId="232" priority="2902" stopIfTrue="1">
      <formula>IF(#REF!&gt;6,#REF!-6,IF(#REF!=6,12,IF(#REF!&lt;6,#REF!+6)))</formula>
    </cfRule>
  </conditionalFormatting>
  <conditionalFormatting sqref="BI15">
    <cfRule type="expression" dxfId="231" priority="2822" stopIfTrue="1">
      <formula>IF(BJ15="Trên 45",1,0)</formula>
    </cfRule>
    <cfRule type="expression" dxfId="230" priority="2823" stopIfTrue="1">
      <formula>IF(BJ15="30 - 45",1,0)</formula>
    </cfRule>
    <cfRule type="expression" dxfId="229" priority="2824" stopIfTrue="1">
      <formula>IF(BJ15="Dưới 30",1,0)</formula>
    </cfRule>
  </conditionalFormatting>
  <conditionalFormatting sqref="CU15">
    <cfRule type="expression" dxfId="228" priority="2825" stopIfTrue="1">
      <formula>IF(CV15&gt;0,1,0)</formula>
    </cfRule>
    <cfRule type="expression" dxfId="227" priority="2826" stopIfTrue="1">
      <formula>IF(CV15=0,1,0)</formula>
    </cfRule>
  </conditionalFormatting>
  <conditionalFormatting sqref="CT15">
    <cfRule type="expression" dxfId="226" priority="2827" stopIfTrue="1">
      <formula>12*(#REF!-CM15)+(#REF!-CK15)</formula>
    </cfRule>
  </conditionalFormatting>
  <conditionalFormatting sqref="CY15">
    <cfRule type="expression" dxfId="225" priority="2828" stopIfTrue="1">
      <formula>12*(#REF!-CQ15)+(#REF!-CO15)</formula>
    </cfRule>
  </conditionalFormatting>
  <conditionalFormatting sqref="CX15">
    <cfRule type="expression" dxfId="224" priority="2834" stopIfTrue="1">
      <formula>IF(OR(CX15=0.36),1,0)</formula>
    </cfRule>
    <cfRule type="expression" dxfId="223" priority="2835" stopIfTrue="1">
      <formula>IF(CX15=0.34,1,0)</formula>
    </cfRule>
    <cfRule type="expression" dxfId="222" priority="2836" stopIfTrue="1">
      <formula>IF(CX15&lt;0.33,1,0)</formula>
    </cfRule>
  </conditionalFormatting>
  <conditionalFormatting sqref="DA15">
    <cfRule type="cellIs" dxfId="221" priority="2837" stopIfTrue="1" operator="between">
      <formula>"Hưu"</formula>
      <formula>"Hưu"</formula>
    </cfRule>
    <cfRule type="cellIs" dxfId="220" priority="2838" stopIfTrue="1" operator="between">
      <formula>"---"</formula>
      <formula>"---"</formula>
    </cfRule>
    <cfRule type="cellIs" dxfId="219" priority="2839" stopIfTrue="1" operator="between">
      <formula>"Quá"</formula>
      <formula>"Quá"</formula>
    </cfRule>
  </conditionalFormatting>
  <conditionalFormatting sqref="CW15">
    <cfRule type="expression" dxfId="218" priority="2840" stopIfTrue="1">
      <formula>IF(OR(CW15=5.57,CW15=6.2),1,0)</formula>
    </cfRule>
    <cfRule type="expression" dxfId="217" priority="2841" stopIfTrue="1">
      <formula>IF(OR(CW15=4,CW15=4.4),1,0)</formula>
    </cfRule>
    <cfRule type="expression" dxfId="216" priority="2842" stopIfTrue="1">
      <formula>IF(AND(CW15&gt;0.9,CW15&lt;2.34),1,0)</formula>
    </cfRule>
  </conditionalFormatting>
  <conditionalFormatting sqref="CS15">
    <cfRule type="cellIs" dxfId="215" priority="2843" stopIfTrue="1" operator="between">
      <formula>1</formula>
      <formula>1</formula>
    </cfRule>
    <cfRule type="cellIs" dxfId="214" priority="2844" stopIfTrue="1" operator="between">
      <formula>2</formula>
      <formula>2</formula>
    </cfRule>
    <cfRule type="cellIs" dxfId="213" priority="2845" stopIfTrue="1" operator="between">
      <formula>3</formula>
      <formula>3</formula>
    </cfRule>
  </conditionalFormatting>
  <conditionalFormatting sqref="CV15">
    <cfRule type="expression" dxfId="212" priority="2846" stopIfTrue="1">
      <formula>IF(CV15&gt;0,1,0)</formula>
    </cfRule>
    <cfRule type="expression" dxfId="211" priority="2847" stopIfTrue="1">
      <formula>IF(CV15&lt;1,1,0)</formula>
    </cfRule>
  </conditionalFormatting>
  <conditionalFormatting sqref="CR15">
    <cfRule type="cellIs" dxfId="210" priority="2848" stopIfTrue="1" operator="between">
      <formula>"Đến"</formula>
      <formula>"Đến"</formula>
    </cfRule>
    <cfRule type="cellIs" dxfId="209" priority="2849" stopIfTrue="1" operator="between">
      <formula>"Quá"</formula>
      <formula>"Quá"</formula>
    </cfRule>
    <cfRule type="expression" dxfId="208" priority="2850" stopIfTrue="1">
      <formula>IF(OR(CR15="Lương Sớm Hưu",CR15="Nâng Ngạch Hưu"),1,0)</formula>
    </cfRule>
  </conditionalFormatting>
  <conditionalFormatting sqref="DB15:DC15">
    <cfRule type="expression" dxfId="207" priority="2851" stopIfTrue="1">
      <formula>IF(DB15&gt;0,1,0)</formula>
    </cfRule>
  </conditionalFormatting>
  <conditionalFormatting sqref="CQ15">
    <cfRule type="cellIs" dxfId="206" priority="2852" stopIfTrue="1" operator="between">
      <formula>"B"</formula>
      <formula>"B"</formula>
    </cfRule>
    <cfRule type="cellIs" dxfId="205" priority="2853" stopIfTrue="1" operator="between">
      <formula>"C"</formula>
      <formula>"C"</formula>
    </cfRule>
    <cfRule type="cellIs" dxfId="204" priority="2854" stopIfTrue="1" operator="between">
      <formula>"D"</formula>
      <formula>"D"</formula>
    </cfRule>
  </conditionalFormatting>
  <conditionalFormatting sqref="CP15">
    <cfRule type="cellIs" dxfId="203" priority="2855" stopIfTrue="1" operator="between">
      <formula>"công chức, viên chức"</formula>
      <formula>"công chức, viên chức"</formula>
    </cfRule>
    <cfRule type="cellIs" dxfId="202" priority="2856" stopIfTrue="1" operator="between">
      <formula>"lao động hợp đồng"</formula>
      <formula>"lao động hợp đồng"</formula>
    </cfRule>
  </conditionalFormatting>
  <conditionalFormatting sqref="CZ15">
    <cfRule type="expression" dxfId="201" priority="2857" stopIfTrue="1">
      <formula>IF(CZ15="Nâg Ngạch sau TB",1,0)</formula>
    </cfRule>
    <cfRule type="expression" dxfId="200" priority="2858" stopIfTrue="1">
      <formula>IF(CZ15="Nâg Lươg Sớm sau TB",1,0)</formula>
    </cfRule>
    <cfRule type="expression" dxfId="199" priority="2859" stopIfTrue="1">
      <formula>IF(CZ15="Nâg PC TNVK cùng QĐ",1,0)</formula>
    </cfRule>
  </conditionalFormatting>
  <conditionalFormatting sqref="CO15">
    <cfRule type="expression" dxfId="198" priority="2860" stopIfTrue="1">
      <formula>IF(CO15=0,1,0)</formula>
    </cfRule>
    <cfRule type="expression" dxfId="197" priority="2861" stopIfTrue="1">
      <formula>IF(CO15&gt;0,1,0)</formula>
    </cfRule>
  </conditionalFormatting>
  <conditionalFormatting sqref="BJ15">
    <cfRule type="expression" dxfId="196" priority="2829" stopIfTrue="1">
      <formula>IF(BJ15="Trên 45",1,0)</formula>
    </cfRule>
    <cfRule type="expression" dxfId="195" priority="2830" stopIfTrue="1">
      <formula>IF(BJ15="30 - 45",1,0)</formula>
    </cfRule>
    <cfRule type="expression" dxfId="194" priority="2831" stopIfTrue="1">
      <formula>IF(BJ15="Dưới 30",1,0)</formula>
    </cfRule>
  </conditionalFormatting>
  <conditionalFormatting sqref="BL15">
    <cfRule type="cellIs" dxfId="193" priority="2832" stopIfTrue="1" operator="between">
      <formula>"Có hạn"</formula>
      <formula>"Có hạn"</formula>
    </cfRule>
    <cfRule type="cellIs" dxfId="192" priority="2833" stopIfTrue="1" operator="between">
      <formula>"Ko hạn"</formula>
      <formula>"Ko hạn"</formula>
    </cfRule>
  </conditionalFormatting>
  <conditionalFormatting sqref="A15">
    <cfRule type="expression" dxfId="191" priority="2903" stopIfTrue="1">
      <formula>IF(#REF!="Hưu",1,0)</formula>
    </cfRule>
    <cfRule type="expression" dxfId="190" priority="2904" stopIfTrue="1">
      <formula>IF(#REF!="Quá",1,0)</formula>
    </cfRule>
  </conditionalFormatting>
  <conditionalFormatting sqref="AX15">
    <cfRule type="expression" dxfId="189" priority="2905" stopIfTrue="1">
      <formula>12*(#REF!-AP15)+(#REF!-AN15)</formula>
    </cfRule>
  </conditionalFormatting>
  <conditionalFormatting sqref="AS15">
    <cfRule type="expression" dxfId="188" priority="2906" stopIfTrue="1">
      <formula>12*(#REF!-AK15)+(#REF!-#REF!)</formula>
    </cfRule>
  </conditionalFormatting>
  <conditionalFormatting sqref="A10">
    <cfRule type="expression" dxfId="187" priority="3258" stopIfTrue="1">
      <formula>IF(#REF!="Hưu",1,0)</formula>
    </cfRule>
    <cfRule type="expression" dxfId="186" priority="3259" stopIfTrue="1">
      <formula>IF(#REF!="Quá",1,0)</formula>
    </cfRule>
  </conditionalFormatting>
  <conditionalFormatting sqref="A12:A14">
    <cfRule type="expression" dxfId="185" priority="3262" stopIfTrue="1">
      <formula>IF(#REF!="Hưu",1,0)</formula>
    </cfRule>
    <cfRule type="expression" dxfId="184" priority="3263" stopIfTrue="1">
      <formula>IF(#REF!="Quá",1,0)</formula>
    </cfRule>
  </conditionalFormatting>
  <conditionalFormatting sqref="BI16:BI20 BI22:BI29">
    <cfRule type="expression" dxfId="121" priority="118" stopIfTrue="1">
      <formula>IF(BJ16="Trên 45",1,0)</formula>
    </cfRule>
    <cfRule type="expression" dxfId="120" priority="119" stopIfTrue="1">
      <formula>IF(BJ16="30 - 45",1,0)</formula>
    </cfRule>
    <cfRule type="expression" dxfId="119" priority="120" stopIfTrue="1">
      <formula>IF(BJ16="Dưới 30",1,0)</formula>
    </cfRule>
  </conditionalFormatting>
  <conditionalFormatting sqref="AS16:AS20 CU16:CU20 CU22:CU29 AS22:AS29">
    <cfRule type="expression" dxfId="118" priority="116" stopIfTrue="1">
      <formula>IF(AT16&gt;0,1,0)</formula>
    </cfRule>
    <cfRule type="expression" dxfId="117" priority="117" stopIfTrue="1">
      <formula>IF(AT16=0,1,0)</formula>
    </cfRule>
  </conditionalFormatting>
  <conditionalFormatting sqref="AV16:AV20 CX16:CX20 CX22:CX29 AV22:AV29">
    <cfRule type="expression" dxfId="116" priority="113" stopIfTrue="1">
      <formula>IF(OR(AV16=0.36),1,0)</formula>
    </cfRule>
    <cfRule type="expression" dxfId="115" priority="114" stopIfTrue="1">
      <formula>IF(AV16=0.34,1,0)</formula>
    </cfRule>
    <cfRule type="expression" dxfId="114" priority="115" stopIfTrue="1">
      <formula>IF(AV16&lt;0.33,1,0)</formula>
    </cfRule>
  </conditionalFormatting>
  <conditionalFormatting sqref="AU16:AU20 CW16:CW20 CW22:CW29 AU22:AU29">
    <cfRule type="expression" dxfId="113" priority="110" stopIfTrue="1">
      <formula>IF(OR(AU16=5.57,AU16=6.2),1,0)</formula>
    </cfRule>
    <cfRule type="expression" dxfId="112" priority="111" stopIfTrue="1">
      <formula>IF(OR(AU16=4,AU16=4.4),1,0)</formula>
    </cfRule>
    <cfRule type="expression" dxfId="111" priority="112" stopIfTrue="1">
      <formula>IF(AND(AU16&gt;0.9,AU16&lt;2.34),1,0)</formula>
    </cfRule>
  </conditionalFormatting>
  <conditionalFormatting sqref="AM16:AM20 AM22:AM29">
    <cfRule type="cellIs" dxfId="110" priority="108" stopIfTrue="1" operator="between">
      <formula>"CC,VC"</formula>
      <formula>"CC,VC"</formula>
    </cfRule>
    <cfRule type="cellIs" dxfId="109" priority="109" stopIfTrue="1" operator="between">
      <formula>"LĐHĐ"</formula>
      <formula>"LĐHĐ"</formula>
    </cfRule>
  </conditionalFormatting>
  <conditionalFormatting sqref="BC16:BC20 BC22:BC29">
    <cfRule type="expression" dxfId="108" priority="107" stopIfTrue="1">
      <formula>IF(AZ16&gt;6,BA16,IF(AZ16&lt;7,BA16-1))</formula>
    </cfRule>
  </conditionalFormatting>
  <conditionalFormatting sqref="BE16:BE20 BE22:BE29">
    <cfRule type="expression" dxfId="107" priority="106" stopIfTrue="1">
      <formula>IF(BB16&gt;6,BC16,IF(BB16&lt;7,BC16-1))</formula>
    </cfRule>
  </conditionalFormatting>
  <conditionalFormatting sqref="AY16:AY20 DA16:DA20 DA22:DA29 AY22:AY29">
    <cfRule type="cellIs" dxfId="106" priority="103" stopIfTrue="1" operator="between">
      <formula>"Hưu"</formula>
      <formula>"Hưu"</formula>
    </cfRule>
    <cfRule type="cellIs" dxfId="105" priority="104" stopIfTrue="1" operator="between">
      <formula>"---"</formula>
      <formula>"---"</formula>
    </cfRule>
    <cfRule type="cellIs" dxfId="104" priority="105" stopIfTrue="1" operator="between">
      <formula>"Quá"</formula>
      <formula>"Quá"</formula>
    </cfRule>
  </conditionalFormatting>
  <conditionalFormatting sqref="AQ16:AQ20 CS16:CS20 CS22:CS29 AQ22:AQ29">
    <cfRule type="cellIs" dxfId="103" priority="100" stopIfTrue="1" operator="between">
      <formula>1</formula>
      <formula>1</formula>
    </cfRule>
    <cfRule type="cellIs" dxfId="102" priority="101" stopIfTrue="1" operator="between">
      <formula>2</formula>
      <formula>2</formula>
    </cfRule>
    <cfRule type="cellIs" dxfId="101" priority="102" stopIfTrue="1" operator="between">
      <formula>3</formula>
      <formula>3</formula>
    </cfRule>
  </conditionalFormatting>
  <conditionalFormatting sqref="AT16:AT20 CV16:CV20 CV22:CV29 AT22:AT29">
    <cfRule type="expression" dxfId="100" priority="98" stopIfTrue="1">
      <formula>IF(AT16&gt;0,1,0)</formula>
    </cfRule>
    <cfRule type="expression" dxfId="99" priority="99" stopIfTrue="1">
      <formula>IF(AT16&lt;1,1,0)</formula>
    </cfRule>
  </conditionalFormatting>
  <conditionalFormatting sqref="AP16:AP20 CR16:CR20 CR22:CR29 AP22:AP29">
    <cfRule type="cellIs" dxfId="98" priority="95" stopIfTrue="1" operator="between">
      <formula>"Đến"</formula>
      <formula>"Đến"</formula>
    </cfRule>
    <cfRule type="cellIs" dxfId="97" priority="96" stopIfTrue="1" operator="between">
      <formula>"Quá"</formula>
      <formula>"Quá"</formula>
    </cfRule>
    <cfRule type="expression" dxfId="96" priority="97" stopIfTrue="1">
      <formula>IF(OR(AP16="Lương Sớm Hưu",AP16="Nâng Ngạch Hưu"),1,0)</formula>
    </cfRule>
  </conditionalFormatting>
  <conditionalFormatting sqref="AZ16:BA20 J16:M20 F16:F20 DB16:DC20 DB22:DC29 F22:F29 J22:M29 AZ22:BA29">
    <cfRule type="expression" dxfId="95" priority="94" stopIfTrue="1">
      <formula>IF(F16&gt;0,1,0)</formula>
    </cfRule>
  </conditionalFormatting>
  <conditionalFormatting sqref="AO16:AO20 CQ16:CQ20 CQ22:CQ29 AO22:AO29">
    <cfRule type="cellIs" dxfId="94" priority="91" stopIfTrue="1" operator="between">
      <formula>"B"</formula>
      <formula>"B"</formula>
    </cfRule>
    <cfRule type="cellIs" dxfId="93" priority="92" stopIfTrue="1" operator="between">
      <formula>"C"</formula>
      <formula>"C"</formula>
    </cfRule>
    <cfRule type="cellIs" dxfId="92" priority="93" stopIfTrue="1" operator="between">
      <formula>"D"</formula>
      <formula>"D"</formula>
    </cfRule>
  </conditionalFormatting>
  <conditionalFormatting sqref="AN16:AN20 CP16:CP20 CP22:CP29 AN22:AN29">
    <cfRule type="cellIs" dxfId="91" priority="89" stopIfTrue="1" operator="between">
      <formula>"công chức, viên chức"</formula>
      <formula>"công chức, viên chức"</formula>
    </cfRule>
    <cfRule type="cellIs" dxfId="90" priority="90" stopIfTrue="1" operator="between">
      <formula>"lao động hợp đồng"</formula>
      <formula>"lao động hợp đồng"</formula>
    </cfRule>
  </conditionalFormatting>
  <conditionalFormatting sqref="AX16:AX20 CZ16:CZ20 CZ22:CZ29 AX22:AX29">
    <cfRule type="expression" dxfId="89" priority="86" stopIfTrue="1">
      <formula>IF(AX16="Nâg Ngạch sau TB",1,0)</formula>
    </cfRule>
    <cfRule type="expression" dxfId="88" priority="87" stopIfTrue="1">
      <formula>IF(AX16="Nâg Lươg Sớm sau TB",1,0)</formula>
    </cfRule>
    <cfRule type="expression" dxfId="87" priority="88" stopIfTrue="1">
      <formula>IF(AX16="Nâg PC TNVK cùng QĐ",1,0)</formula>
    </cfRule>
  </conditionalFormatting>
  <conditionalFormatting sqref="AL16:AL20 CO16:CO20 CO22:CO29 AL22:AL29">
    <cfRule type="expression" dxfId="86" priority="84" stopIfTrue="1">
      <formula>IF(AL16=0,1,0)</formula>
    </cfRule>
    <cfRule type="expression" dxfId="85" priority="85" stopIfTrue="1">
      <formula>IF(AL16&gt;0,1,0)</formula>
    </cfRule>
  </conditionalFormatting>
  <conditionalFormatting sqref="BF16:BF20 BF22:BF29">
    <cfRule type="cellIs" dxfId="84" priority="82" stopIfTrue="1" operator="between">
      <formula>"-"</formula>
      <formula>"-"</formula>
    </cfRule>
    <cfRule type="cellIs" dxfId="83" priority="83" stopIfTrue="1" operator="between">
      <formula>1</formula>
      <formula>40</formula>
    </cfRule>
  </conditionalFormatting>
  <conditionalFormatting sqref="P16:T20 P22:T29">
    <cfRule type="expression" dxfId="82" priority="79" stopIfTrue="1">
      <formula>IF(P16="A0-CĐ",1,0)</formula>
    </cfRule>
    <cfRule type="expression" dxfId="81" priority="80" stopIfTrue="1">
      <formula>IF(P16="B-TC",1,0)</formula>
    </cfRule>
    <cfRule type="expression" dxfId="80" priority="81" stopIfTrue="1">
      <formula>IF(P16="C-NV",1,0)</formula>
    </cfRule>
  </conditionalFormatting>
  <conditionalFormatting sqref="BJ16:BJ20 BJ22:BJ29">
    <cfRule type="expression" dxfId="79" priority="76" stopIfTrue="1">
      <formula>IF(BJ16="Trên 45",1,0)</formula>
    </cfRule>
    <cfRule type="expression" dxfId="78" priority="77" stopIfTrue="1">
      <formula>IF(BJ16="30 - 45",1,0)</formula>
    </cfRule>
    <cfRule type="expression" dxfId="77" priority="78" stopIfTrue="1">
      <formula>IF(BJ16="Dưới 30",1,0)</formula>
    </cfRule>
  </conditionalFormatting>
  <conditionalFormatting sqref="BL16:BL20 BL22:BL29">
    <cfRule type="cellIs" dxfId="76" priority="74" stopIfTrue="1" operator="between">
      <formula>"Có hạn"</formula>
      <formula>"Có hạn"</formula>
    </cfRule>
    <cfRule type="cellIs" dxfId="75" priority="75" stopIfTrue="1" operator="between">
      <formula>"Ko hạn"</formula>
      <formula>"Ko hạn"</formula>
    </cfRule>
  </conditionalFormatting>
  <conditionalFormatting sqref="A16:A17 A22:A26 A19:A20">
    <cfRule type="expression" dxfId="74" priority="72" stopIfTrue="1">
      <formula>IF(AY19="Hưu",1,0)</formula>
    </cfRule>
    <cfRule type="expression" dxfId="73" priority="73" stopIfTrue="1">
      <formula>IF(AY19="Quá",1,0)</formula>
    </cfRule>
  </conditionalFormatting>
  <conditionalFormatting sqref="BD16:BD20 BD22:BD29">
    <cfRule type="expression" dxfId="72" priority="71" stopIfTrue="1">
      <formula>IF(#REF!&gt;6,#REF!-6,IF(#REF!=6,12,IF(#REF!&lt;6,#REF!+6)))</formula>
    </cfRule>
  </conditionalFormatting>
  <conditionalFormatting sqref="AW16:AW20 AW22:AW29">
    <cfRule type="expression" dxfId="71" priority="70" stopIfTrue="1">
      <formula>12*(#REF!-AO16)+(#REF!-AL16)</formula>
    </cfRule>
  </conditionalFormatting>
  <conditionalFormatting sqref="CT16:CT20 CT22:CT29">
    <cfRule type="expression" dxfId="70" priority="69" stopIfTrue="1">
      <formula>12*(#REF!-CM16)+(#REF!-CK16)</formula>
    </cfRule>
  </conditionalFormatting>
  <conditionalFormatting sqref="CY16:CY20 CY22:CY29">
    <cfRule type="expression" dxfId="69" priority="68" stopIfTrue="1">
      <formula>12*(#REF!-CQ16)+(#REF!-CO16)</formula>
    </cfRule>
  </conditionalFormatting>
  <conditionalFormatting sqref="BG16:BG20 BG22:BG29">
    <cfRule type="expression" dxfId="68" priority="65" stopIfTrue="1">
      <formula>IF(AND(#REF!&gt;0,#REF!&lt;5),1,0)</formula>
    </cfRule>
    <cfRule type="expression" dxfId="67" priority="66" stopIfTrue="1">
      <formula>IF(#REF!=5,1,0)</formula>
    </cfRule>
    <cfRule type="expression" dxfId="66" priority="67" stopIfTrue="1">
      <formula>IF(#REF!&gt;5,1,0)</formula>
    </cfRule>
  </conditionalFormatting>
  <conditionalFormatting sqref="BB16:BB20 BB22:BB29">
    <cfRule type="expression" dxfId="65" priority="64" stopIfTrue="1">
      <formula>IF(#REF!&gt;6,#REF!-6,IF(#REF!=6,12,IF(#REF!&lt;6,#REF!+6)))</formula>
    </cfRule>
  </conditionalFormatting>
  <conditionalFormatting sqref="AR16:AR20 AR22:AR29">
    <cfRule type="expression" dxfId="64" priority="63" stopIfTrue="1">
      <formula>12*(#REF!-#REF!)+(#REF!-#REF!)</formula>
    </cfRule>
  </conditionalFormatting>
  <conditionalFormatting sqref="A27:A29">
    <cfRule type="expression" dxfId="63" priority="61" stopIfTrue="1">
      <formula>IF(AY87="Hưu",1,0)</formula>
    </cfRule>
    <cfRule type="expression" dxfId="62" priority="62" stopIfTrue="1">
      <formula>IF(AY87="Quá",1,0)</formula>
    </cfRule>
  </conditionalFormatting>
  <conditionalFormatting sqref="A18">
    <cfRule type="expression" dxfId="61" priority="59" stopIfTrue="1">
      <formula>IF(#REF!="Hưu",1,0)</formula>
    </cfRule>
    <cfRule type="expression" dxfId="60" priority="60" stopIfTrue="1">
      <formula>IF(#REF!="Quá",1,0)</formula>
    </cfRule>
  </conditionalFormatting>
  <conditionalFormatting sqref="BI21">
    <cfRule type="expression" dxfId="59" priority="56" stopIfTrue="1">
      <formula>IF(BJ21="Trên 45",1,0)</formula>
    </cfRule>
    <cfRule type="expression" dxfId="58" priority="57" stopIfTrue="1">
      <formula>IF(BJ21="30 - 45",1,0)</formula>
    </cfRule>
    <cfRule type="expression" dxfId="57" priority="58" stopIfTrue="1">
      <formula>IF(BJ21="Dưới 30",1,0)</formula>
    </cfRule>
  </conditionalFormatting>
  <conditionalFormatting sqref="AS21 CU21">
    <cfRule type="expression" dxfId="56" priority="54" stopIfTrue="1">
      <formula>IF(AT21&gt;0,1,0)</formula>
    </cfRule>
    <cfRule type="expression" dxfId="55" priority="55" stopIfTrue="1">
      <formula>IF(AT21=0,1,0)</formula>
    </cfRule>
  </conditionalFormatting>
  <conditionalFormatting sqref="AV21 CX21">
    <cfRule type="expression" dxfId="54" priority="51" stopIfTrue="1">
      <formula>IF(OR(AV21=0.36),1,0)</formula>
    </cfRule>
    <cfRule type="expression" dxfId="53" priority="52" stopIfTrue="1">
      <formula>IF(AV21=0.34,1,0)</formula>
    </cfRule>
    <cfRule type="expression" dxfId="52" priority="53" stopIfTrue="1">
      <formula>IF(AV21&lt;0.33,1,0)</formula>
    </cfRule>
  </conditionalFormatting>
  <conditionalFormatting sqref="AU21 CW21">
    <cfRule type="expression" dxfId="51" priority="48" stopIfTrue="1">
      <formula>IF(OR(AU21=5.57,AU21=6.2),1,0)</formula>
    </cfRule>
    <cfRule type="expression" dxfId="50" priority="49" stopIfTrue="1">
      <formula>IF(OR(AU21=4,AU21=4.4),1,0)</formula>
    </cfRule>
    <cfRule type="expression" dxfId="49" priority="50" stopIfTrue="1">
      <formula>IF(AND(AU21&gt;0.9,AU21&lt;2.34),1,0)</formula>
    </cfRule>
  </conditionalFormatting>
  <conditionalFormatting sqref="AM21">
    <cfRule type="cellIs" dxfId="48" priority="46" stopIfTrue="1" operator="between">
      <formula>"CC,VC"</formula>
      <formula>"CC,VC"</formula>
    </cfRule>
    <cfRule type="cellIs" dxfId="47" priority="47" stopIfTrue="1" operator="between">
      <formula>"LĐHĐ"</formula>
      <formula>"LĐHĐ"</formula>
    </cfRule>
  </conditionalFormatting>
  <conditionalFormatting sqref="BC21">
    <cfRule type="expression" dxfId="46" priority="45" stopIfTrue="1">
      <formula>IF(AZ21&gt;6,BA21,IF(AZ21&lt;7,BA21-1))</formula>
    </cfRule>
  </conditionalFormatting>
  <conditionalFormatting sqref="BE21">
    <cfRule type="expression" dxfId="45" priority="44" stopIfTrue="1">
      <formula>IF(BB21&gt;6,BC21,IF(BB21&lt;7,BC21-1))</formula>
    </cfRule>
  </conditionalFormatting>
  <conditionalFormatting sqref="AY21 DA21">
    <cfRule type="cellIs" dxfId="44" priority="41" stopIfTrue="1" operator="between">
      <formula>"Hưu"</formula>
      <formula>"Hưu"</formula>
    </cfRule>
    <cfRule type="cellIs" dxfId="43" priority="42" stopIfTrue="1" operator="between">
      <formula>"---"</formula>
      <formula>"---"</formula>
    </cfRule>
    <cfRule type="cellIs" dxfId="42" priority="43" stopIfTrue="1" operator="between">
      <formula>"Quá"</formula>
      <formula>"Quá"</formula>
    </cfRule>
  </conditionalFormatting>
  <conditionalFormatting sqref="AQ21 CS21">
    <cfRule type="cellIs" dxfId="41" priority="38" stopIfTrue="1" operator="between">
      <formula>1</formula>
      <formula>1</formula>
    </cfRule>
    <cfRule type="cellIs" dxfId="40" priority="39" stopIfTrue="1" operator="between">
      <formula>2</formula>
      <formula>2</formula>
    </cfRule>
    <cfRule type="cellIs" dxfId="39" priority="40" stopIfTrue="1" operator="between">
      <formula>3</formula>
      <formula>3</formula>
    </cfRule>
  </conditionalFormatting>
  <conditionalFormatting sqref="AT21 CV21">
    <cfRule type="expression" dxfId="38" priority="36" stopIfTrue="1">
      <formula>IF(AT21&gt;0,1,0)</formula>
    </cfRule>
    <cfRule type="expression" dxfId="37" priority="37" stopIfTrue="1">
      <formula>IF(AT21&lt;1,1,0)</formula>
    </cfRule>
  </conditionalFormatting>
  <conditionalFormatting sqref="AP21 CR21">
    <cfRule type="cellIs" dxfId="36" priority="33" stopIfTrue="1" operator="between">
      <formula>"Đến"</formula>
      <formula>"Đến"</formula>
    </cfRule>
    <cfRule type="cellIs" dxfId="35" priority="34" stopIfTrue="1" operator="between">
      <formula>"Quá"</formula>
      <formula>"Quá"</formula>
    </cfRule>
    <cfRule type="expression" dxfId="34" priority="35" stopIfTrue="1">
      <formula>IF(OR(AP21="Lương Sớm Hưu",AP21="Nâng Ngạch Hưu"),1,0)</formula>
    </cfRule>
  </conditionalFormatting>
  <conditionalFormatting sqref="AZ21:BA21 J21:M21 F21 DB21:DC21">
    <cfRule type="expression" dxfId="33" priority="32" stopIfTrue="1">
      <formula>IF(F21&gt;0,1,0)</formula>
    </cfRule>
  </conditionalFormatting>
  <conditionalFormatting sqref="AO21 CQ21">
    <cfRule type="cellIs" dxfId="32" priority="29" stopIfTrue="1" operator="between">
      <formula>"B"</formula>
      <formula>"B"</formula>
    </cfRule>
    <cfRule type="cellIs" dxfId="31" priority="30" stopIfTrue="1" operator="between">
      <formula>"C"</formula>
      <formula>"C"</formula>
    </cfRule>
    <cfRule type="cellIs" dxfId="30" priority="31" stopIfTrue="1" operator="between">
      <formula>"D"</formula>
      <formula>"D"</formula>
    </cfRule>
  </conditionalFormatting>
  <conditionalFormatting sqref="AN21 CP21">
    <cfRule type="cellIs" dxfId="29" priority="27" stopIfTrue="1" operator="between">
      <formula>"công chức, viên chức"</formula>
      <formula>"công chức, viên chức"</formula>
    </cfRule>
    <cfRule type="cellIs" dxfId="28" priority="28" stopIfTrue="1" operator="between">
      <formula>"lao động hợp đồng"</formula>
      <formula>"lao động hợp đồng"</formula>
    </cfRule>
  </conditionalFormatting>
  <conditionalFormatting sqref="AX21 CZ21">
    <cfRule type="expression" dxfId="27" priority="24" stopIfTrue="1">
      <formula>IF(AX21="Nâg Ngạch sau TB",1,0)</formula>
    </cfRule>
    <cfRule type="expression" dxfId="26" priority="25" stopIfTrue="1">
      <formula>IF(AX21="Nâg Lươg Sớm sau TB",1,0)</formula>
    </cfRule>
    <cfRule type="expression" dxfId="25" priority="26" stopIfTrue="1">
      <formula>IF(AX21="Nâg PC TNVK cùng QĐ",1,0)</formula>
    </cfRule>
  </conditionalFormatting>
  <conditionalFormatting sqref="AL21 CO21">
    <cfRule type="expression" dxfId="24" priority="22" stopIfTrue="1">
      <formula>IF(AL21=0,1,0)</formula>
    </cfRule>
    <cfRule type="expression" dxfId="23" priority="23" stopIfTrue="1">
      <formula>IF(AL21&gt;0,1,0)</formula>
    </cfRule>
  </conditionalFormatting>
  <conditionalFormatting sqref="BF21">
    <cfRule type="cellIs" dxfId="22" priority="20" stopIfTrue="1" operator="between">
      <formula>"-"</formula>
      <formula>"-"</formula>
    </cfRule>
    <cfRule type="cellIs" dxfId="21" priority="21" stopIfTrue="1" operator="between">
      <formula>1</formula>
      <formula>40</formula>
    </cfRule>
  </conditionalFormatting>
  <conditionalFormatting sqref="P21:T21">
    <cfRule type="expression" dxfId="20" priority="17" stopIfTrue="1">
      <formula>IF(P21="A0-CĐ",1,0)</formula>
    </cfRule>
    <cfRule type="expression" dxfId="19" priority="18" stopIfTrue="1">
      <formula>IF(P21="B-TC",1,0)</formula>
    </cfRule>
    <cfRule type="expression" dxfId="18" priority="19" stopIfTrue="1">
      <formula>IF(P21="C-NV",1,0)</formula>
    </cfRule>
  </conditionalFormatting>
  <conditionalFormatting sqref="BJ21">
    <cfRule type="expression" dxfId="17" priority="14" stopIfTrue="1">
      <formula>IF(BJ21="Trên 45",1,0)</formula>
    </cfRule>
    <cfRule type="expression" dxfId="16" priority="15" stopIfTrue="1">
      <formula>IF(BJ21="30 - 45",1,0)</formula>
    </cfRule>
    <cfRule type="expression" dxfId="15" priority="16" stopIfTrue="1">
      <formula>IF(BJ21="Dưới 30",1,0)</formula>
    </cfRule>
  </conditionalFormatting>
  <conditionalFormatting sqref="BL21">
    <cfRule type="cellIs" dxfId="14" priority="12" stopIfTrue="1" operator="between">
      <formula>"Có hạn"</formula>
      <formula>"Có hạn"</formula>
    </cfRule>
    <cfRule type="cellIs" dxfId="13" priority="13" stopIfTrue="1" operator="between">
      <formula>"Ko hạn"</formula>
      <formula>"Ko hạn"</formula>
    </cfRule>
  </conditionalFormatting>
  <conditionalFormatting sqref="A21">
    <cfRule type="expression" dxfId="12" priority="10" stopIfTrue="1">
      <formula>IF(AY24="Hưu",1,0)</formula>
    </cfRule>
    <cfRule type="expression" dxfId="11" priority="11" stopIfTrue="1">
      <formula>IF(AY24="Quá",1,0)</formula>
    </cfRule>
  </conditionalFormatting>
  <conditionalFormatting sqref="BD21">
    <cfRule type="expression" dxfId="10" priority="9" stopIfTrue="1">
      <formula>IF(#REF!&gt;6,#REF!-6,IF(#REF!=6,12,IF(#REF!&lt;6,#REF!+6)))</formula>
    </cfRule>
  </conditionalFormatting>
  <conditionalFormatting sqref="AW21">
    <cfRule type="expression" dxfId="9" priority="8" stopIfTrue="1">
      <formula>12*(#REF!-AO21)+(#REF!-AL21)</formula>
    </cfRule>
  </conditionalFormatting>
  <conditionalFormatting sqref="CT21">
    <cfRule type="expression" dxfId="8" priority="7" stopIfTrue="1">
      <formula>12*(#REF!-CM21)+(#REF!-CK21)</formula>
    </cfRule>
  </conditionalFormatting>
  <conditionalFormatting sqref="CY21">
    <cfRule type="expression" dxfId="7" priority="6" stopIfTrue="1">
      <formula>12*(#REF!-CQ21)+(#REF!-CO21)</formula>
    </cfRule>
  </conditionalFormatting>
  <conditionalFormatting sqref="BG21">
    <cfRule type="expression" dxfId="6" priority="3" stopIfTrue="1">
      <formula>IF(AND(#REF!&gt;0,#REF!&lt;5),1,0)</formula>
    </cfRule>
    <cfRule type="expression" dxfId="5" priority="4" stopIfTrue="1">
      <formula>IF(#REF!=5,1,0)</formula>
    </cfRule>
    <cfRule type="expression" dxfId="4" priority="5" stopIfTrue="1">
      <formula>IF(#REF!&gt;5,1,0)</formula>
    </cfRule>
  </conditionalFormatting>
  <conditionalFormatting sqref="BB21">
    <cfRule type="expression" dxfId="3" priority="2" stopIfTrue="1">
      <formula>IF(#REF!&gt;6,#REF!-6,IF(#REF!=6,12,IF(#REF!&lt;6,#REF!+6)))</formula>
    </cfRule>
  </conditionalFormatting>
  <conditionalFormatting sqref="AR21">
    <cfRule type="expression" dxfId="2" priority="1" stopIfTrue="1">
      <formula>12*(#REF!-#REF!)+(#REF!-#REF!)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"/>
  <sheetViews>
    <sheetView tabSelected="1" topLeftCell="B4" workbookViewId="0">
      <selection activeCell="S24" sqref="S24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8.7109375" customWidth="1"/>
  </cols>
  <sheetData>
    <row r="1" spans="1:98" s="245" customFormat="1" ht="15.75" customHeight="1" x14ac:dyDescent="0.25">
      <c r="B1" s="393" t="s">
        <v>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 t="s">
        <v>1</v>
      </c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</row>
    <row r="2" spans="1:98" s="245" customFormat="1" ht="17.25" customHeight="1" x14ac:dyDescent="0.25">
      <c r="B2" s="393" t="s">
        <v>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4" t="s">
        <v>3</v>
      </c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</row>
    <row r="3" spans="1:98" s="252" customFormat="1" ht="22.5" customHeight="1" x14ac:dyDescent="0.25">
      <c r="A3" s="246"/>
      <c r="B3" s="247"/>
      <c r="C3" s="246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378" t="s">
        <v>162</v>
      </c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251"/>
      <c r="BC3" s="251"/>
      <c r="BD3" s="251"/>
      <c r="BE3" s="251"/>
      <c r="BF3" s="251"/>
      <c r="BG3" s="251"/>
      <c r="BH3" s="251"/>
    </row>
    <row r="4" spans="1:98" s="253" customFormat="1" ht="24" customHeight="1" x14ac:dyDescent="0.25">
      <c r="A4" s="248" t="s">
        <v>58</v>
      </c>
      <c r="B4" s="394" t="s">
        <v>191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</row>
    <row r="5" spans="1:98" s="256" customFormat="1" ht="15" hidden="1" customHeight="1" x14ac:dyDescent="0.25">
      <c r="A5" s="247"/>
      <c r="B5" s="247"/>
      <c r="C5" s="247"/>
      <c r="D5" s="254" t="s">
        <v>59</v>
      </c>
      <c r="E5" s="255" t="e">
        <f>#REF!</f>
        <v>#REF!</v>
      </c>
      <c r="G5" s="257"/>
      <c r="H5" s="258"/>
      <c r="I5" s="259"/>
      <c r="J5" s="257"/>
      <c r="K5" s="257"/>
      <c r="L5" s="257"/>
      <c r="M5" s="257"/>
      <c r="N5" s="260" t="s">
        <v>60</v>
      </c>
      <c r="O5" s="261"/>
      <c r="P5" s="261"/>
      <c r="Q5" s="261"/>
      <c r="R5" s="261"/>
      <c r="S5" s="253"/>
      <c r="T5" s="262"/>
      <c r="U5" s="263"/>
      <c r="V5" s="263"/>
      <c r="W5" s="257"/>
      <c r="X5" s="259"/>
      <c r="Y5" s="257"/>
      <c r="Z5" s="259"/>
      <c r="AA5" s="257"/>
      <c r="AB5" s="258"/>
      <c r="AC5" s="258"/>
      <c r="AD5" s="264"/>
      <c r="AE5" s="257"/>
      <c r="AF5" s="265"/>
      <c r="AG5" s="266"/>
      <c r="AH5" s="253" t="s">
        <v>61</v>
      </c>
      <c r="AI5" s="253"/>
      <c r="AU5" s="253"/>
      <c r="AV5" s="267"/>
      <c r="AX5" s="253"/>
      <c r="BA5" s="267"/>
    </row>
    <row r="6" spans="1:98" s="253" customFormat="1" ht="1.5" hidden="1" customHeight="1" x14ac:dyDescent="0.25">
      <c r="B6" s="268" t="s">
        <v>6</v>
      </c>
      <c r="D6" s="260"/>
      <c r="N6" s="260"/>
      <c r="O6" s="260"/>
      <c r="T6" s="268"/>
    </row>
    <row r="7" spans="1:98" s="253" customFormat="1" ht="16.5" x14ac:dyDescent="0.25">
      <c r="A7" s="138"/>
      <c r="B7" s="268"/>
      <c r="D7" s="253" t="s">
        <v>62</v>
      </c>
      <c r="G7" s="269"/>
      <c r="H7" s="270"/>
      <c r="I7" s="270"/>
      <c r="J7" s="270"/>
      <c r="K7" s="270"/>
      <c r="L7" s="270"/>
      <c r="M7" s="270"/>
      <c r="N7" s="260"/>
      <c r="O7" s="271"/>
      <c r="P7" s="272"/>
      <c r="Q7" s="272"/>
      <c r="R7" s="272"/>
      <c r="T7" s="273"/>
      <c r="AF7" s="274"/>
      <c r="BA7" s="275"/>
      <c r="BB7" s="276"/>
      <c r="BH7" s="277"/>
      <c r="BJ7" s="278"/>
      <c r="BK7" s="278"/>
      <c r="BR7" s="268"/>
      <c r="BS7" s="268"/>
      <c r="BT7" s="268"/>
      <c r="BU7" s="268"/>
      <c r="BW7" s="274"/>
      <c r="BX7" s="279"/>
      <c r="BY7" s="138"/>
    </row>
    <row r="8" spans="1:98" s="253" customFormat="1" ht="16.5" x14ac:dyDescent="0.25">
      <c r="A8" s="138"/>
      <c r="B8" s="268"/>
      <c r="D8" s="267" t="s">
        <v>63</v>
      </c>
      <c r="E8" s="267"/>
      <c r="F8" s="267"/>
      <c r="G8" s="267"/>
      <c r="H8" s="267"/>
      <c r="I8" s="267"/>
      <c r="J8" s="267"/>
      <c r="K8" s="267"/>
      <c r="L8" s="267"/>
      <c r="M8" s="267"/>
      <c r="N8" s="260"/>
      <c r="O8" s="261"/>
      <c r="P8" s="267"/>
      <c r="Q8" s="267"/>
      <c r="R8" s="267"/>
      <c r="T8" s="280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V8" s="267"/>
      <c r="BA8" s="275"/>
      <c r="BB8" s="276"/>
      <c r="BH8" s="277"/>
      <c r="BJ8" s="278"/>
      <c r="BK8" s="278" t="s">
        <v>58</v>
      </c>
      <c r="BR8" s="268"/>
      <c r="BS8" s="268"/>
      <c r="BT8" s="268"/>
      <c r="BU8" s="268"/>
      <c r="BW8" s="274"/>
      <c r="BX8" s="279"/>
      <c r="BY8" s="138"/>
    </row>
    <row r="9" spans="1:98" s="253" customFormat="1" ht="15" customHeight="1" x14ac:dyDescent="0.25">
      <c r="A9" s="138"/>
      <c r="B9" s="268" t="s">
        <v>6</v>
      </c>
      <c r="D9" s="267" t="s">
        <v>192</v>
      </c>
      <c r="E9" s="267"/>
      <c r="F9" s="267"/>
      <c r="G9" s="267"/>
      <c r="H9" s="267"/>
      <c r="I9" s="267"/>
      <c r="J9" s="267"/>
      <c r="K9" s="267"/>
      <c r="L9" s="267"/>
      <c r="M9" s="267"/>
      <c r="N9" s="260"/>
      <c r="O9" s="261"/>
      <c r="P9" s="267"/>
      <c r="Q9" s="267"/>
      <c r="R9" s="267"/>
      <c r="T9" s="280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V9" s="267"/>
      <c r="BA9" s="275"/>
      <c r="BB9" s="276"/>
      <c r="BH9" s="277"/>
      <c r="BJ9" s="278"/>
      <c r="BK9" s="278"/>
      <c r="BR9" s="268"/>
      <c r="BS9" s="268"/>
      <c r="BT9" s="268"/>
      <c r="BU9" s="268"/>
      <c r="BW9" s="274"/>
      <c r="BX9" s="279"/>
      <c r="BY9" s="138"/>
    </row>
    <row r="10" spans="1:98" s="256" customFormat="1" ht="16.5" x14ac:dyDescent="0.25">
      <c r="A10" s="246"/>
      <c r="B10" s="247"/>
      <c r="C10" s="246"/>
      <c r="D10" s="267" t="s">
        <v>104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0"/>
      <c r="O10" s="261"/>
      <c r="P10" s="267"/>
      <c r="Q10" s="267"/>
      <c r="R10" s="267"/>
      <c r="S10" s="253"/>
      <c r="T10" s="280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53"/>
      <c r="AV10" s="267"/>
      <c r="AW10" s="253"/>
      <c r="AX10" s="253"/>
      <c r="BA10" s="267"/>
    </row>
    <row r="11" spans="1:98" s="259" customFormat="1" ht="12.75" customHeight="1" x14ac:dyDescent="0.25">
      <c r="A11" s="246"/>
      <c r="B11" s="247"/>
      <c r="C11" s="246"/>
      <c r="D11" s="281" t="s">
        <v>64</v>
      </c>
      <c r="E11" s="282">
        <v>11</v>
      </c>
      <c r="I11" s="283"/>
      <c r="J11" s="284"/>
      <c r="K11" s="284"/>
      <c r="L11" s="284"/>
      <c r="M11" s="284"/>
      <c r="N11" s="260"/>
      <c r="O11" s="285"/>
      <c r="P11" s="258"/>
      <c r="Q11" s="258"/>
      <c r="R11" s="258"/>
      <c r="S11" s="253"/>
      <c r="T11" s="257"/>
      <c r="W11" s="258"/>
      <c r="Y11" s="258"/>
      <c r="AA11" s="258"/>
      <c r="AB11" s="258"/>
      <c r="AC11" s="258"/>
      <c r="AD11" s="286"/>
      <c r="AE11" s="257"/>
      <c r="AF11" s="245"/>
      <c r="AH11" s="245"/>
      <c r="AI11" s="245"/>
      <c r="AJ11" s="284"/>
      <c r="AK11" s="284"/>
      <c r="AU11" s="253"/>
      <c r="AV11" s="258"/>
      <c r="AX11" s="249"/>
      <c r="BA11" s="258"/>
    </row>
    <row r="12" spans="1:98" s="256" customFormat="1" ht="6.75" hidden="1" customHeight="1" x14ac:dyDescent="0.25">
      <c r="A12" s="246"/>
      <c r="B12" s="247"/>
      <c r="C12" s="246"/>
      <c r="D12" s="260"/>
      <c r="E12" s="257"/>
      <c r="F12" s="259"/>
      <c r="G12" s="259"/>
      <c r="H12" s="259"/>
      <c r="I12" s="283"/>
      <c r="J12" s="284"/>
      <c r="K12" s="284"/>
      <c r="L12" s="284"/>
      <c r="M12" s="284"/>
      <c r="N12" s="260"/>
      <c r="O12" s="285"/>
      <c r="P12" s="258"/>
      <c r="Q12" s="258"/>
      <c r="R12" s="258"/>
      <c r="S12" s="253"/>
      <c r="T12" s="257"/>
      <c r="U12" s="259"/>
      <c r="V12" s="259"/>
      <c r="W12" s="258"/>
      <c r="X12" s="259"/>
      <c r="Y12" s="258"/>
      <c r="Z12" s="259"/>
      <c r="AA12" s="258"/>
      <c r="AB12" s="258"/>
      <c r="AC12" s="258"/>
      <c r="AD12" s="286"/>
      <c r="AE12" s="257"/>
      <c r="AF12" s="253"/>
      <c r="AH12" s="253"/>
      <c r="AI12" s="253"/>
      <c r="AJ12" s="284"/>
      <c r="AK12" s="284"/>
      <c r="AU12" s="253"/>
      <c r="AV12" s="267"/>
      <c r="AX12" s="253"/>
      <c r="BA12" s="267"/>
    </row>
    <row r="13" spans="1:98" s="288" customFormat="1" ht="33" customHeight="1" x14ac:dyDescent="0.25">
      <c r="A13" s="253" t="s">
        <v>12</v>
      </c>
      <c r="B13" s="392" t="s">
        <v>12</v>
      </c>
      <c r="C13" s="349"/>
      <c r="D13" s="392" t="s">
        <v>65</v>
      </c>
      <c r="E13" s="392" t="s">
        <v>103</v>
      </c>
      <c r="F13" s="349" t="s">
        <v>66</v>
      </c>
      <c r="G13" s="349"/>
      <c r="H13" s="349"/>
      <c r="I13" s="349"/>
      <c r="J13" s="349"/>
      <c r="K13" s="349"/>
      <c r="L13" s="349"/>
      <c r="M13" s="349"/>
      <c r="N13" s="392" t="s">
        <v>67</v>
      </c>
      <c r="O13" s="392"/>
      <c r="P13" s="349"/>
      <c r="Q13" s="349"/>
      <c r="R13" s="392" t="s">
        <v>68</v>
      </c>
      <c r="S13" s="392"/>
      <c r="T13" s="392"/>
      <c r="U13" s="392" t="s">
        <v>18</v>
      </c>
      <c r="V13" s="287"/>
      <c r="W13" s="287"/>
      <c r="X13" s="349" t="s">
        <v>69</v>
      </c>
      <c r="Y13" s="349"/>
      <c r="Z13" s="349"/>
      <c r="AA13" s="349"/>
      <c r="AB13" s="349"/>
      <c r="AC13" s="349"/>
      <c r="AD13" s="349"/>
      <c r="AE13" s="349" t="s">
        <v>20</v>
      </c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92" t="s">
        <v>70</v>
      </c>
      <c r="AV13" s="392"/>
      <c r="AW13" s="392"/>
      <c r="AX13" s="392"/>
      <c r="AY13" s="392"/>
      <c r="AZ13" s="392"/>
      <c r="BA13" s="392"/>
      <c r="BB13" s="349"/>
      <c r="BC13" s="392" t="s">
        <v>71</v>
      </c>
      <c r="BD13" s="392" t="s">
        <v>20</v>
      </c>
      <c r="BE13" s="349"/>
      <c r="BF13" s="349"/>
      <c r="BG13" s="349"/>
      <c r="BH13" s="392" t="s">
        <v>71</v>
      </c>
      <c r="BI13" s="392" t="s">
        <v>71</v>
      </c>
    </row>
    <row r="14" spans="1:98" s="253" customFormat="1" ht="27.75" customHeight="1" x14ac:dyDescent="0.25">
      <c r="B14" s="392"/>
      <c r="C14" s="349"/>
      <c r="D14" s="392"/>
      <c r="E14" s="392"/>
      <c r="F14" s="349"/>
      <c r="G14" s="349"/>
      <c r="H14" s="349"/>
      <c r="I14" s="349"/>
      <c r="J14" s="349"/>
      <c r="K14" s="349"/>
      <c r="L14" s="349"/>
      <c r="M14" s="349"/>
      <c r="N14" s="392"/>
      <c r="O14" s="392"/>
      <c r="P14" s="349"/>
      <c r="Q14" s="349"/>
      <c r="R14" s="392"/>
      <c r="S14" s="392"/>
      <c r="T14" s="392"/>
      <c r="U14" s="392"/>
      <c r="V14" s="349"/>
      <c r="W14" s="349"/>
      <c r="X14" s="349" t="s">
        <v>72</v>
      </c>
      <c r="Y14" s="349"/>
      <c r="Z14" s="349" t="s">
        <v>73</v>
      </c>
      <c r="AA14" s="349"/>
      <c r="AB14" s="349" t="s">
        <v>74</v>
      </c>
      <c r="AC14" s="349"/>
      <c r="AD14" s="349"/>
      <c r="AE14" s="349"/>
      <c r="AF14" s="349" t="s">
        <v>75</v>
      </c>
      <c r="AG14" s="349" t="s">
        <v>76</v>
      </c>
      <c r="AH14" s="289" t="s">
        <v>77</v>
      </c>
      <c r="AI14" s="349"/>
      <c r="AJ14" s="349"/>
      <c r="AK14" s="287"/>
      <c r="AL14" s="287"/>
      <c r="AM14" s="287"/>
      <c r="AN14" s="287"/>
      <c r="AO14" s="287"/>
      <c r="AP14" s="287"/>
      <c r="AQ14" s="349"/>
      <c r="AR14" s="349"/>
      <c r="AS14" s="349"/>
      <c r="AT14" s="349"/>
      <c r="AU14" s="392" t="s">
        <v>72</v>
      </c>
      <c r="AV14" s="392"/>
      <c r="AW14" s="392" t="s">
        <v>73</v>
      </c>
      <c r="AX14" s="392"/>
      <c r="AY14" s="392" t="s">
        <v>78</v>
      </c>
      <c r="AZ14" s="392"/>
      <c r="BA14" s="392"/>
      <c r="BB14" s="349"/>
      <c r="BC14" s="392"/>
      <c r="BD14" s="392"/>
      <c r="BE14" s="349"/>
      <c r="BF14" s="349"/>
      <c r="BG14" s="349"/>
      <c r="BH14" s="392"/>
      <c r="BI14" s="392"/>
    </row>
    <row r="15" spans="1:98" s="253" customFormat="1" ht="30.75" hidden="1" customHeight="1" x14ac:dyDescent="0.25">
      <c r="A15" s="253" t="s">
        <v>79</v>
      </c>
      <c r="B15" s="290"/>
      <c r="C15" s="291"/>
      <c r="D15" s="292" t="s">
        <v>80</v>
      </c>
      <c r="E15" s="291" t="s">
        <v>81</v>
      </c>
      <c r="F15" s="291"/>
      <c r="G15" s="291"/>
      <c r="H15" s="291"/>
      <c r="I15" s="291"/>
      <c r="J15" s="291"/>
      <c r="K15" s="291"/>
      <c r="L15" s="291"/>
      <c r="M15" s="291"/>
      <c r="N15" s="292" t="s">
        <v>82</v>
      </c>
      <c r="O15" s="292" t="s">
        <v>83</v>
      </c>
      <c r="P15" s="291"/>
      <c r="Q15" s="291"/>
      <c r="R15" s="291"/>
      <c r="S15" s="291"/>
      <c r="T15" s="290"/>
      <c r="U15" s="291" t="s">
        <v>84</v>
      </c>
      <c r="V15" s="291" t="s">
        <v>85</v>
      </c>
      <c r="W15" s="291"/>
      <c r="X15" s="291" t="s">
        <v>86</v>
      </c>
      <c r="Y15" s="291"/>
      <c r="Z15" s="291" t="s">
        <v>87</v>
      </c>
      <c r="AA15" s="291"/>
      <c r="AB15" s="291" t="s">
        <v>88</v>
      </c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 t="s">
        <v>85</v>
      </c>
      <c r="AV15" s="291"/>
      <c r="AW15" s="291" t="s">
        <v>86</v>
      </c>
      <c r="AX15" s="291"/>
      <c r="AY15" s="291" t="s">
        <v>87</v>
      </c>
      <c r="AZ15" s="147"/>
      <c r="BA15" s="291" t="s">
        <v>88</v>
      </c>
      <c r="BB15" s="291"/>
      <c r="BC15" s="291"/>
      <c r="BD15" s="291"/>
      <c r="BE15" s="291"/>
      <c r="BF15" s="291"/>
      <c r="BG15" s="291"/>
      <c r="BH15" s="291"/>
      <c r="BI15" s="291"/>
    </row>
    <row r="16" spans="1:98" x14ac:dyDescent="0.25">
      <c r="A16" t="s">
        <v>89</v>
      </c>
      <c r="B16" s="346">
        <v>1</v>
      </c>
      <c r="C16" s="346"/>
      <c r="D16" s="346">
        <v>2</v>
      </c>
      <c r="E16" s="346">
        <v>3</v>
      </c>
      <c r="F16" s="346"/>
      <c r="G16" s="346"/>
      <c r="H16" s="346"/>
      <c r="I16" s="346"/>
      <c r="J16" s="346"/>
      <c r="K16" s="346"/>
      <c r="L16" s="346"/>
      <c r="M16" s="346"/>
      <c r="N16" s="391">
        <v>4</v>
      </c>
      <c r="O16" s="391"/>
      <c r="P16" s="346"/>
      <c r="Q16" s="346"/>
      <c r="R16" s="391">
        <v>5</v>
      </c>
      <c r="S16" s="391"/>
      <c r="T16" s="391"/>
      <c r="U16" s="346">
        <v>6</v>
      </c>
      <c r="V16" s="346">
        <v>7</v>
      </c>
      <c r="W16" s="346"/>
      <c r="X16" s="346">
        <v>8</v>
      </c>
      <c r="Y16" s="346"/>
      <c r="Z16" s="346"/>
      <c r="AA16" s="346"/>
      <c r="AB16" s="346">
        <v>9</v>
      </c>
      <c r="AC16" s="346">
        <v>10</v>
      </c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91">
        <v>6</v>
      </c>
      <c r="AV16" s="391"/>
      <c r="AW16" s="391">
        <v>7</v>
      </c>
      <c r="AX16" s="391"/>
      <c r="AY16" s="391">
        <v>8</v>
      </c>
      <c r="AZ16" s="391"/>
      <c r="BA16" s="391"/>
      <c r="BB16" s="346"/>
      <c r="BC16" s="346">
        <v>10</v>
      </c>
      <c r="BD16" s="346"/>
      <c r="BE16" s="346"/>
      <c r="BF16" s="346"/>
      <c r="BG16" s="346"/>
      <c r="BH16" s="346">
        <v>10</v>
      </c>
      <c r="BI16" s="346">
        <v>9</v>
      </c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</row>
    <row r="17" spans="1:126" s="142" customFormat="1" ht="24" customHeight="1" x14ac:dyDescent="0.25">
      <c r="A17" s="139">
        <v>146</v>
      </c>
      <c r="B17" s="290">
        <v>1</v>
      </c>
      <c r="C17" s="139" t="str">
        <f t="shared" ref="C17:C27" si="0">IF(E17="Nam","Ông","Bà")</f>
        <v>Ông</v>
      </c>
      <c r="D17" s="293" t="s">
        <v>144</v>
      </c>
      <c r="E17" s="139" t="s">
        <v>39</v>
      </c>
      <c r="F17" s="294" t="s">
        <v>145</v>
      </c>
      <c r="G17" s="294" t="s">
        <v>10</v>
      </c>
      <c r="H17" s="294" t="s">
        <v>98</v>
      </c>
      <c r="I17" s="294" t="s">
        <v>10</v>
      </c>
      <c r="J17" s="139" t="s">
        <v>135</v>
      </c>
      <c r="K17" s="139"/>
      <c r="L17" s="139"/>
      <c r="M17" s="143" t="e">
        <f>VLOOKUP(L17,'[1]- DLiêu Gốc -'!$B$2:$G$121,2,0)</f>
        <v>#N/A</v>
      </c>
      <c r="N17" s="322" t="s">
        <v>146</v>
      </c>
      <c r="O17" s="313" t="s">
        <v>126</v>
      </c>
      <c r="P17" s="165" t="str">
        <f>VLOOKUP(U17,'[1]- DLiêu Gốc -'!$B$2:$G$56,5,0)</f>
        <v>A1</v>
      </c>
      <c r="Q17" s="165" t="str">
        <f>VLOOKUP(U17,'[1]- DLiêu Gốc -'!$B$2:$G$56,6,0)</f>
        <v>- - -</v>
      </c>
      <c r="R17" s="139" t="s">
        <v>34</v>
      </c>
      <c r="S17" s="295" t="str">
        <f t="shared" ref="S17:S27" si="1">IF(OR(U17="Kỹ thuật viên đánh máy",U17="Nhân viên đánh máy",U17="Nhân viên kỹ thuật",U17="Nhân viên văn thư",U17="Nhân viên phục vụ",U17="Lái xe cơ quan",U17="Nhân viên bảo vệ"),"Nhân viên",U17)</f>
        <v>Giảng viên (hạng III)</v>
      </c>
      <c r="T17" s="296" t="str">
        <f t="shared" ref="T17:T27" si="2">IF(S17="Nhân viên","01.005",V17)</f>
        <v>V.07.01.03</v>
      </c>
      <c r="U17" s="180" t="s">
        <v>35</v>
      </c>
      <c r="V17" s="141" t="str">
        <f>VLOOKUP(U17,'[1]- DLiêu Gốc -'!$B$1:$G$121,2,0)</f>
        <v>V.07.01.03</v>
      </c>
      <c r="W17" s="291" t="str">
        <f t="shared" ref="W17:W27" si="3">IF(OR(AND(AN17=36,AM17=3),AND(AN17=24,AM17=2),AND(AN17=12,AM17=1)),"Đến $",IF(AND(AN17&lt;12*10,OR(AND(AN17&gt;36,AM17=3),AND(AN17&gt;24,AN17&lt;120,AM17=2),AND(AN17&gt;12,AM17=1))),"Dừng $","Lương"))</f>
        <v>Lương</v>
      </c>
      <c r="X17" s="291">
        <v>4</v>
      </c>
      <c r="Y17" s="291" t="str">
        <f t="shared" ref="Y17:Y27" si="4">IF(Z17&gt;0,"/")</f>
        <v>/</v>
      </c>
      <c r="Z17" s="291">
        <f t="shared" ref="Z17:Z27" si="5">IF(OR(AR17=0.18,AR17=0.2),12,IF(AR17=0.31,10,IF(AR17=0.33,9,IF(AR17=0.34,8,IF(AR17=0.36,6)))))</f>
        <v>9</v>
      </c>
      <c r="AA17" s="291">
        <f t="shared" ref="AA17:AA27" si="6">AQ17+(X17-1)*AR17</f>
        <v>3.33</v>
      </c>
      <c r="AB17" s="291">
        <f>X17+1</f>
        <v>5</v>
      </c>
      <c r="AC17" s="291" t="str">
        <f t="shared" ref="AC17:AC27" si="7">IF(Z17=X17,"%",IF(Z17&gt;X17,"/"))</f>
        <v>/</v>
      </c>
      <c r="AD17" s="291">
        <f t="shared" ref="AD17:AD27" si="8">IF(AND(Z17=X17,AB17=4),5,IF(AND(Z17=X17,AB17&gt;4),AB17+1,IF(Z17&gt;X17,Z17)))</f>
        <v>9</v>
      </c>
      <c r="AE17" s="291">
        <f t="shared" ref="AE17:AE27" si="9">IF(Z17=X17,"%",IF(Z17&gt;X17,AA17+AR17))</f>
        <v>3.66</v>
      </c>
      <c r="AF17" s="291" t="s">
        <v>9</v>
      </c>
      <c r="AG17" s="291" t="s">
        <v>10</v>
      </c>
      <c r="AH17" s="291" t="s">
        <v>40</v>
      </c>
      <c r="AI17" s="291" t="s">
        <v>10</v>
      </c>
      <c r="AJ17" s="291">
        <v>2015</v>
      </c>
      <c r="AK17" s="147" t="s">
        <v>129</v>
      </c>
      <c r="AL17" s="141"/>
      <c r="AM17" s="291">
        <f t="shared" ref="AM17:AM27" si="10">IF(AND(Z17&gt;X17,OR(AR17=0.18,AR17=0.2)),2,IF(AND(Z17&gt;X17,OR(AR17=0.31,AR17=0.33,AR17=0.34,AR17=0.36)),3,IF(Z17=X17,1)))</f>
        <v>3</v>
      </c>
      <c r="AN17" s="291">
        <f t="shared" ref="AN17:AN27" si="11">12*($W$2-AJ17)+($W$4-AH17)-AO17</f>
        <v>-24191</v>
      </c>
      <c r="AO17" s="180"/>
      <c r="AP17" s="180"/>
      <c r="AQ17" s="291">
        <f>VLOOKUP(U17,'[1]- DLiêu Gốc -'!$B$1:$E$56,3,0)</f>
        <v>2.34</v>
      </c>
      <c r="AR17" s="291">
        <f>VLOOKUP(U17,'[1]- DLiêu Gốc -'!$B$1:$E$56,4,0)</f>
        <v>0.33</v>
      </c>
      <c r="AT17" s="291" t="str">
        <f t="shared" ref="AT17:AT27" si="12">IF(AND(AU17&gt;3,BF17=12),"Đến %",IF(AND(AU17&gt;3,BF17&gt;12,BF17&lt;120),"Dừng %",IF(AND(AU17&gt;3,BF17&lt;12),"PCTN","o-o-o")))</f>
        <v>PCTN</v>
      </c>
      <c r="AU17" s="297">
        <v>9</v>
      </c>
      <c r="AV17" s="298" t="s">
        <v>38</v>
      </c>
      <c r="AW17" s="297">
        <f t="shared" ref="AW17:AW27" si="13">IF(AU17&gt;3,AU17+1,0)</f>
        <v>10</v>
      </c>
      <c r="AX17" s="299" t="s">
        <v>38</v>
      </c>
      <c r="AY17" s="300">
        <v>11</v>
      </c>
      <c r="AZ17" s="169" t="s">
        <v>10</v>
      </c>
      <c r="BA17" s="301">
        <v>2015</v>
      </c>
      <c r="BB17" s="253"/>
      <c r="BC17" s="253"/>
      <c r="BD17" s="180"/>
      <c r="BE17" s="253">
        <v>11</v>
      </c>
      <c r="BF17" s="180">
        <f t="shared" ref="BF17:BF27" si="14">IF(AU17&gt;3,(($AT$2-BA17)*12+($AT$4-AY17)-BC17),"- - -")</f>
        <v>-24191</v>
      </c>
      <c r="BG17" s="140" t="str">
        <f t="shared" ref="BG17:BG27" si="15">IF(AND(CF17="Hưu",AU17&gt;3),12-(12*(CL17-BA17)+(CK17-AY17))-BC17,"- - -")</f>
        <v>- - -</v>
      </c>
      <c r="BH17" s="253" t="str">
        <f t="shared" ref="BH17:BH27" si="16">IF(BK17="công chức","CC",IF(BK17="viên chức","VC",IF(BK17="người lao động","NLĐ","- - -")))</f>
        <v>VC</v>
      </c>
      <c r="BI17" s="139"/>
      <c r="BJ17" s="139"/>
      <c r="BK17" s="139" t="s">
        <v>108</v>
      </c>
      <c r="BL17" s="253" t="str">
        <f t="shared" ref="BL17:BL27" si="17">IF(O17="Cơ sở Học viện Hành chính khu vực miền Trung","B",IF(O17="Phân viện Khu vực Tây Nguyên","C",IF(O17="Cơ sở Học viện Hành chính tại thành phố Hồ Chí Minh","D","A")))</f>
        <v>A</v>
      </c>
      <c r="BM17" s="143" t="str">
        <f t="shared" ref="BM17:BM27" si="18">IF(AND(AB17&gt;0,X17&lt;(Z17-1),BN17&gt;0,BN17&lt;13,OR(AND(BT17="Cùg Ng",($BM$2-BP17)&gt;AM17),BT17="- - -")),"Sớm TT","=&gt; s")</f>
        <v>=&gt; s</v>
      </c>
      <c r="BN17" s="253">
        <f t="shared" ref="BN17:BN27" si="19">IF(AM17=3,36-(12*($BM$2-AJ17)+(12-AH17)-AO17),IF(AM17=2,24-(12*($BM$2-AJ17)+(12-AH17)-AO17),"---"))</f>
        <v>24215</v>
      </c>
      <c r="BO17" s="139" t="str">
        <f t="shared" ref="BO17:BO27" si="20">IF(BP17&gt;1,"S","---")</f>
        <v>S</v>
      </c>
      <c r="BP17" s="253">
        <v>2012</v>
      </c>
      <c r="BQ17" s="146" t="s">
        <v>36</v>
      </c>
      <c r="BR17" s="146"/>
      <c r="BS17" s="343"/>
      <c r="BT17" s="142" t="str">
        <f t="shared" ref="BT17:BT27" si="21">IF(T17=BQ17,"Cùg Ng","- - -")</f>
        <v>Cùg Ng</v>
      </c>
      <c r="BU17" s="142" t="str">
        <f t="shared" ref="BU17:BU27" si="22">IF(BW17&gt;2000,"NN","- - -")</f>
        <v>- - -</v>
      </c>
      <c r="BZ17" s="146" t="str">
        <f t="shared" ref="BZ17:BZ27" si="23">IF(CB17&gt;2000,"CN","- - -")</f>
        <v>- - -</v>
      </c>
      <c r="CA17" s="253"/>
      <c r="CB17" s="253"/>
      <c r="CC17" s="141"/>
      <c r="CD17" s="141"/>
      <c r="CE17" s="142" t="str">
        <f t="shared" ref="CE17:CE27" si="24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53" t="str">
        <f t="shared" ref="CF17:CF27" si="25">IF(AND(CQ17&gt;CP17,CQ17&lt;(CP17+13)),"Hưu",IF(AND(CQ17&gt;(CP17+12),CQ17&lt;1000),"Quá","/-/ /-/"))</f>
        <v>/-/ /-/</v>
      </c>
      <c r="CG17" s="253">
        <f t="shared" ref="CG17:CG27" si="26">IF((H17+0)&lt;12,(H17+0)+1,IF((H17+0)=12,1,IF((H17+0)&gt;12,(H17+0)-12)))</f>
        <v>10</v>
      </c>
      <c r="CH17" s="253">
        <f t="shared" ref="CH17:CH27" si="27">IF(OR((H17+0)=12,(H17+0)&gt;12),J17+CP17/12+1,IF(AND((H17+0)&gt;0,(H17+0)&lt;12),J17+CP17/12,"---"))</f>
        <v>2037</v>
      </c>
      <c r="CI17" s="142">
        <f t="shared" ref="CI17:CI27" si="28">IF(AND(CG17&gt;3,CG17&lt;13),CG17-3,IF(CG17&lt;4,CG17-3+12))</f>
        <v>7</v>
      </c>
      <c r="CJ17" s="142">
        <f t="shared" ref="CJ17:CJ27" si="29">IF(CI17&lt;CG17,CH17,IF(CI17&gt;CG17,CH17-1))</f>
        <v>2037</v>
      </c>
      <c r="CK17" s="139">
        <f t="shared" ref="CK17:CK27" si="30">IF(CG17&gt;6,CG17-6,IF(CG17=6,12,IF(CG17&lt;6,CG17+6)))</f>
        <v>4</v>
      </c>
      <c r="CL17" s="253">
        <f t="shared" ref="CL17:CL27" si="31">IF(CG17&gt;6,CH17,IF(CG17&lt;7,CH17-1))</f>
        <v>2037</v>
      </c>
      <c r="CM17" s="253" t="str">
        <f t="shared" ref="CM17:CM27" si="32">IF(AND(CF17="Hưu",AM17=3),36+AO17-(12*(CL17-AJ17)+(CK17-AH17)),IF(AND(CF17="Hưu",AM17=2),24+AO17-(12*(CL17-AJ17)+(CK17-AH17)),IF(AND(CF17="Hưu",AM17=1),12+AO17-(12*(CL17-AJ17)+(CK17-AH17)),"- - -")))</f>
        <v>- - -</v>
      </c>
      <c r="CN17" s="253" t="str">
        <f t="shared" ref="CN17:CN27" si="33">IF(CO17&gt;0,"K.Dài",". .")</f>
        <v>. .</v>
      </c>
      <c r="CO17" s="253"/>
      <c r="CP17" s="143">
        <f t="shared" ref="CP17:CP27" si="34">IF(E17="Nam",(60+CO17)*12,IF(E17="Nữ",(55+CO17)*12,))</f>
        <v>720</v>
      </c>
      <c r="CQ17" s="143">
        <f t="shared" ref="CQ17:CQ27" si="35">12*($CF$4-J17)+(12-H17)</f>
        <v>-23721</v>
      </c>
      <c r="CR17" s="253">
        <f t="shared" ref="CR17:CR27" si="36">$CV$4-J17</f>
        <v>-1977</v>
      </c>
      <c r="CS17" s="143" t="str">
        <f t="shared" ref="CS17:CS27" si="37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V17" s="142" t="str">
        <f t="shared" ref="CV17:CV27" si="38">IF(CR17&lt;31,"Đến 30",IF(AND(CR17&gt;30,CR17&lt;46),"31 - 45",IF(AND(CR17&gt;45,CR17&lt;70),"Trên 45")))</f>
        <v>Đến 30</v>
      </c>
      <c r="CW17" s="142" t="str">
        <f t="shared" ref="CW17:CW27" si="39">IF(CX17&gt;0,"TD","--")</f>
        <v>TD</v>
      </c>
      <c r="CX17" s="142">
        <v>2012</v>
      </c>
      <c r="DG17" s="142" t="s">
        <v>146</v>
      </c>
      <c r="DH17" s="142" t="s">
        <v>9</v>
      </c>
      <c r="DI17" s="142" t="s">
        <v>10</v>
      </c>
      <c r="DJ17" s="142" t="s">
        <v>40</v>
      </c>
      <c r="DK17" s="142" t="s">
        <v>10</v>
      </c>
      <c r="DL17" s="142">
        <v>2012</v>
      </c>
      <c r="DM17" s="142">
        <f t="shared" ref="DM17:DM27" si="40">(DH17+0)-(DO17+0)</f>
        <v>0</v>
      </c>
      <c r="DN17" s="142" t="str">
        <f t="shared" ref="DN17:DN27" si="41">IF(DM17&gt;0,"Sửa","- - -")</f>
        <v>- - -</v>
      </c>
      <c r="DO17" s="142" t="s">
        <v>9</v>
      </c>
      <c r="DP17" s="142" t="s">
        <v>10</v>
      </c>
      <c r="DQ17" s="142" t="s">
        <v>40</v>
      </c>
      <c r="DR17" s="142" t="s">
        <v>10</v>
      </c>
      <c r="DS17" s="142">
        <v>2012</v>
      </c>
      <c r="DU17" s="142" t="str">
        <f t="shared" ref="DU17:DU27" si="42">IF(AND(AR17&gt;0.34,AB17=1,OR(AQ17=6.2,AQ17=5.75)),((AQ17-DT17)-2*0.34),IF(AND(AR17&gt;0.33,AB17=1,OR(AQ17=4.4,AQ17=4)),((AQ17-DT17)-2*0.33),"- - -"))</f>
        <v>- - -</v>
      </c>
      <c r="DV17" s="142" t="str">
        <f t="shared" ref="DV17:DV27" si="43">IF(CF17="Hưu",12*(CL17-AJ17)+(CK17-AH17),"---")</f>
        <v>---</v>
      </c>
    </row>
    <row r="18" spans="1:126" s="142" customFormat="1" ht="30" customHeight="1" x14ac:dyDescent="0.25">
      <c r="A18" s="139">
        <v>171</v>
      </c>
      <c r="B18" s="290">
        <v>2</v>
      </c>
      <c r="C18" s="139" t="str">
        <f t="shared" si="0"/>
        <v>Bà</v>
      </c>
      <c r="D18" s="293" t="s">
        <v>165</v>
      </c>
      <c r="E18" s="139" t="s">
        <v>32</v>
      </c>
      <c r="F18" s="294" t="s">
        <v>45</v>
      </c>
      <c r="G18" s="294" t="s">
        <v>10</v>
      </c>
      <c r="H18" s="294" t="s">
        <v>91</v>
      </c>
      <c r="I18" s="294" t="s">
        <v>10</v>
      </c>
      <c r="J18" s="139" t="s">
        <v>142</v>
      </c>
      <c r="K18" s="139" t="str">
        <f>IF(AND((M18+0)&gt;0.3,(M18+0)&lt;1.5),"CVụ","- -")</f>
        <v>CVụ</v>
      </c>
      <c r="L18" s="139" t="s">
        <v>120</v>
      </c>
      <c r="M18" s="143" t="str">
        <f>VLOOKUP(L18,'[1]- DLiêu Gốc -'!$B$2:$G$121,2,0)</f>
        <v>0,6</v>
      </c>
      <c r="N18" s="322" t="s">
        <v>133</v>
      </c>
      <c r="O18" s="313" t="s">
        <v>126</v>
      </c>
      <c r="P18" s="165" t="str">
        <f>VLOOKUP(U18,'[1]- DLiêu Gốc -'!$B$2:$G$56,5,0)</f>
        <v>A2</v>
      </c>
      <c r="Q18" s="165" t="str">
        <f>VLOOKUP(U18,'[1]- DLiêu Gốc -'!$B$2:$G$56,6,0)</f>
        <v>A2.1</v>
      </c>
      <c r="R18" s="139" t="s">
        <v>34</v>
      </c>
      <c r="S18" s="295" t="str">
        <f t="shared" si="1"/>
        <v>Giảng viên chính (hạng II)</v>
      </c>
      <c r="T18" s="296" t="str">
        <f t="shared" si="2"/>
        <v>V.07.01.02</v>
      </c>
      <c r="U18" s="180" t="s">
        <v>46</v>
      </c>
      <c r="V18" s="141" t="str">
        <f>VLOOKUP(U18,'[1]- DLiêu Gốc -'!$B$1:$G$121,2,0)</f>
        <v>V.07.01.02</v>
      </c>
      <c r="W18" s="291" t="str">
        <f t="shared" si="3"/>
        <v>Lương</v>
      </c>
      <c r="X18" s="291">
        <v>2</v>
      </c>
      <c r="Y18" s="291" t="str">
        <f t="shared" si="4"/>
        <v>/</v>
      </c>
      <c r="Z18" s="291">
        <f t="shared" si="5"/>
        <v>8</v>
      </c>
      <c r="AA18" s="291">
        <f t="shared" si="6"/>
        <v>4.74</v>
      </c>
      <c r="AB18" s="291">
        <f>X18+1</f>
        <v>3</v>
      </c>
      <c r="AC18" s="291" t="str">
        <f t="shared" si="7"/>
        <v>/</v>
      </c>
      <c r="AD18" s="291">
        <f t="shared" si="8"/>
        <v>8</v>
      </c>
      <c r="AE18" s="291">
        <f t="shared" si="9"/>
        <v>5.08</v>
      </c>
      <c r="AF18" s="291" t="s">
        <v>9</v>
      </c>
      <c r="AG18" s="291" t="s">
        <v>10</v>
      </c>
      <c r="AH18" s="291" t="s">
        <v>9</v>
      </c>
      <c r="AI18" s="291" t="s">
        <v>10</v>
      </c>
      <c r="AJ18" s="291">
        <v>2015</v>
      </c>
      <c r="AK18" s="147"/>
      <c r="AL18" s="141">
        <v>1</v>
      </c>
      <c r="AM18" s="291">
        <f t="shared" si="10"/>
        <v>3</v>
      </c>
      <c r="AN18" s="291">
        <f t="shared" si="11"/>
        <v>-24181</v>
      </c>
      <c r="AO18" s="180"/>
      <c r="AP18" s="180"/>
      <c r="AQ18" s="291">
        <f>VLOOKUP(U18,'[1]- DLiêu Gốc -'!$B$1:$E$56,3,0)</f>
        <v>4.4000000000000004</v>
      </c>
      <c r="AR18" s="291">
        <f>VLOOKUP(U18,'[1]- DLiêu Gốc -'!$B$1:$E$56,4,0)</f>
        <v>0.34</v>
      </c>
      <c r="AT18" s="291" t="str">
        <f t="shared" si="12"/>
        <v>PCTN</v>
      </c>
      <c r="AU18" s="297">
        <v>15</v>
      </c>
      <c r="AV18" s="298" t="s">
        <v>38</v>
      </c>
      <c r="AW18" s="297">
        <f t="shared" si="13"/>
        <v>16</v>
      </c>
      <c r="AX18" s="299" t="s">
        <v>38</v>
      </c>
      <c r="AY18" s="300">
        <v>11</v>
      </c>
      <c r="AZ18" s="169" t="s">
        <v>10</v>
      </c>
      <c r="BA18" s="301">
        <v>2015</v>
      </c>
      <c r="BB18" s="253"/>
      <c r="BC18" s="253"/>
      <c r="BD18" s="180"/>
      <c r="BE18" s="253">
        <v>11</v>
      </c>
      <c r="BF18" s="180">
        <f t="shared" si="14"/>
        <v>-24191</v>
      </c>
      <c r="BG18" s="140" t="str">
        <f t="shared" si="15"/>
        <v>- - -</v>
      </c>
      <c r="BH18" s="253" t="str">
        <f t="shared" si="16"/>
        <v>VC</v>
      </c>
      <c r="BI18" s="139"/>
      <c r="BJ18" s="139"/>
      <c r="BK18" s="139" t="s">
        <v>108</v>
      </c>
      <c r="BL18" s="253" t="str">
        <f t="shared" si="17"/>
        <v>A</v>
      </c>
      <c r="BM18" s="143" t="str">
        <f t="shared" si="18"/>
        <v>=&gt; s</v>
      </c>
      <c r="BN18" s="253">
        <f t="shared" si="19"/>
        <v>24205</v>
      </c>
      <c r="BO18" s="139" t="str">
        <f t="shared" si="20"/>
        <v>---</v>
      </c>
      <c r="BP18" s="253"/>
      <c r="BQ18" s="146"/>
      <c r="BR18" s="146"/>
      <c r="BS18" s="343"/>
      <c r="BT18" s="142" t="str">
        <f t="shared" si="21"/>
        <v>- - -</v>
      </c>
      <c r="BU18" s="142" t="str">
        <f t="shared" si="22"/>
        <v>NN</v>
      </c>
      <c r="BV18" s="142">
        <v>1</v>
      </c>
      <c r="BW18" s="142">
        <v>2009</v>
      </c>
      <c r="BZ18" s="146" t="str">
        <f t="shared" si="23"/>
        <v>- - -</v>
      </c>
      <c r="CA18" s="253"/>
      <c r="CB18" s="253"/>
      <c r="CC18" s="141"/>
      <c r="CD18" s="141"/>
      <c r="CE18" s="142" t="str">
        <f t="shared" si="24"/>
        <v>---</v>
      </c>
      <c r="CF18" s="253" t="str">
        <f t="shared" si="25"/>
        <v>/-/ /-/</v>
      </c>
      <c r="CG18" s="253">
        <f t="shared" si="26"/>
        <v>4</v>
      </c>
      <c r="CH18" s="253">
        <f t="shared" si="27"/>
        <v>2025</v>
      </c>
      <c r="CI18" s="142">
        <f t="shared" si="28"/>
        <v>1</v>
      </c>
      <c r="CJ18" s="142">
        <f t="shared" si="29"/>
        <v>2025</v>
      </c>
      <c r="CK18" s="139">
        <f t="shared" si="30"/>
        <v>10</v>
      </c>
      <c r="CL18" s="253">
        <f t="shared" si="31"/>
        <v>2024</v>
      </c>
      <c r="CM18" s="253" t="str">
        <f t="shared" si="32"/>
        <v>- - -</v>
      </c>
      <c r="CN18" s="253" t="str">
        <f t="shared" si="33"/>
        <v>. .</v>
      </c>
      <c r="CO18" s="253"/>
      <c r="CP18" s="143">
        <f t="shared" si="34"/>
        <v>660</v>
      </c>
      <c r="CQ18" s="143">
        <f t="shared" si="35"/>
        <v>-23631</v>
      </c>
      <c r="CR18" s="253">
        <f t="shared" si="36"/>
        <v>-1970</v>
      </c>
      <c r="CS18" s="143" t="str">
        <f t="shared" si="37"/>
        <v>Nữ dưới 30</v>
      </c>
      <c r="CV18" s="142" t="str">
        <f t="shared" si="38"/>
        <v>Đến 30</v>
      </c>
      <c r="CW18" s="142" t="str">
        <f t="shared" si="39"/>
        <v>--</v>
      </c>
      <c r="DG18" s="142" t="s">
        <v>133</v>
      </c>
      <c r="DH18" s="142" t="s">
        <v>9</v>
      </c>
      <c r="DI18" s="142" t="s">
        <v>10</v>
      </c>
      <c r="DJ18" s="142" t="s">
        <v>9</v>
      </c>
      <c r="DK18" s="142" t="s">
        <v>10</v>
      </c>
      <c r="DL18" s="142" t="s">
        <v>42</v>
      </c>
      <c r="DM18" s="142">
        <f t="shared" si="40"/>
        <v>0</v>
      </c>
      <c r="DN18" s="142" t="str">
        <f t="shared" si="41"/>
        <v>- - -</v>
      </c>
      <c r="DO18" s="142" t="s">
        <v>9</v>
      </c>
      <c r="DP18" s="142" t="s">
        <v>10</v>
      </c>
      <c r="DQ18" s="142" t="s">
        <v>9</v>
      </c>
      <c r="DR18" s="142" t="s">
        <v>10</v>
      </c>
      <c r="DS18" s="142" t="s">
        <v>42</v>
      </c>
      <c r="DT18" s="142">
        <v>3.66</v>
      </c>
      <c r="DU18" s="142" t="str">
        <f t="shared" si="42"/>
        <v>- - -</v>
      </c>
      <c r="DV18" s="142" t="str">
        <f t="shared" si="43"/>
        <v>---</v>
      </c>
    </row>
    <row r="19" spans="1:126" s="142" customFormat="1" ht="22.5" customHeight="1" x14ac:dyDescent="0.25">
      <c r="A19" s="139">
        <v>183</v>
      </c>
      <c r="B19" s="290">
        <v>3</v>
      </c>
      <c r="C19" s="139" t="str">
        <f t="shared" si="0"/>
        <v>Bà</v>
      </c>
      <c r="D19" s="293" t="s">
        <v>147</v>
      </c>
      <c r="E19" s="139" t="s">
        <v>32</v>
      </c>
      <c r="F19" s="294" t="s">
        <v>97</v>
      </c>
      <c r="G19" s="294" t="s">
        <v>10</v>
      </c>
      <c r="H19" s="294" t="s">
        <v>40</v>
      </c>
      <c r="I19" s="294" t="s">
        <v>10</v>
      </c>
      <c r="J19" s="139">
        <v>1980</v>
      </c>
      <c r="K19" s="139"/>
      <c r="L19" s="139"/>
      <c r="M19" s="143" t="e">
        <f>VLOOKUP(L19,'[1]- DLiêu Gốc -'!$B$2:$G$121,2,0)</f>
        <v>#N/A</v>
      </c>
      <c r="N19" s="322" t="s">
        <v>101</v>
      </c>
      <c r="O19" s="313" t="s">
        <v>96</v>
      </c>
      <c r="P19" s="165" t="str">
        <f>VLOOKUP(U19,'[1]- DLiêu Gốc -'!$B$2:$G$56,5,0)</f>
        <v>A1</v>
      </c>
      <c r="Q19" s="165" t="str">
        <f>VLOOKUP(U19,'[1]- DLiêu Gốc -'!$B$2:$G$56,6,0)</f>
        <v>- - -</v>
      </c>
      <c r="R19" s="139" t="s">
        <v>41</v>
      </c>
      <c r="S19" s="295" t="str">
        <f t="shared" si="1"/>
        <v>Giáo viên trung học</v>
      </c>
      <c r="T19" s="296" t="str">
        <f t="shared" si="2"/>
        <v>15.113</v>
      </c>
      <c r="U19" s="180" t="s">
        <v>117</v>
      </c>
      <c r="V19" s="141" t="str">
        <f>VLOOKUP(U19,'[1]- DLiêu Gốc -'!$B$1:$G$121,2,0)</f>
        <v>15.113</v>
      </c>
      <c r="W19" s="291" t="str">
        <f t="shared" si="3"/>
        <v>Lương</v>
      </c>
      <c r="X19" s="291">
        <v>4</v>
      </c>
      <c r="Y19" s="291" t="str">
        <f t="shared" si="4"/>
        <v>/</v>
      </c>
      <c r="Z19" s="291">
        <f t="shared" si="5"/>
        <v>9</v>
      </c>
      <c r="AA19" s="291">
        <f t="shared" si="6"/>
        <v>3.33</v>
      </c>
      <c r="AB19" s="291">
        <f>X19+1</f>
        <v>5</v>
      </c>
      <c r="AC19" s="291" t="str">
        <f t="shared" si="7"/>
        <v>/</v>
      </c>
      <c r="AD19" s="291">
        <f t="shared" si="8"/>
        <v>9</v>
      </c>
      <c r="AE19" s="291">
        <f t="shared" si="9"/>
        <v>3.66</v>
      </c>
      <c r="AF19" s="291" t="s">
        <v>9</v>
      </c>
      <c r="AG19" s="291"/>
      <c r="AH19" s="291" t="s">
        <v>40</v>
      </c>
      <c r="AI19" s="291"/>
      <c r="AJ19" s="291">
        <v>2015</v>
      </c>
      <c r="AK19" s="147"/>
      <c r="AL19" s="141"/>
      <c r="AM19" s="291">
        <f t="shared" si="10"/>
        <v>3</v>
      </c>
      <c r="AN19" s="291">
        <f t="shared" si="11"/>
        <v>-24191</v>
      </c>
      <c r="AO19" s="180"/>
      <c r="AP19" s="180"/>
      <c r="AQ19" s="291">
        <f>VLOOKUP(U19,'[1]- DLiêu Gốc -'!$B$1:$E$56,3,0)</f>
        <v>2.34</v>
      </c>
      <c r="AR19" s="291">
        <f>VLOOKUP(U19,'[1]- DLiêu Gốc -'!$B$1:$E$56,4,0)</f>
        <v>0.33</v>
      </c>
      <c r="AT19" s="291" t="str">
        <f t="shared" si="12"/>
        <v>PCTN</v>
      </c>
      <c r="AU19" s="297">
        <v>11</v>
      </c>
      <c r="AV19" s="298" t="s">
        <v>38</v>
      </c>
      <c r="AW19" s="297">
        <f t="shared" si="13"/>
        <v>12</v>
      </c>
      <c r="AX19" s="299" t="s">
        <v>38</v>
      </c>
      <c r="AY19" s="300">
        <v>11</v>
      </c>
      <c r="AZ19" s="169" t="s">
        <v>10</v>
      </c>
      <c r="BA19" s="301">
        <v>2015</v>
      </c>
      <c r="BB19" s="253" t="s">
        <v>148</v>
      </c>
      <c r="BC19" s="253"/>
      <c r="BD19" s="180"/>
      <c r="BE19" s="253">
        <v>11</v>
      </c>
      <c r="BF19" s="180">
        <f t="shared" si="14"/>
        <v>-24191</v>
      </c>
      <c r="BG19" s="140" t="str">
        <f t="shared" si="15"/>
        <v>- - -</v>
      </c>
      <c r="BH19" s="253" t="str">
        <f t="shared" si="16"/>
        <v>VC</v>
      </c>
      <c r="BI19" s="139"/>
      <c r="BJ19" s="139"/>
      <c r="BK19" s="139" t="s">
        <v>108</v>
      </c>
      <c r="BL19" s="253" t="str">
        <f t="shared" si="17"/>
        <v>A</v>
      </c>
      <c r="BM19" s="143" t="str">
        <f t="shared" si="18"/>
        <v>=&gt; s</v>
      </c>
      <c r="BN19" s="253">
        <f t="shared" si="19"/>
        <v>24215</v>
      </c>
      <c r="BO19" s="139" t="str">
        <f t="shared" si="20"/>
        <v>---</v>
      </c>
      <c r="BP19" s="253"/>
      <c r="BQ19" s="146"/>
      <c r="BR19" s="146"/>
      <c r="BS19" s="343"/>
      <c r="BT19" s="142" t="str">
        <f t="shared" si="21"/>
        <v>- - -</v>
      </c>
      <c r="BU19" s="142" t="str">
        <f t="shared" si="22"/>
        <v>- - -</v>
      </c>
      <c r="BZ19" s="146" t="str">
        <f t="shared" si="23"/>
        <v>- - -</v>
      </c>
      <c r="CA19" s="253"/>
      <c r="CB19" s="253"/>
      <c r="CC19" s="141"/>
      <c r="CD19" s="141"/>
      <c r="CE19" s="142" t="str">
        <f t="shared" si="24"/>
        <v>---</v>
      </c>
      <c r="CF19" s="253" t="str">
        <f t="shared" si="25"/>
        <v>/-/ /-/</v>
      </c>
      <c r="CG19" s="253">
        <f t="shared" si="26"/>
        <v>12</v>
      </c>
      <c r="CH19" s="253">
        <f t="shared" si="27"/>
        <v>2035</v>
      </c>
      <c r="CI19" s="142">
        <f t="shared" si="28"/>
        <v>9</v>
      </c>
      <c r="CJ19" s="142">
        <f t="shared" si="29"/>
        <v>2035</v>
      </c>
      <c r="CK19" s="139">
        <f t="shared" si="30"/>
        <v>6</v>
      </c>
      <c r="CL19" s="253">
        <f t="shared" si="31"/>
        <v>2035</v>
      </c>
      <c r="CM19" s="253" t="str">
        <f t="shared" si="32"/>
        <v>- - -</v>
      </c>
      <c r="CN19" s="253" t="str">
        <f t="shared" si="33"/>
        <v>. .</v>
      </c>
      <c r="CO19" s="253"/>
      <c r="CP19" s="143">
        <f t="shared" si="34"/>
        <v>660</v>
      </c>
      <c r="CQ19" s="143">
        <f t="shared" si="35"/>
        <v>-23759</v>
      </c>
      <c r="CR19" s="253">
        <f t="shared" si="36"/>
        <v>-1980</v>
      </c>
      <c r="CS19" s="143" t="str">
        <f t="shared" si="37"/>
        <v>Nữ dưới 30</v>
      </c>
      <c r="CV19" s="142" t="str">
        <f t="shared" si="38"/>
        <v>Đến 30</v>
      </c>
      <c r="CW19" s="142" t="str">
        <f t="shared" si="39"/>
        <v>--</v>
      </c>
      <c r="DG19" s="142" t="s">
        <v>101</v>
      </c>
      <c r="DH19" s="142" t="s">
        <v>9</v>
      </c>
      <c r="DI19" s="142" t="s">
        <v>10</v>
      </c>
      <c r="DJ19" s="142" t="s">
        <v>40</v>
      </c>
      <c r="DK19" s="142" t="s">
        <v>10</v>
      </c>
      <c r="DL19" s="142">
        <v>2012</v>
      </c>
      <c r="DM19" s="142">
        <f t="shared" si="40"/>
        <v>0</v>
      </c>
      <c r="DN19" s="142" t="str">
        <f t="shared" si="41"/>
        <v>- - -</v>
      </c>
      <c r="DO19" s="142" t="s">
        <v>9</v>
      </c>
      <c r="DP19" s="142" t="s">
        <v>10</v>
      </c>
      <c r="DQ19" s="142" t="s">
        <v>40</v>
      </c>
      <c r="DR19" s="142" t="s">
        <v>10</v>
      </c>
      <c r="DS19" s="142">
        <v>2012</v>
      </c>
      <c r="DU19" s="142" t="str">
        <f t="shared" si="42"/>
        <v>- - -</v>
      </c>
      <c r="DV19" s="142" t="str">
        <f t="shared" si="43"/>
        <v>---</v>
      </c>
    </row>
    <row r="20" spans="1:126" s="142" customFormat="1" ht="22.5" customHeight="1" x14ac:dyDescent="0.25">
      <c r="A20" s="139">
        <v>215</v>
      </c>
      <c r="B20" s="290">
        <v>4</v>
      </c>
      <c r="C20" s="139" t="str">
        <f t="shared" si="0"/>
        <v>Ông</v>
      </c>
      <c r="D20" s="293" t="s">
        <v>166</v>
      </c>
      <c r="E20" s="139" t="s">
        <v>39</v>
      </c>
      <c r="F20" s="294" t="s">
        <v>95</v>
      </c>
      <c r="G20" s="294" t="s">
        <v>10</v>
      </c>
      <c r="H20" s="294" t="s">
        <v>91</v>
      </c>
      <c r="I20" s="294" t="s">
        <v>10</v>
      </c>
      <c r="J20" s="139" t="s">
        <v>167</v>
      </c>
      <c r="K20" s="139"/>
      <c r="L20" s="139"/>
      <c r="M20" s="143" t="e">
        <f>VLOOKUP(L20,'[1]- DLiêu Gốc -'!$B$2:$G$121,2,0)</f>
        <v>#N/A</v>
      </c>
      <c r="N20" s="322" t="s">
        <v>168</v>
      </c>
      <c r="O20" s="313" t="s">
        <v>119</v>
      </c>
      <c r="P20" s="165" t="str">
        <f>VLOOKUP(U20,'[1]- DLiêu Gốc -'!$B$2:$G$56,5,0)</f>
        <v>A3</v>
      </c>
      <c r="Q20" s="165" t="str">
        <f>VLOOKUP(U20,'[1]- DLiêu Gốc -'!$B$2:$G$56,6,0)</f>
        <v>A3.1</v>
      </c>
      <c r="R20" s="139" t="s">
        <v>34</v>
      </c>
      <c r="S20" s="295" t="str">
        <f t="shared" si="1"/>
        <v>Giảng viên cao cấp (hạng I)</v>
      </c>
      <c r="T20" s="296" t="str">
        <f t="shared" si="2"/>
        <v>V.07.01.01</v>
      </c>
      <c r="U20" s="180" t="s">
        <v>90</v>
      </c>
      <c r="V20" s="141" t="str">
        <f>VLOOKUP(U20,'[1]- DLiêu Gốc -'!$B$1:$G$121,2,0)</f>
        <v>V.07.01.01</v>
      </c>
      <c r="W20" s="291" t="str">
        <f t="shared" si="3"/>
        <v>Lương</v>
      </c>
      <c r="X20" s="291">
        <v>6</v>
      </c>
      <c r="Y20" s="291" t="str">
        <f t="shared" si="4"/>
        <v>/</v>
      </c>
      <c r="Z20" s="291">
        <f t="shared" si="5"/>
        <v>6</v>
      </c>
      <c r="AA20" s="291">
        <f t="shared" si="6"/>
        <v>8</v>
      </c>
      <c r="AB20" s="291">
        <v>9</v>
      </c>
      <c r="AC20" s="291" t="str">
        <f t="shared" si="7"/>
        <v>%</v>
      </c>
      <c r="AD20" s="291">
        <f t="shared" si="8"/>
        <v>10</v>
      </c>
      <c r="AE20" s="291" t="str">
        <f t="shared" si="9"/>
        <v>%</v>
      </c>
      <c r="AF20" s="291" t="s">
        <v>9</v>
      </c>
      <c r="AG20" s="291" t="s">
        <v>10</v>
      </c>
      <c r="AH20" s="291" t="s">
        <v>48</v>
      </c>
      <c r="AI20" s="291" t="s">
        <v>10</v>
      </c>
      <c r="AJ20" s="291">
        <v>2015</v>
      </c>
      <c r="AK20" s="147" t="s">
        <v>169</v>
      </c>
      <c r="AL20" s="141">
        <v>6</v>
      </c>
      <c r="AM20" s="291">
        <f t="shared" si="10"/>
        <v>1</v>
      </c>
      <c r="AN20" s="291">
        <f t="shared" si="11"/>
        <v>-24186</v>
      </c>
      <c r="AO20" s="180"/>
      <c r="AP20" s="180"/>
      <c r="AQ20" s="291">
        <f>VLOOKUP(U20,'[1]- DLiêu Gốc -'!$B$1:$E$56,3,0)</f>
        <v>6.2</v>
      </c>
      <c r="AR20" s="291">
        <f>VLOOKUP(U20,'[1]- DLiêu Gốc -'!$B$1:$E$56,4,0)</f>
        <v>0.36</v>
      </c>
      <c r="AT20" s="291" t="str">
        <f t="shared" si="12"/>
        <v>PCTN</v>
      </c>
      <c r="AU20" s="297">
        <v>30</v>
      </c>
      <c r="AV20" s="298" t="s">
        <v>38</v>
      </c>
      <c r="AW20" s="297">
        <f t="shared" si="13"/>
        <v>31</v>
      </c>
      <c r="AX20" s="299" t="s">
        <v>38</v>
      </c>
      <c r="AY20" s="300" t="s">
        <v>40</v>
      </c>
      <c r="AZ20" s="169" t="s">
        <v>10</v>
      </c>
      <c r="BA20" s="301">
        <v>2015</v>
      </c>
      <c r="BB20" s="253"/>
      <c r="BC20" s="253"/>
      <c r="BD20" s="180"/>
      <c r="BE20" s="253">
        <v>11</v>
      </c>
      <c r="BF20" s="180">
        <f t="shared" si="14"/>
        <v>-24191</v>
      </c>
      <c r="BG20" s="140" t="str">
        <f t="shared" si="15"/>
        <v>- - -</v>
      </c>
      <c r="BH20" s="253" t="str">
        <f t="shared" si="16"/>
        <v>VC</v>
      </c>
      <c r="BI20" s="139"/>
      <c r="BJ20" s="139"/>
      <c r="BK20" s="139" t="s">
        <v>108</v>
      </c>
      <c r="BL20" s="253" t="str">
        <f t="shared" si="17"/>
        <v>A</v>
      </c>
      <c r="BM20" s="143" t="str">
        <f t="shared" si="18"/>
        <v>=&gt; s</v>
      </c>
      <c r="BN20" s="253" t="str">
        <f t="shared" si="19"/>
        <v>---</v>
      </c>
      <c r="BO20" s="139" t="str">
        <f t="shared" si="20"/>
        <v>S</v>
      </c>
      <c r="BP20" s="253">
        <v>2007</v>
      </c>
      <c r="BQ20" s="146" t="s">
        <v>100</v>
      </c>
      <c r="BR20" s="146"/>
      <c r="BS20" s="343"/>
      <c r="BT20" s="142" t="str">
        <f t="shared" si="21"/>
        <v>Cùg Ng</v>
      </c>
      <c r="BU20" s="142" t="str">
        <f t="shared" si="22"/>
        <v>- - -</v>
      </c>
      <c r="BZ20" s="146" t="str">
        <f t="shared" si="23"/>
        <v>- - -</v>
      </c>
      <c r="CA20" s="253"/>
      <c r="CB20" s="253"/>
      <c r="CC20" s="141"/>
      <c r="CD20" s="141"/>
      <c r="CE20" s="142" t="str">
        <f t="shared" si="24"/>
        <v>---</v>
      </c>
      <c r="CF20" s="253" t="str">
        <f t="shared" si="25"/>
        <v>/-/ /-/</v>
      </c>
      <c r="CG20" s="253">
        <f t="shared" si="26"/>
        <v>4</v>
      </c>
      <c r="CH20" s="253">
        <f t="shared" si="27"/>
        <v>2016</v>
      </c>
      <c r="CI20" s="142">
        <f t="shared" si="28"/>
        <v>1</v>
      </c>
      <c r="CJ20" s="142">
        <f t="shared" si="29"/>
        <v>2016</v>
      </c>
      <c r="CK20" s="139">
        <f t="shared" si="30"/>
        <v>10</v>
      </c>
      <c r="CL20" s="253">
        <f t="shared" si="31"/>
        <v>2015</v>
      </c>
      <c r="CM20" s="253" t="str">
        <f t="shared" si="32"/>
        <v>- - -</v>
      </c>
      <c r="CN20" s="253" t="str">
        <f t="shared" si="33"/>
        <v>K.Dài</v>
      </c>
      <c r="CO20" s="253">
        <v>7</v>
      </c>
      <c r="CP20" s="143">
        <f t="shared" si="34"/>
        <v>804</v>
      </c>
      <c r="CQ20" s="143">
        <f t="shared" si="35"/>
        <v>-23379</v>
      </c>
      <c r="CR20" s="253">
        <f t="shared" si="36"/>
        <v>-1949</v>
      </c>
      <c r="CS20" s="143" t="str">
        <f t="shared" si="37"/>
        <v>Nam dưới 35</v>
      </c>
      <c r="CV20" s="142" t="str">
        <f t="shared" si="38"/>
        <v>Đến 30</v>
      </c>
      <c r="CW20" s="142" t="str">
        <f t="shared" si="39"/>
        <v>--</v>
      </c>
      <c r="DB20" s="142" t="s">
        <v>170</v>
      </c>
      <c r="DG20" s="142" t="s">
        <v>168</v>
      </c>
      <c r="DH20" s="142" t="s">
        <v>9</v>
      </c>
      <c r="DI20" s="142" t="s">
        <v>10</v>
      </c>
      <c r="DJ20" s="142" t="s">
        <v>48</v>
      </c>
      <c r="DK20" s="142" t="s">
        <v>10</v>
      </c>
      <c r="DL20" s="142">
        <v>2013</v>
      </c>
      <c r="DM20" s="142">
        <f t="shared" si="40"/>
        <v>0</v>
      </c>
      <c r="DN20" s="142" t="str">
        <f t="shared" si="41"/>
        <v>- - -</v>
      </c>
      <c r="DO20" s="142" t="s">
        <v>9</v>
      </c>
      <c r="DP20" s="142" t="s">
        <v>10</v>
      </c>
      <c r="DQ20" s="142" t="s">
        <v>48</v>
      </c>
      <c r="DR20" s="142" t="s">
        <v>10</v>
      </c>
      <c r="DS20" s="142">
        <v>2013</v>
      </c>
      <c r="DU20" s="142" t="str">
        <f t="shared" si="42"/>
        <v>- - -</v>
      </c>
      <c r="DV20" s="142" t="str">
        <f t="shared" si="43"/>
        <v>---</v>
      </c>
    </row>
    <row r="21" spans="1:126" s="142" customFormat="1" ht="22.5" customHeight="1" x14ac:dyDescent="0.25">
      <c r="A21" s="139">
        <v>245</v>
      </c>
      <c r="B21" s="290">
        <v>5</v>
      </c>
      <c r="C21" s="139" t="str">
        <f t="shared" si="0"/>
        <v>Ông</v>
      </c>
      <c r="D21" s="293" t="s">
        <v>171</v>
      </c>
      <c r="E21" s="139" t="s">
        <v>39</v>
      </c>
      <c r="F21" s="294" t="s">
        <v>111</v>
      </c>
      <c r="G21" s="294" t="s">
        <v>10</v>
      </c>
      <c r="H21" s="294" t="s">
        <v>47</v>
      </c>
      <c r="I21" s="294" t="s">
        <v>10</v>
      </c>
      <c r="J21" s="139">
        <v>1958</v>
      </c>
      <c r="K21" s="139" t="str">
        <f>IF(AND((M21+0)&gt;0.3,(M21+0)&lt;1.5),"CVụ","- -")</f>
        <v>CVụ</v>
      </c>
      <c r="L21" s="139" t="s">
        <v>172</v>
      </c>
      <c r="M21" s="143" t="str">
        <f>VLOOKUP(L21,'[1]- DLiêu Gốc -'!$B$2:$G$121,2,0)</f>
        <v>0,8</v>
      </c>
      <c r="N21" s="322"/>
      <c r="O21" s="313" t="s">
        <v>156</v>
      </c>
      <c r="P21" s="165" t="str">
        <f>VLOOKUP(U21,'[1]- DLiêu Gốc -'!$B$2:$G$56,5,0)</f>
        <v>A2</v>
      </c>
      <c r="Q21" s="165" t="str">
        <f>VLOOKUP(U21,'[1]- DLiêu Gốc -'!$B$2:$G$56,6,0)</f>
        <v>A2.1</v>
      </c>
      <c r="R21" s="139" t="s">
        <v>34</v>
      </c>
      <c r="S21" s="295" t="str">
        <f t="shared" si="1"/>
        <v>Giảng viên chính (hạng II)</v>
      </c>
      <c r="T21" s="296" t="str">
        <f t="shared" si="2"/>
        <v>V.07.01.02</v>
      </c>
      <c r="U21" s="180" t="s">
        <v>46</v>
      </c>
      <c r="V21" s="141" t="str">
        <f>VLOOKUP(U21,'[1]- DLiêu Gốc -'!$B$1:$G$121,2,0)</f>
        <v>V.07.01.02</v>
      </c>
      <c r="W21" s="291" t="str">
        <f t="shared" si="3"/>
        <v>Lương</v>
      </c>
      <c r="X21" s="291">
        <v>6</v>
      </c>
      <c r="Y21" s="291" t="str">
        <f t="shared" si="4"/>
        <v>/</v>
      </c>
      <c r="Z21" s="291">
        <f t="shared" si="5"/>
        <v>8</v>
      </c>
      <c r="AA21" s="291">
        <f t="shared" si="6"/>
        <v>6.1000000000000005</v>
      </c>
      <c r="AB21" s="291">
        <f t="shared" ref="AB21:AB27" si="44">X21+1</f>
        <v>7</v>
      </c>
      <c r="AC21" s="291" t="str">
        <f t="shared" si="7"/>
        <v>/</v>
      </c>
      <c r="AD21" s="291">
        <f t="shared" si="8"/>
        <v>8</v>
      </c>
      <c r="AE21" s="291">
        <f t="shared" si="9"/>
        <v>6.44</v>
      </c>
      <c r="AF21" s="291" t="s">
        <v>9</v>
      </c>
      <c r="AG21" s="291" t="s">
        <v>10</v>
      </c>
      <c r="AH21" s="291" t="s">
        <v>43</v>
      </c>
      <c r="AI21" s="291" t="s">
        <v>10</v>
      </c>
      <c r="AJ21" s="291">
        <v>2013</v>
      </c>
      <c r="AK21" s="147"/>
      <c r="AL21" s="141"/>
      <c r="AM21" s="291">
        <f t="shared" si="10"/>
        <v>3</v>
      </c>
      <c r="AN21" s="291">
        <f t="shared" si="11"/>
        <v>-24168</v>
      </c>
      <c r="AO21" s="180"/>
      <c r="AP21" s="180"/>
      <c r="AQ21" s="291">
        <f>VLOOKUP(U21,'[1]- DLiêu Gốc -'!$B$1:$E$56,3,0)</f>
        <v>4.4000000000000004</v>
      </c>
      <c r="AR21" s="291">
        <f>VLOOKUP(U21,'[1]- DLiêu Gốc -'!$B$1:$E$56,4,0)</f>
        <v>0.34</v>
      </c>
      <c r="AT21" s="291" t="str">
        <f t="shared" si="12"/>
        <v>PCTN</v>
      </c>
      <c r="AU21" s="297">
        <v>18</v>
      </c>
      <c r="AV21" s="298" t="s">
        <v>38</v>
      </c>
      <c r="AW21" s="297">
        <f t="shared" si="13"/>
        <v>19</v>
      </c>
      <c r="AX21" s="299" t="s">
        <v>38</v>
      </c>
      <c r="AY21" s="300">
        <v>11</v>
      </c>
      <c r="AZ21" s="169" t="s">
        <v>10</v>
      </c>
      <c r="BA21" s="301">
        <v>2015</v>
      </c>
      <c r="BB21" s="253"/>
      <c r="BC21" s="253"/>
      <c r="BD21" s="180"/>
      <c r="BE21" s="253">
        <v>11</v>
      </c>
      <c r="BF21" s="180">
        <f t="shared" si="14"/>
        <v>-24191</v>
      </c>
      <c r="BG21" s="140" t="str">
        <f t="shared" si="15"/>
        <v>- - -</v>
      </c>
      <c r="BH21" s="253" t="str">
        <f t="shared" si="16"/>
        <v>VC</v>
      </c>
      <c r="BI21" s="139"/>
      <c r="BJ21" s="139"/>
      <c r="BK21" s="139" t="s">
        <v>108</v>
      </c>
      <c r="BL21" s="253" t="str">
        <f t="shared" si="17"/>
        <v>A</v>
      </c>
      <c r="BM21" s="143" t="str">
        <f t="shared" si="18"/>
        <v>=&gt; s</v>
      </c>
      <c r="BN21" s="253">
        <f t="shared" si="19"/>
        <v>24192</v>
      </c>
      <c r="BO21" s="139" t="str">
        <f t="shared" si="20"/>
        <v>---</v>
      </c>
      <c r="BP21" s="253"/>
      <c r="BQ21" s="146"/>
      <c r="BR21" s="146"/>
      <c r="BS21" s="343"/>
      <c r="BT21" s="142" t="str">
        <f t="shared" si="21"/>
        <v>- - -</v>
      </c>
      <c r="BU21" s="142" t="str">
        <f t="shared" si="22"/>
        <v>- - -</v>
      </c>
      <c r="BZ21" s="146" t="str">
        <f t="shared" si="23"/>
        <v>- - -</v>
      </c>
      <c r="CA21" s="253"/>
      <c r="CB21" s="253"/>
      <c r="CC21" s="141"/>
      <c r="CD21" s="141"/>
      <c r="CE21" s="142" t="str">
        <f t="shared" si="24"/>
        <v>---</v>
      </c>
      <c r="CF21" s="253" t="str">
        <f t="shared" si="25"/>
        <v>/-/ /-/</v>
      </c>
      <c r="CG21" s="253">
        <f t="shared" si="26"/>
        <v>11</v>
      </c>
      <c r="CH21" s="253">
        <f t="shared" si="27"/>
        <v>2018</v>
      </c>
      <c r="CI21" s="142">
        <f t="shared" si="28"/>
        <v>8</v>
      </c>
      <c r="CJ21" s="142">
        <f t="shared" si="29"/>
        <v>2018</v>
      </c>
      <c r="CK21" s="139">
        <f t="shared" si="30"/>
        <v>5</v>
      </c>
      <c r="CL21" s="253">
        <f t="shared" si="31"/>
        <v>2018</v>
      </c>
      <c r="CM21" s="253" t="str">
        <f t="shared" si="32"/>
        <v>- - -</v>
      </c>
      <c r="CN21" s="253" t="str">
        <f t="shared" si="33"/>
        <v>. .</v>
      </c>
      <c r="CO21" s="253"/>
      <c r="CP21" s="143">
        <f t="shared" si="34"/>
        <v>720</v>
      </c>
      <c r="CQ21" s="143">
        <f t="shared" si="35"/>
        <v>-23494</v>
      </c>
      <c r="CR21" s="253">
        <f t="shared" si="36"/>
        <v>-1958</v>
      </c>
      <c r="CS21" s="143" t="str">
        <f t="shared" si="37"/>
        <v>Nam dưới 35</v>
      </c>
      <c r="CV21" s="142" t="str">
        <f t="shared" si="38"/>
        <v>Đến 30</v>
      </c>
      <c r="CW21" s="142" t="str">
        <f t="shared" si="39"/>
        <v>--</v>
      </c>
      <c r="DH21" s="142" t="s">
        <v>9</v>
      </c>
      <c r="DI21" s="142" t="s">
        <v>10</v>
      </c>
      <c r="DJ21" s="142" t="s">
        <v>43</v>
      </c>
      <c r="DK21" s="142" t="s">
        <v>10</v>
      </c>
      <c r="DL21" s="142">
        <v>2013</v>
      </c>
      <c r="DM21" s="142">
        <f t="shared" si="40"/>
        <v>0</v>
      </c>
      <c r="DN21" s="142" t="str">
        <f t="shared" si="41"/>
        <v>- - -</v>
      </c>
      <c r="DO21" s="142" t="s">
        <v>9</v>
      </c>
      <c r="DP21" s="142" t="s">
        <v>10</v>
      </c>
      <c r="DQ21" s="142" t="s">
        <v>43</v>
      </c>
      <c r="DR21" s="142" t="s">
        <v>10</v>
      </c>
      <c r="DS21" s="142">
        <v>2013</v>
      </c>
      <c r="DU21" s="142" t="str">
        <f t="shared" si="42"/>
        <v>- - -</v>
      </c>
      <c r="DV21" s="142" t="str">
        <f t="shared" si="43"/>
        <v>---</v>
      </c>
    </row>
    <row r="22" spans="1:126" s="142" customFormat="1" ht="22.5" customHeight="1" x14ac:dyDescent="0.25">
      <c r="A22" s="139">
        <v>251</v>
      </c>
      <c r="B22" s="290">
        <v>6</v>
      </c>
      <c r="C22" s="139" t="str">
        <f t="shared" si="0"/>
        <v>Bà</v>
      </c>
      <c r="D22" s="293" t="s">
        <v>154</v>
      </c>
      <c r="E22" s="139" t="s">
        <v>32</v>
      </c>
      <c r="F22" s="294" t="s">
        <v>109</v>
      </c>
      <c r="G22" s="294" t="s">
        <v>10</v>
      </c>
      <c r="H22" s="294">
        <v>5</v>
      </c>
      <c r="I22" s="294" t="s">
        <v>10</v>
      </c>
      <c r="J22" s="139">
        <v>1981</v>
      </c>
      <c r="K22" s="139"/>
      <c r="L22" s="139"/>
      <c r="M22" s="143" t="e">
        <f>VLOOKUP(L22,'[1]- DLiêu Gốc -'!$B$2:$G$121,2,0)</f>
        <v>#N/A</v>
      </c>
      <c r="N22" s="322" t="s">
        <v>155</v>
      </c>
      <c r="O22" s="313" t="s">
        <v>156</v>
      </c>
      <c r="P22" s="165" t="str">
        <f>VLOOKUP(U22,'[1]- DLiêu Gốc -'!$B$2:$G$56,5,0)</f>
        <v>A1</v>
      </c>
      <c r="Q22" s="165" t="str">
        <f>VLOOKUP(U22,'[1]- DLiêu Gốc -'!$B$2:$G$56,6,0)</f>
        <v>- - -</v>
      </c>
      <c r="R22" s="139" t="s">
        <v>34</v>
      </c>
      <c r="S22" s="295" t="str">
        <f t="shared" si="1"/>
        <v>Giảng viên (hạng III)</v>
      </c>
      <c r="T22" s="296" t="str">
        <f t="shared" si="2"/>
        <v>V.07.01.03</v>
      </c>
      <c r="U22" s="180" t="s">
        <v>35</v>
      </c>
      <c r="V22" s="141" t="str">
        <f>VLOOKUP(U22,'[1]- DLiêu Gốc -'!$B$1:$G$121,2,0)</f>
        <v>V.07.01.03</v>
      </c>
      <c r="W22" s="291" t="str">
        <f t="shared" si="3"/>
        <v>Lương</v>
      </c>
      <c r="X22" s="291">
        <v>4</v>
      </c>
      <c r="Y22" s="291" t="str">
        <f t="shared" si="4"/>
        <v>/</v>
      </c>
      <c r="Z22" s="291">
        <f t="shared" si="5"/>
        <v>9</v>
      </c>
      <c r="AA22" s="291">
        <f t="shared" si="6"/>
        <v>3.33</v>
      </c>
      <c r="AB22" s="291">
        <f t="shared" si="44"/>
        <v>5</v>
      </c>
      <c r="AC22" s="291" t="str">
        <f t="shared" si="7"/>
        <v>/</v>
      </c>
      <c r="AD22" s="291">
        <f t="shared" si="8"/>
        <v>9</v>
      </c>
      <c r="AE22" s="291">
        <f t="shared" si="9"/>
        <v>3.66</v>
      </c>
      <c r="AF22" s="291" t="s">
        <v>9</v>
      </c>
      <c r="AG22" s="291" t="s">
        <v>10</v>
      </c>
      <c r="AH22" s="291" t="s">
        <v>40</v>
      </c>
      <c r="AI22" s="291" t="s">
        <v>10</v>
      </c>
      <c r="AJ22" s="291">
        <v>2015</v>
      </c>
      <c r="AK22" s="147" t="s">
        <v>129</v>
      </c>
      <c r="AL22" s="141"/>
      <c r="AM22" s="291">
        <f t="shared" si="10"/>
        <v>3</v>
      </c>
      <c r="AN22" s="291">
        <f t="shared" si="11"/>
        <v>-24191</v>
      </c>
      <c r="AO22" s="180"/>
      <c r="AP22" s="180"/>
      <c r="AQ22" s="291">
        <f>VLOOKUP(U22,'[1]- DLiêu Gốc -'!$B$1:$E$56,3,0)</f>
        <v>2.34</v>
      </c>
      <c r="AR22" s="291">
        <f>VLOOKUP(U22,'[1]- DLiêu Gốc -'!$B$1:$E$56,4,0)</f>
        <v>0.33</v>
      </c>
      <c r="AT22" s="291" t="str">
        <f t="shared" si="12"/>
        <v>PCTN</v>
      </c>
      <c r="AU22" s="297">
        <v>10</v>
      </c>
      <c r="AV22" s="298" t="s">
        <v>38</v>
      </c>
      <c r="AW22" s="297">
        <f t="shared" si="13"/>
        <v>11</v>
      </c>
      <c r="AX22" s="299" t="s">
        <v>38</v>
      </c>
      <c r="AY22" s="300">
        <v>11</v>
      </c>
      <c r="AZ22" s="169" t="s">
        <v>10</v>
      </c>
      <c r="BA22" s="301">
        <v>2015</v>
      </c>
      <c r="BB22" s="253"/>
      <c r="BC22" s="253"/>
      <c r="BD22" s="180"/>
      <c r="BE22" s="253">
        <v>11</v>
      </c>
      <c r="BF22" s="180">
        <f t="shared" si="14"/>
        <v>-24191</v>
      </c>
      <c r="BG22" s="140" t="str">
        <f t="shared" si="15"/>
        <v>- - -</v>
      </c>
      <c r="BH22" s="253" t="str">
        <f t="shared" si="16"/>
        <v>VC</v>
      </c>
      <c r="BI22" s="139"/>
      <c r="BJ22" s="139"/>
      <c r="BK22" s="139" t="s">
        <v>108</v>
      </c>
      <c r="BL22" s="253" t="str">
        <f t="shared" si="17"/>
        <v>A</v>
      </c>
      <c r="BM22" s="143" t="str">
        <f t="shared" si="18"/>
        <v>=&gt; s</v>
      </c>
      <c r="BN22" s="253">
        <f t="shared" si="19"/>
        <v>24215</v>
      </c>
      <c r="BO22" s="139" t="str">
        <f t="shared" si="20"/>
        <v>S</v>
      </c>
      <c r="BP22" s="253">
        <v>2012</v>
      </c>
      <c r="BQ22" s="146" t="s">
        <v>36</v>
      </c>
      <c r="BR22" s="146"/>
      <c r="BS22" s="343"/>
      <c r="BT22" s="142" t="str">
        <f t="shared" si="21"/>
        <v>Cùg Ng</v>
      </c>
      <c r="BU22" s="142" t="str">
        <f t="shared" si="22"/>
        <v>- - -</v>
      </c>
      <c r="BZ22" s="146" t="str">
        <f t="shared" si="23"/>
        <v>- - -</v>
      </c>
      <c r="CA22" s="253"/>
      <c r="CB22" s="253"/>
      <c r="CC22" s="141"/>
      <c r="CD22" s="141"/>
      <c r="CE22" s="142" t="str">
        <f t="shared" si="24"/>
        <v>---</v>
      </c>
      <c r="CF22" s="253" t="str">
        <f t="shared" si="25"/>
        <v>/-/ /-/</v>
      </c>
      <c r="CG22" s="253">
        <f t="shared" si="26"/>
        <v>6</v>
      </c>
      <c r="CH22" s="253">
        <f t="shared" si="27"/>
        <v>2036</v>
      </c>
      <c r="CI22" s="142">
        <f t="shared" si="28"/>
        <v>3</v>
      </c>
      <c r="CJ22" s="142">
        <f t="shared" si="29"/>
        <v>2036</v>
      </c>
      <c r="CK22" s="139">
        <f t="shared" si="30"/>
        <v>12</v>
      </c>
      <c r="CL22" s="253">
        <f t="shared" si="31"/>
        <v>2035</v>
      </c>
      <c r="CM22" s="253" t="str">
        <f t="shared" si="32"/>
        <v>- - -</v>
      </c>
      <c r="CN22" s="253" t="str">
        <f t="shared" si="33"/>
        <v>. .</v>
      </c>
      <c r="CO22" s="253"/>
      <c r="CP22" s="143">
        <f t="shared" si="34"/>
        <v>660</v>
      </c>
      <c r="CQ22" s="143">
        <f t="shared" si="35"/>
        <v>-23765</v>
      </c>
      <c r="CR22" s="253">
        <f t="shared" si="36"/>
        <v>-1981</v>
      </c>
      <c r="CS22" s="143" t="str">
        <f t="shared" si="37"/>
        <v>Nữ dưới 30</v>
      </c>
      <c r="CV22" s="142" t="str">
        <f t="shared" si="38"/>
        <v>Đến 30</v>
      </c>
      <c r="CW22" s="142" t="str">
        <f t="shared" si="39"/>
        <v>--</v>
      </c>
      <c r="DG22" s="142" t="s">
        <v>155</v>
      </c>
      <c r="DH22" s="142" t="s">
        <v>9</v>
      </c>
      <c r="DI22" s="142" t="s">
        <v>10</v>
      </c>
      <c r="DJ22" s="142" t="s">
        <v>40</v>
      </c>
      <c r="DK22" s="142" t="s">
        <v>10</v>
      </c>
      <c r="DL22" s="142">
        <v>2012</v>
      </c>
      <c r="DM22" s="142">
        <f t="shared" si="40"/>
        <v>0</v>
      </c>
      <c r="DN22" s="142" t="str">
        <f t="shared" si="41"/>
        <v>- - -</v>
      </c>
      <c r="DO22" s="142" t="s">
        <v>9</v>
      </c>
      <c r="DP22" s="142" t="s">
        <v>10</v>
      </c>
      <c r="DQ22" s="142" t="s">
        <v>40</v>
      </c>
      <c r="DR22" s="142" t="s">
        <v>10</v>
      </c>
      <c r="DS22" s="142">
        <v>2012</v>
      </c>
      <c r="DU22" s="142" t="str">
        <f t="shared" si="42"/>
        <v>- - -</v>
      </c>
      <c r="DV22" s="142" t="str">
        <f t="shared" si="43"/>
        <v>---</v>
      </c>
    </row>
    <row r="23" spans="1:126" s="142" customFormat="1" ht="22.5" customHeight="1" x14ac:dyDescent="0.25">
      <c r="A23" s="139">
        <v>264</v>
      </c>
      <c r="B23" s="290">
        <v>7</v>
      </c>
      <c r="C23" s="139" t="str">
        <f t="shared" si="0"/>
        <v>Bà</v>
      </c>
      <c r="D23" s="293" t="s">
        <v>173</v>
      </c>
      <c r="E23" s="139" t="s">
        <v>32</v>
      </c>
      <c r="F23" s="294" t="s">
        <v>174</v>
      </c>
      <c r="G23" s="294" t="s">
        <v>10</v>
      </c>
      <c r="H23" s="294" t="s">
        <v>112</v>
      </c>
      <c r="I23" s="294" t="s">
        <v>10</v>
      </c>
      <c r="J23" s="139">
        <v>1981</v>
      </c>
      <c r="K23" s="139"/>
      <c r="L23" s="139"/>
      <c r="M23" s="143" t="e">
        <f>VLOOKUP(L23,'[1]- DLiêu Gốc -'!$B$2:$G$121,2,0)</f>
        <v>#N/A</v>
      </c>
      <c r="N23" s="322" t="s">
        <v>175</v>
      </c>
      <c r="O23" s="313" t="s">
        <v>156</v>
      </c>
      <c r="P23" s="165" t="str">
        <f>VLOOKUP(U23,'[1]- DLiêu Gốc -'!$B$2:$G$56,5,0)</f>
        <v>A1</v>
      </c>
      <c r="Q23" s="165" t="str">
        <f>VLOOKUP(U23,'[1]- DLiêu Gốc -'!$B$2:$G$56,6,0)</f>
        <v>- - -</v>
      </c>
      <c r="R23" s="139" t="s">
        <v>34</v>
      </c>
      <c r="S23" s="295" t="str">
        <f t="shared" si="1"/>
        <v>Giảng viên (hạng III)</v>
      </c>
      <c r="T23" s="296" t="str">
        <f t="shared" si="2"/>
        <v>V.07.01.03</v>
      </c>
      <c r="U23" s="180" t="s">
        <v>35</v>
      </c>
      <c r="V23" s="141" t="str">
        <f>VLOOKUP(U23,'[1]- DLiêu Gốc -'!$B$1:$G$121,2,0)</f>
        <v>V.07.01.03</v>
      </c>
      <c r="W23" s="291" t="str">
        <f t="shared" si="3"/>
        <v>Lương</v>
      </c>
      <c r="X23" s="291">
        <v>3</v>
      </c>
      <c r="Y23" s="291" t="str">
        <f t="shared" si="4"/>
        <v>/</v>
      </c>
      <c r="Z23" s="291">
        <f t="shared" si="5"/>
        <v>9</v>
      </c>
      <c r="AA23" s="291">
        <f t="shared" si="6"/>
        <v>3</v>
      </c>
      <c r="AB23" s="291">
        <f t="shared" si="44"/>
        <v>4</v>
      </c>
      <c r="AC23" s="291" t="str">
        <f t="shared" si="7"/>
        <v>/</v>
      </c>
      <c r="AD23" s="291">
        <f t="shared" si="8"/>
        <v>9</v>
      </c>
      <c r="AE23" s="291">
        <f t="shared" si="9"/>
        <v>3.33</v>
      </c>
      <c r="AF23" s="291" t="s">
        <v>9</v>
      </c>
      <c r="AG23" s="291" t="s">
        <v>10</v>
      </c>
      <c r="AH23" s="291">
        <v>12</v>
      </c>
      <c r="AI23" s="291" t="s">
        <v>10</v>
      </c>
      <c r="AJ23" s="291">
        <v>2013</v>
      </c>
      <c r="AK23" s="147"/>
      <c r="AL23" s="141"/>
      <c r="AM23" s="291">
        <f t="shared" si="10"/>
        <v>3</v>
      </c>
      <c r="AN23" s="291">
        <f t="shared" si="11"/>
        <v>-24168</v>
      </c>
      <c r="AO23" s="180"/>
      <c r="AP23" s="180"/>
      <c r="AQ23" s="291">
        <f>VLOOKUP(U23,'[1]- DLiêu Gốc -'!$B$1:$E$56,3,0)</f>
        <v>2.34</v>
      </c>
      <c r="AR23" s="291">
        <f>VLOOKUP(U23,'[1]- DLiêu Gốc -'!$B$1:$E$56,4,0)</f>
        <v>0.33</v>
      </c>
      <c r="AT23" s="291" t="str">
        <f t="shared" si="12"/>
        <v>PCTN</v>
      </c>
      <c r="AU23" s="297">
        <v>9</v>
      </c>
      <c r="AV23" s="298" t="s">
        <v>38</v>
      </c>
      <c r="AW23" s="297">
        <f t="shared" si="13"/>
        <v>10</v>
      </c>
      <c r="AX23" s="299" t="s">
        <v>38</v>
      </c>
      <c r="AY23" s="300">
        <v>11</v>
      </c>
      <c r="AZ23" s="169" t="s">
        <v>10</v>
      </c>
      <c r="BA23" s="301">
        <v>2015</v>
      </c>
      <c r="BB23" s="253"/>
      <c r="BC23" s="253"/>
      <c r="BD23" s="180"/>
      <c r="BE23" s="253">
        <v>11</v>
      </c>
      <c r="BF23" s="180">
        <f t="shared" si="14"/>
        <v>-24191</v>
      </c>
      <c r="BG23" s="140" t="str">
        <f t="shared" si="15"/>
        <v>- - -</v>
      </c>
      <c r="BH23" s="253" t="str">
        <f t="shared" si="16"/>
        <v>VC</v>
      </c>
      <c r="BI23" s="139"/>
      <c r="BJ23" s="139"/>
      <c r="BK23" s="139" t="s">
        <v>108</v>
      </c>
      <c r="BL23" s="253" t="str">
        <f t="shared" si="17"/>
        <v>A</v>
      </c>
      <c r="BM23" s="143" t="str">
        <f t="shared" si="18"/>
        <v>=&gt; s</v>
      </c>
      <c r="BN23" s="253">
        <f t="shared" si="19"/>
        <v>24192</v>
      </c>
      <c r="BO23" s="139" t="str">
        <f t="shared" si="20"/>
        <v>S</v>
      </c>
      <c r="BP23" s="253">
        <v>2013</v>
      </c>
      <c r="BQ23" s="146" t="s">
        <v>36</v>
      </c>
      <c r="BR23" s="146"/>
      <c r="BS23" s="343"/>
      <c r="BT23" s="142" t="str">
        <f t="shared" si="21"/>
        <v>Cùg Ng</v>
      </c>
      <c r="BU23" s="142" t="str">
        <f t="shared" si="22"/>
        <v>- - -</v>
      </c>
      <c r="BZ23" s="146" t="str">
        <f t="shared" si="23"/>
        <v>- - -</v>
      </c>
      <c r="CA23" s="253"/>
      <c r="CB23" s="253"/>
      <c r="CC23" s="141"/>
      <c r="CD23" s="141"/>
      <c r="CE23" s="142" t="str">
        <f t="shared" si="24"/>
        <v>---</v>
      </c>
      <c r="CF23" s="253" t="str">
        <f t="shared" si="25"/>
        <v>/-/ /-/</v>
      </c>
      <c r="CG23" s="253">
        <f t="shared" si="26"/>
        <v>6</v>
      </c>
      <c r="CH23" s="253">
        <f t="shared" si="27"/>
        <v>2036</v>
      </c>
      <c r="CI23" s="142">
        <f t="shared" si="28"/>
        <v>3</v>
      </c>
      <c r="CJ23" s="142">
        <f t="shared" si="29"/>
        <v>2036</v>
      </c>
      <c r="CK23" s="139">
        <f t="shared" si="30"/>
        <v>12</v>
      </c>
      <c r="CL23" s="253">
        <f t="shared" si="31"/>
        <v>2035</v>
      </c>
      <c r="CM23" s="253" t="str">
        <f t="shared" si="32"/>
        <v>- - -</v>
      </c>
      <c r="CN23" s="253" t="str">
        <f t="shared" si="33"/>
        <v>. .</v>
      </c>
      <c r="CO23" s="253"/>
      <c r="CP23" s="143">
        <f t="shared" si="34"/>
        <v>660</v>
      </c>
      <c r="CQ23" s="143">
        <f t="shared" si="35"/>
        <v>-23765</v>
      </c>
      <c r="CR23" s="253">
        <f t="shared" si="36"/>
        <v>-1981</v>
      </c>
      <c r="CS23" s="143" t="str">
        <f t="shared" si="37"/>
        <v>Nữ dưới 30</v>
      </c>
      <c r="CV23" s="142" t="str">
        <f t="shared" si="38"/>
        <v>Đến 30</v>
      </c>
      <c r="CW23" s="142" t="str">
        <f t="shared" si="39"/>
        <v>TD</v>
      </c>
      <c r="CX23" s="142">
        <v>2012</v>
      </c>
      <c r="DG23" s="142" t="s">
        <v>175</v>
      </c>
      <c r="DH23" s="142" t="s">
        <v>9</v>
      </c>
      <c r="DI23" s="142" t="s">
        <v>10</v>
      </c>
      <c r="DJ23" s="142">
        <v>12</v>
      </c>
      <c r="DK23" s="142" t="s">
        <v>10</v>
      </c>
      <c r="DL23" s="142">
        <v>2013</v>
      </c>
      <c r="DM23" s="142">
        <f t="shared" si="40"/>
        <v>0</v>
      </c>
      <c r="DN23" s="142" t="str">
        <f t="shared" si="41"/>
        <v>- - -</v>
      </c>
      <c r="DO23" s="142" t="s">
        <v>9</v>
      </c>
      <c r="DP23" s="142" t="s">
        <v>10</v>
      </c>
      <c r="DQ23" s="142">
        <v>12</v>
      </c>
      <c r="DR23" s="142" t="s">
        <v>10</v>
      </c>
      <c r="DS23" s="142">
        <v>2013</v>
      </c>
      <c r="DU23" s="142" t="str">
        <f t="shared" si="42"/>
        <v>- - -</v>
      </c>
      <c r="DV23" s="142" t="str">
        <f t="shared" si="43"/>
        <v>---</v>
      </c>
    </row>
    <row r="24" spans="1:126" s="142" customFormat="1" ht="22.5" customHeight="1" x14ac:dyDescent="0.25">
      <c r="A24" s="139">
        <v>278</v>
      </c>
      <c r="B24" s="290">
        <v>8</v>
      </c>
      <c r="C24" s="139" t="str">
        <f t="shared" si="0"/>
        <v>Bà</v>
      </c>
      <c r="D24" s="293" t="s">
        <v>176</v>
      </c>
      <c r="E24" s="139" t="s">
        <v>32</v>
      </c>
      <c r="F24" s="294" t="s">
        <v>123</v>
      </c>
      <c r="G24" s="294" t="s">
        <v>10</v>
      </c>
      <c r="H24" s="294" t="s">
        <v>30</v>
      </c>
      <c r="I24" s="294" t="s">
        <v>10</v>
      </c>
      <c r="J24" s="139" t="s">
        <v>130</v>
      </c>
      <c r="K24" s="139" t="str">
        <f>IF(AND((M24+0)&gt;0.3,(M24+0)&lt;1.5),"CVụ","- -")</f>
        <v>CVụ</v>
      </c>
      <c r="L24" s="139" t="s">
        <v>120</v>
      </c>
      <c r="M24" s="143" t="str">
        <f>VLOOKUP(L24,'[1]- DLiêu Gốc -'!$B$2:$G$121,2,0)</f>
        <v>0,6</v>
      </c>
      <c r="N24" s="322" t="s">
        <v>136</v>
      </c>
      <c r="O24" s="313" t="s">
        <v>114</v>
      </c>
      <c r="P24" s="165" t="str">
        <f>VLOOKUP(U24,'[1]- DLiêu Gốc -'!$B$2:$G$56,5,0)</f>
        <v>A2</v>
      </c>
      <c r="Q24" s="165" t="str">
        <f>VLOOKUP(U24,'[1]- DLiêu Gốc -'!$B$2:$G$56,6,0)</f>
        <v>A2.1</v>
      </c>
      <c r="R24" s="139" t="s">
        <v>34</v>
      </c>
      <c r="S24" s="295" t="str">
        <f t="shared" si="1"/>
        <v>Giảng viên chính (hạng II)</v>
      </c>
      <c r="T24" s="296" t="str">
        <f t="shared" si="2"/>
        <v>V.07.01.02</v>
      </c>
      <c r="U24" s="180" t="s">
        <v>46</v>
      </c>
      <c r="V24" s="141" t="str">
        <f>VLOOKUP(U24,'[1]- DLiêu Gốc -'!$B$1:$G$121,2,0)</f>
        <v>V.07.01.02</v>
      </c>
      <c r="W24" s="291" t="str">
        <f t="shared" si="3"/>
        <v>Lương</v>
      </c>
      <c r="X24" s="291">
        <v>1</v>
      </c>
      <c r="Y24" s="291" t="str">
        <f t="shared" si="4"/>
        <v>/</v>
      </c>
      <c r="Z24" s="291">
        <f t="shared" si="5"/>
        <v>8</v>
      </c>
      <c r="AA24" s="291">
        <f t="shared" si="6"/>
        <v>4.4000000000000004</v>
      </c>
      <c r="AB24" s="291">
        <f t="shared" si="44"/>
        <v>2</v>
      </c>
      <c r="AC24" s="291" t="str">
        <f t="shared" si="7"/>
        <v>/</v>
      </c>
      <c r="AD24" s="291">
        <f t="shared" si="8"/>
        <v>8</v>
      </c>
      <c r="AE24" s="291">
        <f t="shared" si="9"/>
        <v>4.74</v>
      </c>
      <c r="AF24" s="291" t="s">
        <v>9</v>
      </c>
      <c r="AG24" s="291" t="s">
        <v>10</v>
      </c>
      <c r="AH24" s="291">
        <v>5</v>
      </c>
      <c r="AI24" s="291" t="s">
        <v>10</v>
      </c>
      <c r="AJ24" s="291">
        <v>2013</v>
      </c>
      <c r="AK24" s="147"/>
      <c r="AL24" s="141"/>
      <c r="AM24" s="291">
        <f t="shared" si="10"/>
        <v>3</v>
      </c>
      <c r="AN24" s="291">
        <f t="shared" si="11"/>
        <v>-24161</v>
      </c>
      <c r="AO24" s="180"/>
      <c r="AP24" s="180"/>
      <c r="AQ24" s="291">
        <f>VLOOKUP(U24,'[1]- DLiêu Gốc -'!$B$1:$E$56,3,0)</f>
        <v>4.4000000000000004</v>
      </c>
      <c r="AR24" s="291">
        <f>VLOOKUP(U24,'[1]- DLiêu Gốc -'!$B$1:$E$56,4,0)</f>
        <v>0.34</v>
      </c>
      <c r="AT24" s="291" t="str">
        <f t="shared" si="12"/>
        <v>PCTN</v>
      </c>
      <c r="AU24" s="297">
        <v>18</v>
      </c>
      <c r="AV24" s="298" t="s">
        <v>38</v>
      </c>
      <c r="AW24" s="297">
        <f t="shared" si="13"/>
        <v>19</v>
      </c>
      <c r="AX24" s="299" t="s">
        <v>38</v>
      </c>
      <c r="AY24" s="300">
        <v>11</v>
      </c>
      <c r="AZ24" s="169" t="s">
        <v>10</v>
      </c>
      <c r="BA24" s="301">
        <v>2015</v>
      </c>
      <c r="BB24" s="253"/>
      <c r="BC24" s="253"/>
      <c r="BD24" s="180"/>
      <c r="BE24" s="253">
        <v>11</v>
      </c>
      <c r="BF24" s="180">
        <f t="shared" si="14"/>
        <v>-24191</v>
      </c>
      <c r="BG24" s="140" t="str">
        <f t="shared" si="15"/>
        <v>- - -</v>
      </c>
      <c r="BH24" s="253" t="str">
        <f t="shared" si="16"/>
        <v>VC</v>
      </c>
      <c r="BI24" s="139"/>
      <c r="BJ24" s="139"/>
      <c r="BK24" s="139" t="s">
        <v>108</v>
      </c>
      <c r="BL24" s="253" t="str">
        <f t="shared" si="17"/>
        <v>A</v>
      </c>
      <c r="BM24" s="143" t="str">
        <f t="shared" si="18"/>
        <v>=&gt; s</v>
      </c>
      <c r="BN24" s="253">
        <f t="shared" si="19"/>
        <v>24185</v>
      </c>
      <c r="BO24" s="139" t="str">
        <f t="shared" si="20"/>
        <v>S</v>
      </c>
      <c r="BP24" s="253">
        <v>2013</v>
      </c>
      <c r="BQ24" s="146" t="s">
        <v>118</v>
      </c>
      <c r="BR24" s="146"/>
      <c r="BS24" s="343"/>
      <c r="BT24" s="142" t="str">
        <f t="shared" si="21"/>
        <v>Cùg Ng</v>
      </c>
      <c r="BU24" s="142" t="str">
        <f t="shared" si="22"/>
        <v>NN</v>
      </c>
      <c r="BV24" s="142">
        <v>1</v>
      </c>
      <c r="BW24" s="142" t="s">
        <v>31</v>
      </c>
      <c r="BZ24" s="146" t="str">
        <f t="shared" si="23"/>
        <v>- - -</v>
      </c>
      <c r="CA24" s="253"/>
      <c r="CB24" s="253"/>
      <c r="CC24" s="141"/>
      <c r="CD24" s="141"/>
      <c r="CE24" s="142" t="str">
        <f t="shared" si="24"/>
        <v>---</v>
      </c>
      <c r="CF24" s="253" t="str">
        <f t="shared" si="25"/>
        <v>/-/ /-/</v>
      </c>
      <c r="CG24" s="253">
        <f t="shared" si="26"/>
        <v>9</v>
      </c>
      <c r="CH24" s="253">
        <f t="shared" si="27"/>
        <v>2027</v>
      </c>
      <c r="CI24" s="142">
        <f t="shared" si="28"/>
        <v>6</v>
      </c>
      <c r="CJ24" s="142">
        <f t="shared" si="29"/>
        <v>2027</v>
      </c>
      <c r="CK24" s="139">
        <f t="shared" si="30"/>
        <v>3</v>
      </c>
      <c r="CL24" s="253">
        <f t="shared" si="31"/>
        <v>2027</v>
      </c>
      <c r="CM24" s="253" t="str">
        <f t="shared" si="32"/>
        <v>- - -</v>
      </c>
      <c r="CN24" s="253" t="str">
        <f t="shared" si="33"/>
        <v>. .</v>
      </c>
      <c r="CO24" s="253"/>
      <c r="CP24" s="143">
        <f t="shared" si="34"/>
        <v>660</v>
      </c>
      <c r="CQ24" s="143">
        <f t="shared" si="35"/>
        <v>-23660</v>
      </c>
      <c r="CR24" s="253">
        <f t="shared" si="36"/>
        <v>-1972</v>
      </c>
      <c r="CS24" s="143" t="str">
        <f t="shared" si="37"/>
        <v>Nữ dưới 30</v>
      </c>
      <c r="CV24" s="142" t="str">
        <f t="shared" si="38"/>
        <v>Đến 30</v>
      </c>
      <c r="CW24" s="142" t="str">
        <f t="shared" si="39"/>
        <v>--</v>
      </c>
      <c r="DG24" s="142" t="s">
        <v>136</v>
      </c>
      <c r="DH24" s="142" t="s">
        <v>9</v>
      </c>
      <c r="DI24" s="142" t="s">
        <v>10</v>
      </c>
      <c r="DJ24" s="142">
        <v>5</v>
      </c>
      <c r="DK24" s="142" t="s">
        <v>10</v>
      </c>
      <c r="DL24" s="142">
        <v>2013</v>
      </c>
      <c r="DM24" s="142">
        <f t="shared" si="40"/>
        <v>0</v>
      </c>
      <c r="DN24" s="142" t="str">
        <f t="shared" si="41"/>
        <v>- - -</v>
      </c>
      <c r="DO24" s="142" t="s">
        <v>9</v>
      </c>
      <c r="DP24" s="142" t="s">
        <v>10</v>
      </c>
      <c r="DQ24" s="142">
        <v>5</v>
      </c>
      <c r="DR24" s="142" t="s">
        <v>10</v>
      </c>
      <c r="DS24" s="142">
        <v>2013</v>
      </c>
      <c r="DT24" s="142">
        <v>3.66</v>
      </c>
      <c r="DU24" s="142" t="str">
        <f t="shared" si="42"/>
        <v>- - -</v>
      </c>
      <c r="DV24" s="142" t="str">
        <f t="shared" si="43"/>
        <v>---</v>
      </c>
    </row>
    <row r="25" spans="1:126" s="142" customFormat="1" ht="22.5" customHeight="1" x14ac:dyDescent="0.25">
      <c r="A25" s="139">
        <v>289</v>
      </c>
      <c r="B25" s="290">
        <v>9</v>
      </c>
      <c r="C25" s="139" t="str">
        <f t="shared" si="0"/>
        <v>Ông</v>
      </c>
      <c r="D25" s="293" t="s">
        <v>177</v>
      </c>
      <c r="E25" s="139" t="s">
        <v>39</v>
      </c>
      <c r="F25" s="294" t="s">
        <v>9</v>
      </c>
      <c r="G25" s="294" t="s">
        <v>10</v>
      </c>
      <c r="H25" s="294" t="s">
        <v>178</v>
      </c>
      <c r="I25" s="294" t="s">
        <v>10</v>
      </c>
      <c r="J25" s="139" t="s">
        <v>179</v>
      </c>
      <c r="K25" s="139" t="str">
        <f>IF(AND((M25+0)&gt;0.3,(M25+0)&lt;1.5),"CVụ","- -")</f>
        <v>CVụ</v>
      </c>
      <c r="L25" s="139" t="s">
        <v>180</v>
      </c>
      <c r="M25" s="143" t="str">
        <f>VLOOKUP(L25,'[1]- DLiêu Gốc -'!$B$2:$G$121,2,0)</f>
        <v>0,8</v>
      </c>
      <c r="N25" s="322"/>
      <c r="O25" s="313" t="s">
        <v>99</v>
      </c>
      <c r="P25" s="165" t="str">
        <f>VLOOKUP(U25,'[1]- DLiêu Gốc -'!$B$2:$G$56,5,0)</f>
        <v>A3</v>
      </c>
      <c r="Q25" s="165" t="str">
        <f>VLOOKUP(U25,'[1]- DLiêu Gốc -'!$B$2:$G$56,6,0)</f>
        <v>A3.1</v>
      </c>
      <c r="R25" s="139" t="s">
        <v>34</v>
      </c>
      <c r="S25" s="295" t="str">
        <f t="shared" si="1"/>
        <v>Giảng viên cao cấp (hạng I)</v>
      </c>
      <c r="T25" s="296" t="str">
        <f t="shared" si="2"/>
        <v>V.07.01.01</v>
      </c>
      <c r="U25" s="180" t="s">
        <v>90</v>
      </c>
      <c r="V25" s="141" t="str">
        <f>VLOOKUP(U25,'[1]- DLiêu Gốc -'!$B$1:$G$121,2,0)</f>
        <v>V.07.01.01</v>
      </c>
      <c r="W25" s="291" t="str">
        <f t="shared" si="3"/>
        <v>Lương</v>
      </c>
      <c r="X25" s="291">
        <v>3</v>
      </c>
      <c r="Y25" s="291" t="str">
        <f t="shared" si="4"/>
        <v>/</v>
      </c>
      <c r="Z25" s="291">
        <f t="shared" si="5"/>
        <v>6</v>
      </c>
      <c r="AA25" s="291">
        <f t="shared" si="6"/>
        <v>6.92</v>
      </c>
      <c r="AB25" s="291">
        <f t="shared" si="44"/>
        <v>4</v>
      </c>
      <c r="AC25" s="291" t="str">
        <f t="shared" si="7"/>
        <v>/</v>
      </c>
      <c r="AD25" s="291">
        <f t="shared" si="8"/>
        <v>6</v>
      </c>
      <c r="AE25" s="291">
        <f t="shared" si="9"/>
        <v>7.28</v>
      </c>
      <c r="AF25" s="291" t="s">
        <v>9</v>
      </c>
      <c r="AG25" s="291" t="s">
        <v>10</v>
      </c>
      <c r="AH25" s="291" t="s">
        <v>98</v>
      </c>
      <c r="AI25" s="291" t="s">
        <v>10</v>
      </c>
      <c r="AJ25" s="291">
        <v>2012</v>
      </c>
      <c r="AK25" s="147"/>
      <c r="AL25" s="141"/>
      <c r="AM25" s="291">
        <f t="shared" si="10"/>
        <v>3</v>
      </c>
      <c r="AN25" s="291">
        <f t="shared" si="11"/>
        <v>-24153</v>
      </c>
      <c r="AO25" s="180"/>
      <c r="AP25" s="180"/>
      <c r="AQ25" s="291">
        <f>VLOOKUP(U25,'[1]- DLiêu Gốc -'!$B$1:$E$56,3,0)</f>
        <v>6.2</v>
      </c>
      <c r="AR25" s="291">
        <f>VLOOKUP(U25,'[1]- DLiêu Gốc -'!$B$1:$E$56,4,0)</f>
        <v>0.36</v>
      </c>
      <c r="AT25" s="291" t="str">
        <f t="shared" si="12"/>
        <v>PCTN</v>
      </c>
      <c r="AU25" s="297">
        <v>17</v>
      </c>
      <c r="AV25" s="298" t="s">
        <v>38</v>
      </c>
      <c r="AW25" s="297">
        <f t="shared" si="13"/>
        <v>18</v>
      </c>
      <c r="AX25" s="299" t="s">
        <v>38</v>
      </c>
      <c r="AY25" s="300">
        <v>11</v>
      </c>
      <c r="AZ25" s="169" t="s">
        <v>10</v>
      </c>
      <c r="BA25" s="301">
        <v>2015</v>
      </c>
      <c r="BB25" s="253"/>
      <c r="BC25" s="253"/>
      <c r="BD25" s="180"/>
      <c r="BE25" s="253">
        <v>11</v>
      </c>
      <c r="BF25" s="180">
        <f t="shared" si="14"/>
        <v>-24191</v>
      </c>
      <c r="BG25" s="140" t="str">
        <f t="shared" si="15"/>
        <v>- - -</v>
      </c>
      <c r="BH25" s="253" t="str">
        <f t="shared" si="16"/>
        <v>VC</v>
      </c>
      <c r="BI25" s="139"/>
      <c r="BJ25" s="139"/>
      <c r="BK25" s="139" t="s">
        <v>108</v>
      </c>
      <c r="BL25" s="253" t="str">
        <f t="shared" si="17"/>
        <v>A</v>
      </c>
      <c r="BM25" s="143" t="str">
        <f t="shared" si="18"/>
        <v>=&gt; s</v>
      </c>
      <c r="BN25" s="253">
        <f t="shared" si="19"/>
        <v>24177</v>
      </c>
      <c r="BO25" s="139" t="str">
        <f t="shared" si="20"/>
        <v>S</v>
      </c>
      <c r="BP25" s="253">
        <v>2009</v>
      </c>
      <c r="BQ25" s="146" t="s">
        <v>118</v>
      </c>
      <c r="BR25" s="146"/>
      <c r="BS25" s="343"/>
      <c r="BT25" s="142" t="str">
        <f t="shared" si="21"/>
        <v>- - -</v>
      </c>
      <c r="BU25" s="142" t="str">
        <f t="shared" si="22"/>
        <v>NN</v>
      </c>
      <c r="BV25" s="142">
        <v>5</v>
      </c>
      <c r="BW25" s="142">
        <v>2012</v>
      </c>
      <c r="BZ25" s="146" t="str">
        <f t="shared" si="23"/>
        <v>- - -</v>
      </c>
      <c r="CA25" s="253"/>
      <c r="CB25" s="253"/>
      <c r="CC25" s="141"/>
      <c r="CD25" s="141"/>
      <c r="CE25" s="142" t="str">
        <f t="shared" si="24"/>
        <v>---</v>
      </c>
      <c r="CF25" s="253" t="str">
        <f t="shared" si="25"/>
        <v>/-/ /-/</v>
      </c>
      <c r="CG25" s="253">
        <f t="shared" si="26"/>
        <v>5</v>
      </c>
      <c r="CH25" s="253">
        <f t="shared" si="27"/>
        <v>2021</v>
      </c>
      <c r="CI25" s="142">
        <f t="shared" si="28"/>
        <v>2</v>
      </c>
      <c r="CJ25" s="142">
        <f t="shared" si="29"/>
        <v>2021</v>
      </c>
      <c r="CK25" s="139">
        <f t="shared" si="30"/>
        <v>11</v>
      </c>
      <c r="CL25" s="253">
        <f t="shared" si="31"/>
        <v>2020</v>
      </c>
      <c r="CM25" s="253" t="str">
        <f t="shared" si="32"/>
        <v>- - -</v>
      </c>
      <c r="CN25" s="253" t="str">
        <f t="shared" si="33"/>
        <v>K.Dài</v>
      </c>
      <c r="CO25" s="253">
        <v>7</v>
      </c>
      <c r="CP25" s="143">
        <f t="shared" si="34"/>
        <v>804</v>
      </c>
      <c r="CQ25" s="143">
        <f t="shared" si="35"/>
        <v>-23440</v>
      </c>
      <c r="CR25" s="253">
        <f t="shared" si="36"/>
        <v>-1954</v>
      </c>
      <c r="CS25" s="143" t="str">
        <f t="shared" si="37"/>
        <v>Nam dưới 35</v>
      </c>
      <c r="CV25" s="142" t="str">
        <f t="shared" si="38"/>
        <v>Đến 30</v>
      </c>
      <c r="CW25" s="142" t="str">
        <f t="shared" si="39"/>
        <v>--</v>
      </c>
      <c r="DB25" s="142" t="s">
        <v>170</v>
      </c>
      <c r="DC25" s="142">
        <v>6</v>
      </c>
      <c r="DD25" s="142" t="s">
        <v>31</v>
      </c>
      <c r="DH25" s="142" t="s">
        <v>9</v>
      </c>
      <c r="DI25" s="142" t="s">
        <v>10</v>
      </c>
      <c r="DJ25" s="142" t="s">
        <v>98</v>
      </c>
      <c r="DK25" s="142" t="s">
        <v>10</v>
      </c>
      <c r="DL25" s="142">
        <v>2012</v>
      </c>
      <c r="DM25" s="142">
        <f t="shared" si="40"/>
        <v>0</v>
      </c>
      <c r="DN25" s="142" t="str">
        <f t="shared" si="41"/>
        <v>- - -</v>
      </c>
      <c r="DO25" s="142" t="s">
        <v>9</v>
      </c>
      <c r="DP25" s="142" t="s">
        <v>10</v>
      </c>
      <c r="DQ25" s="142" t="s">
        <v>98</v>
      </c>
      <c r="DR25" s="142" t="s">
        <v>10</v>
      </c>
      <c r="DS25" s="142">
        <v>2012</v>
      </c>
      <c r="DT25" s="142">
        <v>6.78</v>
      </c>
      <c r="DU25" s="142" t="str">
        <f t="shared" si="42"/>
        <v>- - -</v>
      </c>
      <c r="DV25" s="142" t="str">
        <f t="shared" si="43"/>
        <v>---</v>
      </c>
    </row>
    <row r="26" spans="1:126" s="142" customFormat="1" ht="22.5" customHeight="1" x14ac:dyDescent="0.25">
      <c r="A26" s="139">
        <v>349</v>
      </c>
      <c r="B26" s="290">
        <v>10</v>
      </c>
      <c r="C26" s="139" t="str">
        <f t="shared" si="0"/>
        <v>Bà</v>
      </c>
      <c r="D26" s="345" t="s">
        <v>181</v>
      </c>
      <c r="E26" s="139" t="s">
        <v>32</v>
      </c>
      <c r="F26" s="294" t="s">
        <v>131</v>
      </c>
      <c r="G26" s="294" t="s">
        <v>10</v>
      </c>
      <c r="H26" s="294">
        <v>3</v>
      </c>
      <c r="I26" s="294" t="s">
        <v>10</v>
      </c>
      <c r="J26" s="139">
        <v>1977</v>
      </c>
      <c r="K26" s="139"/>
      <c r="L26" s="139"/>
      <c r="M26" s="143" t="e">
        <f>VLOOKUP(L26,'[1]- DLiêu Gốc -'!$B$2:$G$121,2,0)</f>
        <v>#N/A</v>
      </c>
      <c r="N26" s="322" t="s">
        <v>182</v>
      </c>
      <c r="O26" s="313" t="s">
        <v>183</v>
      </c>
      <c r="P26" s="165" t="str">
        <f>VLOOKUP(U26,'[1]- DLiêu Gốc -'!$B$2:$G$56,5,0)</f>
        <v>A1</v>
      </c>
      <c r="Q26" s="165" t="str">
        <f>VLOOKUP(U26,'[1]- DLiêu Gốc -'!$B$2:$G$56,6,0)</f>
        <v>- - -</v>
      </c>
      <c r="R26" s="139" t="s">
        <v>34</v>
      </c>
      <c r="S26" s="295" t="str">
        <f t="shared" si="1"/>
        <v>Giảng viên (hạng III)</v>
      </c>
      <c r="T26" s="296" t="str">
        <f t="shared" si="2"/>
        <v>V.07.01.03</v>
      </c>
      <c r="U26" s="180" t="s">
        <v>35</v>
      </c>
      <c r="V26" s="141" t="str">
        <f>VLOOKUP(U26,'[1]- DLiêu Gốc -'!$B$1:$G$121,2,0)</f>
        <v>V.07.01.03</v>
      </c>
      <c r="W26" s="291" t="str">
        <f t="shared" si="3"/>
        <v>Lương</v>
      </c>
      <c r="X26" s="291">
        <v>4</v>
      </c>
      <c r="Y26" s="291" t="str">
        <f t="shared" si="4"/>
        <v>/</v>
      </c>
      <c r="Z26" s="291">
        <f t="shared" si="5"/>
        <v>9</v>
      </c>
      <c r="AA26" s="291">
        <f t="shared" si="6"/>
        <v>3.33</v>
      </c>
      <c r="AB26" s="291">
        <f t="shared" si="44"/>
        <v>5</v>
      </c>
      <c r="AC26" s="291" t="str">
        <f t="shared" si="7"/>
        <v>/</v>
      </c>
      <c r="AD26" s="291">
        <f t="shared" si="8"/>
        <v>9</v>
      </c>
      <c r="AE26" s="291">
        <f t="shared" si="9"/>
        <v>3.66</v>
      </c>
      <c r="AF26" s="291" t="s">
        <v>9</v>
      </c>
      <c r="AG26" s="291" t="s">
        <v>10</v>
      </c>
      <c r="AH26" s="291" t="s">
        <v>40</v>
      </c>
      <c r="AI26" s="291" t="s">
        <v>10</v>
      </c>
      <c r="AJ26" s="291">
        <v>2012</v>
      </c>
      <c r="AK26" s="147" t="s">
        <v>184</v>
      </c>
      <c r="AL26" s="141"/>
      <c r="AM26" s="291">
        <f t="shared" si="10"/>
        <v>3</v>
      </c>
      <c r="AN26" s="291">
        <f t="shared" si="11"/>
        <v>-24191</v>
      </c>
      <c r="AO26" s="180">
        <v>36</v>
      </c>
      <c r="AP26" s="180" t="s">
        <v>185</v>
      </c>
      <c r="AQ26" s="291">
        <f>VLOOKUP(U26,'[1]- DLiêu Gốc -'!$B$1:$E$56,3,0)</f>
        <v>2.34</v>
      </c>
      <c r="AR26" s="291">
        <f>VLOOKUP(U26,'[1]- DLiêu Gốc -'!$B$1:$E$56,4,0)</f>
        <v>0.33</v>
      </c>
      <c r="AT26" s="291" t="str">
        <f t="shared" si="12"/>
        <v>PCTN</v>
      </c>
      <c r="AU26" s="297">
        <v>6</v>
      </c>
      <c r="AV26" s="298" t="s">
        <v>38</v>
      </c>
      <c r="AW26" s="297">
        <f t="shared" si="13"/>
        <v>7</v>
      </c>
      <c r="AX26" s="299" t="s">
        <v>38</v>
      </c>
      <c r="AY26" s="300">
        <v>8</v>
      </c>
      <c r="AZ26" s="169" t="s">
        <v>10</v>
      </c>
      <c r="BA26" s="301">
        <v>2015</v>
      </c>
      <c r="BB26" s="253"/>
      <c r="BC26" s="253"/>
      <c r="BD26" s="180"/>
      <c r="BE26" s="253"/>
      <c r="BF26" s="180">
        <f t="shared" si="14"/>
        <v>-24188</v>
      </c>
      <c r="BG26" s="140" t="str">
        <f t="shared" si="15"/>
        <v>- - -</v>
      </c>
      <c r="BH26" s="253" t="str">
        <f t="shared" si="16"/>
        <v>VC</v>
      </c>
      <c r="BI26" s="139"/>
      <c r="BJ26" s="139"/>
      <c r="BK26" s="139" t="s">
        <v>108</v>
      </c>
      <c r="BL26" s="253" t="str">
        <f t="shared" si="17"/>
        <v>A</v>
      </c>
      <c r="BM26" s="143" t="str">
        <f t="shared" si="18"/>
        <v>=&gt; s</v>
      </c>
      <c r="BN26" s="253">
        <f t="shared" si="19"/>
        <v>24215</v>
      </c>
      <c r="BO26" s="139" t="str">
        <f t="shared" si="20"/>
        <v>---</v>
      </c>
      <c r="BP26" s="253"/>
      <c r="BQ26" s="146"/>
      <c r="BR26" s="146"/>
      <c r="BS26" s="343"/>
      <c r="BT26" s="142" t="str">
        <f t="shared" si="21"/>
        <v>- - -</v>
      </c>
      <c r="BU26" s="142" t="str">
        <f t="shared" si="22"/>
        <v>- - -</v>
      </c>
      <c r="BZ26" s="146" t="str">
        <f t="shared" si="23"/>
        <v>- - -</v>
      </c>
      <c r="CA26" s="253"/>
      <c r="CB26" s="253"/>
      <c r="CC26" s="141"/>
      <c r="CD26" s="141"/>
      <c r="CE26" s="142" t="str">
        <f t="shared" si="24"/>
        <v>---</v>
      </c>
      <c r="CF26" s="253" t="str">
        <f t="shared" si="25"/>
        <v>/-/ /-/</v>
      </c>
      <c r="CG26" s="253">
        <f t="shared" si="26"/>
        <v>4</v>
      </c>
      <c r="CH26" s="253">
        <f t="shared" si="27"/>
        <v>2032</v>
      </c>
      <c r="CI26" s="142">
        <f t="shared" si="28"/>
        <v>1</v>
      </c>
      <c r="CJ26" s="142">
        <f t="shared" si="29"/>
        <v>2032</v>
      </c>
      <c r="CK26" s="139">
        <f t="shared" si="30"/>
        <v>10</v>
      </c>
      <c r="CL26" s="253">
        <f t="shared" si="31"/>
        <v>2031</v>
      </c>
      <c r="CM26" s="253" t="str">
        <f t="shared" si="32"/>
        <v>- - -</v>
      </c>
      <c r="CN26" s="253" t="str">
        <f t="shared" si="33"/>
        <v>. .</v>
      </c>
      <c r="CO26" s="253"/>
      <c r="CP26" s="143">
        <f t="shared" si="34"/>
        <v>660</v>
      </c>
      <c r="CQ26" s="143">
        <f t="shared" si="35"/>
        <v>-23715</v>
      </c>
      <c r="CR26" s="253">
        <f t="shared" si="36"/>
        <v>-1977</v>
      </c>
      <c r="CS26" s="143" t="str">
        <f t="shared" si="37"/>
        <v>Nữ dưới 30</v>
      </c>
      <c r="CV26" s="142" t="str">
        <f t="shared" si="38"/>
        <v>Đến 30</v>
      </c>
      <c r="CW26" s="142" t="str">
        <f t="shared" si="39"/>
        <v>TD</v>
      </c>
      <c r="CX26" s="142">
        <v>2009</v>
      </c>
      <c r="DG26" s="142" t="s">
        <v>182</v>
      </c>
      <c r="DH26" s="142" t="s">
        <v>9</v>
      </c>
      <c r="DI26" s="142" t="s">
        <v>10</v>
      </c>
      <c r="DJ26" s="142" t="s">
        <v>11</v>
      </c>
      <c r="DK26" s="142" t="s">
        <v>10</v>
      </c>
      <c r="DL26" s="142" t="s">
        <v>186</v>
      </c>
      <c r="DM26" s="142">
        <f t="shared" si="40"/>
        <v>0</v>
      </c>
      <c r="DN26" s="142" t="str">
        <f t="shared" si="41"/>
        <v>- - -</v>
      </c>
      <c r="DO26" s="142" t="s">
        <v>9</v>
      </c>
      <c r="DP26" s="142" t="s">
        <v>10</v>
      </c>
      <c r="DQ26" s="142" t="s">
        <v>11</v>
      </c>
      <c r="DR26" s="142" t="s">
        <v>10</v>
      </c>
      <c r="DS26" s="142" t="s">
        <v>186</v>
      </c>
      <c r="DU26" s="142" t="str">
        <f t="shared" si="42"/>
        <v>- - -</v>
      </c>
      <c r="DV26" s="142" t="str">
        <f t="shared" si="43"/>
        <v>---</v>
      </c>
    </row>
    <row r="27" spans="1:126" s="142" customFormat="1" ht="29.25" customHeight="1" x14ac:dyDescent="0.25">
      <c r="A27" s="139">
        <v>383</v>
      </c>
      <c r="B27" s="290">
        <v>11</v>
      </c>
      <c r="C27" s="139" t="str">
        <f t="shared" si="0"/>
        <v>Bà</v>
      </c>
      <c r="D27" s="293" t="s">
        <v>187</v>
      </c>
      <c r="E27" s="139" t="s">
        <v>32</v>
      </c>
      <c r="F27" s="294" t="s">
        <v>131</v>
      </c>
      <c r="G27" s="294" t="s">
        <v>10</v>
      </c>
      <c r="H27" s="294" t="s">
        <v>91</v>
      </c>
      <c r="I27" s="294" t="s">
        <v>10</v>
      </c>
      <c r="J27" s="139" t="s">
        <v>188</v>
      </c>
      <c r="K27" s="139"/>
      <c r="L27" s="139"/>
      <c r="M27" s="143" t="e">
        <f>VLOOKUP(L27,'[1]- DLiêu Gốc -'!$B$2:$G$121,2,0)</f>
        <v>#N/A</v>
      </c>
      <c r="N27" s="322" t="s">
        <v>121</v>
      </c>
      <c r="O27" s="313" t="s">
        <v>33</v>
      </c>
      <c r="P27" s="165" t="str">
        <f>VLOOKUP(U27,'[1]- DLiêu Gốc -'!$B$2:$G$56,5,0)</f>
        <v>A1</v>
      </c>
      <c r="Q27" s="165" t="str">
        <f>VLOOKUP(U27,'[1]- DLiêu Gốc -'!$B$2:$G$56,6,0)</f>
        <v>- - -</v>
      </c>
      <c r="R27" s="139" t="s">
        <v>34</v>
      </c>
      <c r="S27" s="295" t="str">
        <f t="shared" si="1"/>
        <v>Giảng viên (hạng III)</v>
      </c>
      <c r="T27" s="296" t="str">
        <f t="shared" si="2"/>
        <v>V.07.01.03</v>
      </c>
      <c r="U27" s="180" t="s">
        <v>35</v>
      </c>
      <c r="V27" s="141" t="str">
        <f>VLOOKUP(U27,'[1]- DLiêu Gốc -'!$B$1:$G$121,2,0)</f>
        <v>V.07.01.03</v>
      </c>
      <c r="W27" s="291" t="str">
        <f t="shared" si="3"/>
        <v>Lương</v>
      </c>
      <c r="X27" s="291">
        <v>4</v>
      </c>
      <c r="Y27" s="291" t="str">
        <f t="shared" si="4"/>
        <v>/</v>
      </c>
      <c r="Z27" s="291">
        <f t="shared" si="5"/>
        <v>9</v>
      </c>
      <c r="AA27" s="291">
        <f t="shared" si="6"/>
        <v>3.33</v>
      </c>
      <c r="AB27" s="291">
        <f t="shared" si="44"/>
        <v>5</v>
      </c>
      <c r="AC27" s="291" t="str">
        <f t="shared" si="7"/>
        <v>/</v>
      </c>
      <c r="AD27" s="291">
        <f t="shared" si="8"/>
        <v>9</v>
      </c>
      <c r="AE27" s="291">
        <f t="shared" si="9"/>
        <v>3.66</v>
      </c>
      <c r="AF27" s="291" t="s">
        <v>9</v>
      </c>
      <c r="AG27" s="291" t="s">
        <v>10</v>
      </c>
      <c r="AH27" s="291" t="s">
        <v>40</v>
      </c>
      <c r="AI27" s="291" t="s">
        <v>10</v>
      </c>
      <c r="AJ27" s="291">
        <v>2014</v>
      </c>
      <c r="AK27" s="147" t="s">
        <v>189</v>
      </c>
      <c r="AL27" s="141"/>
      <c r="AM27" s="291">
        <f t="shared" si="10"/>
        <v>3</v>
      </c>
      <c r="AN27" s="291">
        <f t="shared" si="11"/>
        <v>-24179</v>
      </c>
      <c r="AO27" s="180"/>
      <c r="AP27" s="180"/>
      <c r="AQ27" s="291">
        <f>VLOOKUP(U27,'[1]- DLiêu Gốc -'!$B$1:$E$56,3,0)</f>
        <v>2.34</v>
      </c>
      <c r="AR27" s="291">
        <f>VLOOKUP(U27,'[1]- DLiêu Gốc -'!$B$1:$E$56,4,0)</f>
        <v>0.33</v>
      </c>
      <c r="AT27" s="291" t="str">
        <f t="shared" si="12"/>
        <v>PCTN</v>
      </c>
      <c r="AU27" s="297">
        <v>9</v>
      </c>
      <c r="AV27" s="298" t="s">
        <v>38</v>
      </c>
      <c r="AW27" s="297">
        <f t="shared" si="13"/>
        <v>10</v>
      </c>
      <c r="AX27" s="299" t="s">
        <v>38</v>
      </c>
      <c r="AY27" s="300">
        <v>11</v>
      </c>
      <c r="AZ27" s="169" t="s">
        <v>10</v>
      </c>
      <c r="BA27" s="301">
        <v>2015</v>
      </c>
      <c r="BB27" s="253"/>
      <c r="BC27" s="253"/>
      <c r="BD27" s="180"/>
      <c r="BE27" s="253">
        <v>11</v>
      </c>
      <c r="BF27" s="180">
        <f t="shared" si="14"/>
        <v>-24191</v>
      </c>
      <c r="BG27" s="140" t="str">
        <f t="shared" si="15"/>
        <v>- - -</v>
      </c>
      <c r="BH27" s="253" t="str">
        <f t="shared" si="16"/>
        <v>VC</v>
      </c>
      <c r="BI27" s="139"/>
      <c r="BJ27" s="139"/>
      <c r="BK27" s="139" t="s">
        <v>108</v>
      </c>
      <c r="BL27" s="253" t="str">
        <f t="shared" si="17"/>
        <v>A</v>
      </c>
      <c r="BM27" s="143" t="str">
        <f t="shared" si="18"/>
        <v>=&gt; s</v>
      </c>
      <c r="BN27" s="253">
        <f t="shared" si="19"/>
        <v>24203</v>
      </c>
      <c r="BO27" s="139" t="str">
        <f t="shared" si="20"/>
        <v>---</v>
      </c>
      <c r="BP27" s="253"/>
      <c r="BQ27" s="146"/>
      <c r="BR27" s="146"/>
      <c r="BS27" s="343"/>
      <c r="BT27" s="142" t="str">
        <f t="shared" si="21"/>
        <v>- - -</v>
      </c>
      <c r="BU27" s="142" t="str">
        <f t="shared" si="22"/>
        <v>- - -</v>
      </c>
      <c r="BZ27" s="146" t="str">
        <f t="shared" si="23"/>
        <v>CN</v>
      </c>
      <c r="CA27" s="253">
        <v>6</v>
      </c>
      <c r="CB27" s="253">
        <v>2013</v>
      </c>
      <c r="CC27" s="141"/>
      <c r="CD27" s="141"/>
      <c r="CE27" s="142" t="str">
        <f t="shared" si="24"/>
        <v>---</v>
      </c>
      <c r="CF27" s="253" t="str">
        <f t="shared" si="25"/>
        <v>/-/ /-/</v>
      </c>
      <c r="CG27" s="253">
        <f t="shared" si="26"/>
        <v>4</v>
      </c>
      <c r="CH27" s="253">
        <f t="shared" si="27"/>
        <v>2029</v>
      </c>
      <c r="CI27" s="142">
        <f t="shared" si="28"/>
        <v>1</v>
      </c>
      <c r="CJ27" s="142">
        <f t="shared" si="29"/>
        <v>2029</v>
      </c>
      <c r="CK27" s="139">
        <f t="shared" si="30"/>
        <v>10</v>
      </c>
      <c r="CL27" s="253">
        <f t="shared" si="31"/>
        <v>2028</v>
      </c>
      <c r="CM27" s="253" t="str">
        <f t="shared" si="32"/>
        <v>- - -</v>
      </c>
      <c r="CN27" s="253" t="str">
        <f t="shared" si="33"/>
        <v>. .</v>
      </c>
      <c r="CO27" s="253"/>
      <c r="CP27" s="143">
        <f t="shared" si="34"/>
        <v>660</v>
      </c>
      <c r="CQ27" s="143">
        <f t="shared" si="35"/>
        <v>-23679</v>
      </c>
      <c r="CR27" s="253">
        <f t="shared" si="36"/>
        <v>-1974</v>
      </c>
      <c r="CS27" s="143" t="str">
        <f t="shared" si="37"/>
        <v>Nữ dưới 30</v>
      </c>
      <c r="CV27" s="142" t="str">
        <f t="shared" si="38"/>
        <v>Đến 30</v>
      </c>
      <c r="CW27" s="142" t="str">
        <f t="shared" si="39"/>
        <v>--</v>
      </c>
      <c r="CY27" s="142" t="s">
        <v>190</v>
      </c>
      <c r="CZ27" s="142">
        <v>6</v>
      </c>
      <c r="DA27" s="142">
        <v>2013</v>
      </c>
      <c r="DG27" s="142" t="s">
        <v>121</v>
      </c>
      <c r="DH27" s="142" t="s">
        <v>9</v>
      </c>
      <c r="DI27" s="142" t="s">
        <v>10</v>
      </c>
      <c r="DJ27" s="142" t="s">
        <v>40</v>
      </c>
      <c r="DK27" s="142" t="s">
        <v>10</v>
      </c>
      <c r="DL27" s="142">
        <v>2011</v>
      </c>
      <c r="DM27" s="142">
        <f t="shared" si="40"/>
        <v>0</v>
      </c>
      <c r="DN27" s="142" t="str">
        <f t="shared" si="41"/>
        <v>- - -</v>
      </c>
      <c r="DO27" s="142" t="s">
        <v>9</v>
      </c>
      <c r="DP27" s="142" t="s">
        <v>10</v>
      </c>
      <c r="DQ27" s="142" t="s">
        <v>40</v>
      </c>
      <c r="DR27" s="142" t="s">
        <v>10</v>
      </c>
      <c r="DS27" s="142">
        <v>2011</v>
      </c>
      <c r="DU27" s="142" t="str">
        <f t="shared" si="42"/>
        <v>- - -</v>
      </c>
      <c r="DV27" s="142" t="str">
        <f t="shared" si="43"/>
        <v>---</v>
      </c>
    </row>
    <row r="28" spans="1:126" s="288" customFormat="1" ht="1.5" customHeight="1" x14ac:dyDescent="0.25">
      <c r="A28" s="253"/>
      <c r="B28" s="330"/>
      <c r="C28" s="331"/>
      <c r="D28" s="332"/>
      <c r="E28" s="331"/>
      <c r="F28" s="331"/>
      <c r="G28" s="331"/>
      <c r="H28" s="331"/>
      <c r="I28" s="331"/>
      <c r="J28" s="331"/>
      <c r="K28" s="331"/>
      <c r="L28" s="331"/>
      <c r="M28" s="331"/>
      <c r="N28" s="332"/>
      <c r="O28" s="332"/>
      <c r="P28" s="331"/>
      <c r="Q28" s="331"/>
      <c r="R28" s="331"/>
      <c r="S28" s="331"/>
      <c r="T28" s="333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4"/>
      <c r="AH28" s="331"/>
      <c r="AI28" s="331"/>
      <c r="AJ28" s="331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1"/>
      <c r="AW28" s="334"/>
      <c r="AX28" s="331"/>
      <c r="AY28" s="334"/>
      <c r="AZ28" s="331"/>
      <c r="BA28" s="331"/>
      <c r="BB28" s="334"/>
      <c r="BC28" s="334"/>
      <c r="BD28" s="334"/>
      <c r="BE28" s="334"/>
      <c r="BF28" s="334"/>
      <c r="BG28" s="334"/>
      <c r="BH28" s="334"/>
      <c r="BI28" s="335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</row>
    <row r="29" spans="1:126" s="253" customFormat="1" ht="15.75" customHeight="1" x14ac:dyDescent="0.2">
      <c r="B29" s="302" t="s">
        <v>50</v>
      </c>
      <c r="D29" s="260"/>
      <c r="F29" s="303"/>
      <c r="J29" s="304"/>
      <c r="K29" s="304"/>
      <c r="L29" s="304"/>
      <c r="M29" s="304"/>
      <c r="N29" s="260"/>
      <c r="O29" s="305"/>
      <c r="P29" s="305"/>
      <c r="Q29" s="305"/>
      <c r="R29" s="305"/>
      <c r="T29" s="394" t="s">
        <v>51</v>
      </c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</row>
    <row r="30" spans="1:126" s="308" customFormat="1" ht="15.75" customHeight="1" x14ac:dyDescent="0.2">
      <c r="A30" s="253"/>
      <c r="B30" s="306" t="s">
        <v>52</v>
      </c>
      <c r="C30" s="307"/>
      <c r="D30" s="260"/>
      <c r="F30" s="309"/>
      <c r="G30" s="253"/>
      <c r="H30" s="253"/>
      <c r="J30" s="310"/>
      <c r="K30" s="310"/>
      <c r="L30" s="310"/>
      <c r="M30" s="310"/>
      <c r="N30" s="260"/>
      <c r="O30" s="311"/>
      <c r="P30" s="311"/>
      <c r="Q30" s="311"/>
      <c r="R30" s="311"/>
      <c r="T30" s="394" t="s">
        <v>53</v>
      </c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</row>
    <row r="31" spans="1:126" s="308" customFormat="1" ht="15.75" customHeight="1" x14ac:dyDescent="0.2">
      <c r="A31" s="253"/>
      <c r="B31" s="306" t="s">
        <v>54</v>
      </c>
      <c r="C31" s="307"/>
      <c r="D31" s="260"/>
      <c r="F31" s="309"/>
      <c r="G31" s="253"/>
      <c r="H31" s="253"/>
      <c r="J31" s="253"/>
      <c r="K31" s="253"/>
      <c r="L31" s="253"/>
      <c r="M31" s="253"/>
      <c r="N31" s="260"/>
      <c r="O31" s="260"/>
      <c r="P31" s="253"/>
      <c r="Q31" s="253"/>
      <c r="R31" s="253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</row>
    <row r="32" spans="1:126" s="253" customFormat="1" ht="12.75" customHeight="1" x14ac:dyDescent="0.2">
      <c r="B32" s="306" t="s">
        <v>56</v>
      </c>
      <c r="D32" s="260"/>
      <c r="N32" s="260"/>
      <c r="O32" s="260"/>
      <c r="T32" s="395" t="s">
        <v>92</v>
      </c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</row>
    <row r="33" spans="1:61" s="308" customFormat="1" ht="0.75" customHeight="1" x14ac:dyDescent="0.25">
      <c r="A33" s="253"/>
      <c r="C33" s="307"/>
      <c r="D33" s="260"/>
      <c r="F33" s="309"/>
      <c r="G33" s="253"/>
      <c r="H33" s="253"/>
      <c r="J33" s="253"/>
      <c r="K33" s="253"/>
      <c r="L33" s="253"/>
      <c r="M33" s="253"/>
      <c r="N33" s="260"/>
      <c r="O33" s="260"/>
      <c r="P33" s="253"/>
      <c r="Q33" s="253"/>
      <c r="R33" s="253"/>
      <c r="T33" s="312"/>
    </row>
    <row r="34" spans="1:61" s="253" customFormat="1" ht="18.75" customHeight="1" x14ac:dyDescent="0.25">
      <c r="B34" s="268"/>
      <c r="D34" s="260"/>
      <c r="F34" s="303"/>
      <c r="N34" s="260"/>
      <c r="O34" s="260"/>
      <c r="T34" s="390" t="s">
        <v>106</v>
      </c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</row>
  </sheetData>
  <mergeCells count="30">
    <mergeCell ref="AW16:AX16"/>
    <mergeCell ref="AY16:BA16"/>
    <mergeCell ref="T34:BI34"/>
    <mergeCell ref="T29:BI29"/>
    <mergeCell ref="T30:BI30"/>
    <mergeCell ref="T31:BI31"/>
    <mergeCell ref="T32:BI32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BH13:BH14"/>
    <mergeCell ref="BI13:BI14"/>
    <mergeCell ref="AU14:AV14"/>
    <mergeCell ref="AW14:AX14"/>
    <mergeCell ref="AY14:BA14"/>
    <mergeCell ref="BC13:BC14"/>
    <mergeCell ref="BD13:BD14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11.2015</vt:lpstr>
      <vt:lpstr>DS nang PCTN NG thang 11.2015</vt:lpstr>
      <vt:lpstr>'DS nang luong thang 11.2015'!Print_Titles</vt:lpstr>
      <vt:lpstr>'DS nang PCTN NG thang 11.2015'!Print_Titles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2015-08-04T08:35:00Z</cp:lastPrinted>
  <dcterms:created xsi:type="dcterms:W3CDTF">2015-03-03T06:48:17Z</dcterms:created>
  <dcterms:modified xsi:type="dcterms:W3CDTF">2015-11-13T08:05:40Z</dcterms:modified>
</cp:coreProperties>
</file>