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35" windowWidth="20115" windowHeight="7125" activeTab="1"/>
  </bookViews>
  <sheets>
    <sheet name="DS nang luong thang 01.02.2016" sheetId="1" r:id="rId1"/>
    <sheet name="DS nang PCTN NG thang 01.02.201" sheetId="2" r:id="rId2"/>
  </sheets>
  <externalReferences>
    <externalReference r:id="rId3"/>
    <externalReference r:id="rId4"/>
    <externalReference r:id="rId5"/>
  </externalReferences>
  <definedNames>
    <definedName name="_xlnm.Print_Titles" localSheetId="0">'DS nang luong thang 01.02.2016'!$13:$15</definedName>
    <definedName name="_xlnm.Print_Titles" localSheetId="1">'DS nang PCTN NG thang 01.02.201'!$13:$16</definedName>
  </definedNames>
  <calcPr calcId="144525"/>
</workbook>
</file>

<file path=xl/calcChain.xml><?xml version="1.0" encoding="utf-8"?>
<calcChain xmlns="http://schemas.openxmlformats.org/spreadsheetml/2006/main">
  <c r="DN51" i="2" l="1"/>
  <c r="DM51" i="2"/>
  <c r="CW51" i="2"/>
  <c r="CR51" i="2"/>
  <c r="CV51" i="2" s="1"/>
  <c r="CQ51" i="2"/>
  <c r="CP51" i="2"/>
  <c r="CN51" i="2"/>
  <c r="CH51" i="2"/>
  <c r="CL51" i="2" s="1"/>
  <c r="CG51" i="2"/>
  <c r="CK51" i="2" s="1"/>
  <c r="CF51" i="2"/>
  <c r="DV51" i="2" s="1"/>
  <c r="BZ51" i="2"/>
  <c r="BU51" i="2"/>
  <c r="BO51" i="2"/>
  <c r="BL51" i="2"/>
  <c r="BH51" i="2"/>
  <c r="BG51" i="2"/>
  <c r="BF51" i="2"/>
  <c r="AW51" i="2"/>
  <c r="AT51" i="2"/>
  <c r="AR51" i="2"/>
  <c r="DU51" i="2" s="1"/>
  <c r="AQ51" i="2"/>
  <c r="AN51" i="2"/>
  <c r="AB51" i="2"/>
  <c r="AA51" i="2"/>
  <c r="V51" i="2"/>
  <c r="S51" i="2"/>
  <c r="T51" i="2" s="1"/>
  <c r="BT51" i="2" s="1"/>
  <c r="Q51" i="2"/>
  <c r="P51" i="2"/>
  <c r="M51" i="2"/>
  <c r="K51" i="2" s="1"/>
  <c r="C51" i="2"/>
  <c r="DM50" i="2"/>
  <c r="DN50" i="2" s="1"/>
  <c r="CW50" i="2"/>
  <c r="CR50" i="2"/>
  <c r="CS50" i="2" s="1"/>
  <c r="CQ50" i="2"/>
  <c r="CP50" i="2"/>
  <c r="CH50" i="2" s="1"/>
  <c r="CN50" i="2"/>
  <c r="CG50" i="2"/>
  <c r="CL50" i="2" s="1"/>
  <c r="BZ50" i="2"/>
  <c r="BU50" i="2"/>
  <c r="BO50" i="2"/>
  <c r="BL50" i="2"/>
  <c r="BH50" i="2"/>
  <c r="BF50" i="2"/>
  <c r="AW50" i="2"/>
  <c r="AT50" i="2"/>
  <c r="AR50" i="2"/>
  <c r="AQ50" i="2"/>
  <c r="AA50" i="2" s="1"/>
  <c r="AN50" i="2"/>
  <c r="AB50" i="2"/>
  <c r="Z50" i="2"/>
  <c r="V50" i="2"/>
  <c r="S50" i="2"/>
  <c r="Q50" i="2"/>
  <c r="P50" i="2"/>
  <c r="M50" i="2"/>
  <c r="C50" i="2"/>
  <c r="DM49" i="2"/>
  <c r="DN49" i="2" s="1"/>
  <c r="CW49" i="2"/>
  <c r="CR49" i="2"/>
  <c r="CV49" i="2" s="1"/>
  <c r="CQ49" i="2"/>
  <c r="CP49" i="2"/>
  <c r="CH49" i="2" s="1"/>
  <c r="CN49" i="2"/>
  <c r="CG49" i="2"/>
  <c r="CK49" i="2" s="1"/>
  <c r="BZ49" i="2"/>
  <c r="BU49" i="2"/>
  <c r="BO49" i="2"/>
  <c r="BL49" i="2"/>
  <c r="BH49" i="2"/>
  <c r="BF49" i="2"/>
  <c r="AW49" i="2"/>
  <c r="AT49" i="2"/>
  <c r="AR49" i="2"/>
  <c r="AQ49" i="2"/>
  <c r="AA49" i="2" s="1"/>
  <c r="AN49" i="2"/>
  <c r="AB49" i="2"/>
  <c r="Z49" i="2"/>
  <c r="AM49" i="2" s="1"/>
  <c r="V49" i="2"/>
  <c r="S49" i="2"/>
  <c r="Q49" i="2"/>
  <c r="P49" i="2"/>
  <c r="M49" i="2"/>
  <c r="C49" i="2"/>
  <c r="DM48" i="2"/>
  <c r="DN48" i="2" s="1"/>
  <c r="CW48" i="2"/>
  <c r="CR48" i="2"/>
  <c r="CS48" i="2" s="1"/>
  <c r="CQ48" i="2"/>
  <c r="CP48" i="2"/>
  <c r="CH48" i="2" s="1"/>
  <c r="CN48" i="2"/>
  <c r="CG48" i="2"/>
  <c r="CL48" i="2" s="1"/>
  <c r="BZ48" i="2"/>
  <c r="BU48" i="2"/>
  <c r="BO48" i="2"/>
  <c r="BL48" i="2"/>
  <c r="BH48" i="2"/>
  <c r="BF48" i="2"/>
  <c r="AW48" i="2"/>
  <c r="AT48" i="2"/>
  <c r="AR48" i="2"/>
  <c r="AQ48" i="2"/>
  <c r="AA48" i="2" s="1"/>
  <c r="AN48" i="2"/>
  <c r="AB48" i="2"/>
  <c r="Z48" i="2"/>
  <c r="V48" i="2"/>
  <c r="S48" i="2"/>
  <c r="Q48" i="2"/>
  <c r="P48" i="2"/>
  <c r="M48" i="2"/>
  <c r="K48" i="2" s="1"/>
  <c r="C48" i="2"/>
  <c r="DM47" i="2"/>
  <c r="DN47" i="2" s="1"/>
  <c r="CW47" i="2"/>
  <c r="CR47" i="2"/>
  <c r="CS47" i="2" s="1"/>
  <c r="CQ47" i="2"/>
  <c r="CP47" i="2"/>
  <c r="CH47" i="2" s="1"/>
  <c r="CN47" i="2"/>
  <c r="CG47" i="2"/>
  <c r="CL47" i="2" s="1"/>
  <c r="BZ47" i="2"/>
  <c r="BU47" i="2"/>
  <c r="BO47" i="2"/>
  <c r="BL47" i="2"/>
  <c r="BH47" i="2"/>
  <c r="BF47" i="2"/>
  <c r="AW47" i="2"/>
  <c r="AT47" i="2"/>
  <c r="AR47" i="2"/>
  <c r="AQ47" i="2"/>
  <c r="AA47" i="2" s="1"/>
  <c r="AN47" i="2"/>
  <c r="AB47" i="2"/>
  <c r="Z47" i="2"/>
  <c r="V47" i="2"/>
  <c r="S47" i="2"/>
  <c r="T47" i="2" s="1"/>
  <c r="BT47" i="2" s="1"/>
  <c r="Q47" i="2"/>
  <c r="P47" i="2"/>
  <c r="M47" i="2"/>
  <c r="K47" i="2" s="1"/>
  <c r="C47" i="2"/>
  <c r="DM46" i="2"/>
  <c r="DN46" i="2" s="1"/>
  <c r="CW46" i="2"/>
  <c r="CR46" i="2"/>
  <c r="CS46" i="2" s="1"/>
  <c r="CQ46" i="2"/>
  <c r="CP46" i="2"/>
  <c r="CH46" i="2" s="1"/>
  <c r="CN46" i="2"/>
  <c r="CG46" i="2"/>
  <c r="CL46" i="2" s="1"/>
  <c r="BZ46" i="2"/>
  <c r="BU46" i="2"/>
  <c r="BO46" i="2"/>
  <c r="BL46" i="2"/>
  <c r="BH46" i="2"/>
  <c r="BF46" i="2"/>
  <c r="AW46" i="2"/>
  <c r="AT46" i="2"/>
  <c r="AR46" i="2"/>
  <c r="DU46" i="2" s="1"/>
  <c r="AQ46" i="2"/>
  <c r="AN46" i="2"/>
  <c r="AB46" i="2"/>
  <c r="Z46" i="2"/>
  <c r="V46" i="2"/>
  <c r="S46" i="2"/>
  <c r="T46" i="2" s="1"/>
  <c r="BT46" i="2" s="1"/>
  <c r="Q46" i="2"/>
  <c r="P46" i="2"/>
  <c r="M46" i="2"/>
  <c r="C46" i="2"/>
  <c r="DM45" i="2"/>
  <c r="DN45" i="2" s="1"/>
  <c r="CW45" i="2"/>
  <c r="CR45" i="2"/>
  <c r="CV45" i="2" s="1"/>
  <c r="CQ45" i="2"/>
  <c r="CF45" i="2" s="1"/>
  <c r="BG45" i="2" s="1"/>
  <c r="CP45" i="2"/>
  <c r="CN45" i="2"/>
  <c r="CH45" i="2"/>
  <c r="CG45" i="2"/>
  <c r="CK45" i="2" s="1"/>
  <c r="BZ45" i="2"/>
  <c r="BU45" i="2"/>
  <c r="BO45" i="2"/>
  <c r="BL45" i="2"/>
  <c r="BH45" i="2"/>
  <c r="BF45" i="2"/>
  <c r="AW45" i="2"/>
  <c r="AT45" i="2"/>
  <c r="AR45" i="2"/>
  <c r="AQ45" i="2"/>
  <c r="AA45" i="2" s="1"/>
  <c r="AN45" i="2"/>
  <c r="AB45" i="2"/>
  <c r="V45" i="2"/>
  <c r="S45" i="2"/>
  <c r="Q45" i="2"/>
  <c r="P45" i="2"/>
  <c r="M45" i="2"/>
  <c r="C45" i="2"/>
  <c r="DM44" i="2"/>
  <c r="DN44" i="2" s="1"/>
  <c r="CW44" i="2"/>
  <c r="CR44" i="2"/>
  <c r="CV44" i="2" s="1"/>
  <c r="CQ44" i="2"/>
  <c r="CP44" i="2"/>
  <c r="CH44" i="2" s="1"/>
  <c r="CN44" i="2"/>
  <c r="CG44" i="2"/>
  <c r="CK44" i="2" s="1"/>
  <c r="BZ44" i="2"/>
  <c r="BU44" i="2"/>
  <c r="BO44" i="2"/>
  <c r="BL44" i="2"/>
  <c r="BH44" i="2"/>
  <c r="BF44" i="2"/>
  <c r="AW44" i="2"/>
  <c r="AT44" i="2"/>
  <c r="AR44" i="2"/>
  <c r="AQ44" i="2"/>
  <c r="AA44" i="2" s="1"/>
  <c r="AN44" i="2"/>
  <c r="AB44" i="2"/>
  <c r="DU44" i="2" s="1"/>
  <c r="Z44" i="2"/>
  <c r="AM44" i="2" s="1"/>
  <c r="V44" i="2"/>
  <c r="S44" i="2"/>
  <c r="T44" i="2" s="1"/>
  <c r="BT44" i="2" s="1"/>
  <c r="Q44" i="2"/>
  <c r="P44" i="2"/>
  <c r="M44" i="2"/>
  <c r="C44" i="2"/>
  <c r="DM43" i="2"/>
  <c r="DN43" i="2" s="1"/>
  <c r="CW43" i="2"/>
  <c r="CS43" i="2"/>
  <c r="CR43" i="2"/>
  <c r="CV43" i="2" s="1"/>
  <c r="CQ43" i="2"/>
  <c r="CF43" i="2" s="1"/>
  <c r="CP43" i="2"/>
  <c r="CN43" i="2"/>
  <c r="CH43" i="2"/>
  <c r="CG43" i="2"/>
  <c r="CK43" i="2" s="1"/>
  <c r="BZ43" i="2"/>
  <c r="BU43" i="2"/>
  <c r="BO43" i="2"/>
  <c r="BL43" i="2"/>
  <c r="BH43" i="2"/>
  <c r="BF43" i="2"/>
  <c r="AW43" i="2"/>
  <c r="AT43" i="2"/>
  <c r="AR43" i="2"/>
  <c r="AQ43" i="2"/>
  <c r="AA43" i="2" s="1"/>
  <c r="AN43" i="2"/>
  <c r="AB43" i="2"/>
  <c r="V43" i="2"/>
  <c r="S43" i="2"/>
  <c r="Q43" i="2"/>
  <c r="P43" i="2"/>
  <c r="M43" i="2"/>
  <c r="C43" i="2"/>
  <c r="DM42" i="2"/>
  <c r="DN42" i="2" s="1"/>
  <c r="CW42" i="2"/>
  <c r="CR42" i="2"/>
  <c r="CV42" i="2" s="1"/>
  <c r="CQ42" i="2"/>
  <c r="CP42" i="2"/>
  <c r="CH42" i="2" s="1"/>
  <c r="CN42" i="2"/>
  <c r="CG42" i="2"/>
  <c r="CK42" i="2" s="1"/>
  <c r="BZ42" i="2"/>
  <c r="BU42" i="2"/>
  <c r="BO42" i="2"/>
  <c r="BL42" i="2"/>
  <c r="BH42" i="2"/>
  <c r="BF42" i="2"/>
  <c r="AW42" i="2"/>
  <c r="AT42" i="2"/>
  <c r="AR42" i="2"/>
  <c r="AQ42" i="2"/>
  <c r="AA42" i="2" s="1"/>
  <c r="AN42" i="2"/>
  <c r="AB42" i="2"/>
  <c r="DU42" i="2" s="1"/>
  <c r="Z42" i="2"/>
  <c r="AM42" i="2" s="1"/>
  <c r="V42" i="2"/>
  <c r="S42" i="2"/>
  <c r="T42" i="2" s="1"/>
  <c r="BT42" i="2" s="1"/>
  <c r="Q42" i="2"/>
  <c r="P42" i="2"/>
  <c r="M42" i="2"/>
  <c r="C42" i="2"/>
  <c r="DM41" i="2"/>
  <c r="DN41" i="2" s="1"/>
  <c r="CW41" i="2"/>
  <c r="CS41" i="2"/>
  <c r="CR41" i="2"/>
  <c r="CV41" i="2" s="1"/>
  <c r="CQ41" i="2"/>
  <c r="CF41" i="2" s="1"/>
  <c r="CP41" i="2"/>
  <c r="CN41" i="2"/>
  <c r="CH41" i="2"/>
  <c r="CG41" i="2"/>
  <c r="CK41" i="2" s="1"/>
  <c r="BZ41" i="2"/>
  <c r="BU41" i="2"/>
  <c r="BO41" i="2"/>
  <c r="BL41" i="2"/>
  <c r="BH41" i="2"/>
  <c r="BF41" i="2"/>
  <c r="AW41" i="2"/>
  <c r="AT41" i="2"/>
  <c r="AR41" i="2"/>
  <c r="AQ41" i="2"/>
  <c r="AA41" i="2" s="1"/>
  <c r="AN41" i="2"/>
  <c r="AB41" i="2"/>
  <c r="V41" i="2"/>
  <c r="S41" i="2"/>
  <c r="Q41" i="2"/>
  <c r="P41" i="2"/>
  <c r="M41" i="2"/>
  <c r="K41" i="2" s="1"/>
  <c r="C41" i="2"/>
  <c r="DM40" i="2"/>
  <c r="DN40" i="2" s="1"/>
  <c r="CW40" i="2"/>
  <c r="CS40" i="2"/>
  <c r="CR40" i="2"/>
  <c r="CV40" i="2" s="1"/>
  <c r="CQ40" i="2"/>
  <c r="CF40" i="2" s="1"/>
  <c r="CP40" i="2"/>
  <c r="CN40" i="2"/>
  <c r="CH40" i="2"/>
  <c r="CG40" i="2"/>
  <c r="CK40" i="2" s="1"/>
  <c r="BZ40" i="2"/>
  <c r="BU40" i="2"/>
  <c r="BO40" i="2"/>
  <c r="BL40" i="2"/>
  <c r="BH40" i="2"/>
  <c r="BF40" i="2"/>
  <c r="AW40" i="2"/>
  <c r="AT40" i="2"/>
  <c r="AR40" i="2"/>
  <c r="AQ40" i="2"/>
  <c r="AA40" i="2" s="1"/>
  <c r="AN40" i="2"/>
  <c r="AB40" i="2"/>
  <c r="V40" i="2"/>
  <c r="S40" i="2"/>
  <c r="Q40" i="2"/>
  <c r="P40" i="2"/>
  <c r="M40" i="2"/>
  <c r="C40" i="2"/>
  <c r="DM39" i="2"/>
  <c r="DN39" i="2" s="1"/>
  <c r="CW39" i="2"/>
  <c r="CR39" i="2"/>
  <c r="CS39" i="2" s="1"/>
  <c r="CQ39" i="2"/>
  <c r="CP39" i="2"/>
  <c r="CN39" i="2"/>
  <c r="CI39" i="2"/>
  <c r="CG39" i="2"/>
  <c r="BZ39" i="2"/>
  <c r="BU39" i="2"/>
  <c r="BO39" i="2"/>
  <c r="BL39" i="2"/>
  <c r="BH39" i="2"/>
  <c r="BF39" i="2"/>
  <c r="AW39" i="2"/>
  <c r="AT39" i="2"/>
  <c r="AR39" i="2"/>
  <c r="AQ39" i="2"/>
  <c r="AN39" i="2"/>
  <c r="AB39" i="2"/>
  <c r="Z39" i="2"/>
  <c r="AM39" i="2" s="1"/>
  <c r="V39" i="2"/>
  <c r="T39" i="2"/>
  <c r="BT39" i="2" s="1"/>
  <c r="S39" i="2"/>
  <c r="Q39" i="2"/>
  <c r="P39" i="2"/>
  <c r="M39" i="2"/>
  <c r="K39" i="2" s="1"/>
  <c r="C39" i="2"/>
  <c r="DM37" i="2"/>
  <c r="DN37" i="2" s="1"/>
  <c r="CW37" i="2"/>
  <c r="CR37" i="2"/>
  <c r="CV37" i="2" s="1"/>
  <c r="CQ37" i="2"/>
  <c r="CP37" i="2"/>
  <c r="CH37" i="2" s="1"/>
  <c r="CN37" i="2"/>
  <c r="CG37" i="2"/>
  <c r="CK37" i="2" s="1"/>
  <c r="BZ37" i="2"/>
  <c r="BU37" i="2"/>
  <c r="BO37" i="2"/>
  <c r="BL37" i="2"/>
  <c r="BH37" i="2"/>
  <c r="BF37" i="2"/>
  <c r="AW37" i="2"/>
  <c r="AT37" i="2"/>
  <c r="AR37" i="2"/>
  <c r="AQ37" i="2"/>
  <c r="AA37" i="2" s="1"/>
  <c r="AN37" i="2"/>
  <c r="AB37" i="2"/>
  <c r="DU37" i="2" s="1"/>
  <c r="Z37" i="2"/>
  <c r="AM37" i="2" s="1"/>
  <c r="V37" i="2"/>
  <c r="S37" i="2"/>
  <c r="T37" i="2" s="1"/>
  <c r="BT37" i="2" s="1"/>
  <c r="Q37" i="2"/>
  <c r="P37" i="2"/>
  <c r="M37" i="2"/>
  <c r="C37" i="2"/>
  <c r="DM36" i="2"/>
  <c r="DN36" i="2" s="1"/>
  <c r="CW36" i="2"/>
  <c r="CS36" i="2"/>
  <c r="CR36" i="2"/>
  <c r="CV36" i="2" s="1"/>
  <c r="CQ36" i="2"/>
  <c r="CF36" i="2" s="1"/>
  <c r="CP36" i="2"/>
  <c r="CN36" i="2"/>
  <c r="CH36" i="2"/>
  <c r="CG36" i="2"/>
  <c r="CK36" i="2" s="1"/>
  <c r="BZ36" i="2"/>
  <c r="BU36" i="2"/>
  <c r="BO36" i="2"/>
  <c r="BL36" i="2"/>
  <c r="BH36" i="2"/>
  <c r="BF36" i="2"/>
  <c r="AW36" i="2"/>
  <c r="AT36" i="2"/>
  <c r="AR36" i="2"/>
  <c r="AQ36" i="2"/>
  <c r="AA36" i="2" s="1"/>
  <c r="AN36" i="2"/>
  <c r="AB36" i="2"/>
  <c r="V36" i="2"/>
  <c r="S36" i="2"/>
  <c r="Q36" i="2"/>
  <c r="P36" i="2"/>
  <c r="M36" i="2"/>
  <c r="C36" i="2"/>
  <c r="DM35" i="2"/>
  <c r="DN35" i="2" s="1"/>
  <c r="CW35" i="2"/>
  <c r="CR35" i="2"/>
  <c r="CV35" i="2" s="1"/>
  <c r="CQ35" i="2"/>
  <c r="CP35" i="2"/>
  <c r="CH35" i="2" s="1"/>
  <c r="CN35" i="2"/>
  <c r="CG35" i="2"/>
  <c r="CK35" i="2" s="1"/>
  <c r="BZ35" i="2"/>
  <c r="BU35" i="2"/>
  <c r="BO35" i="2"/>
  <c r="BL35" i="2"/>
  <c r="BH35" i="2"/>
  <c r="BF35" i="2"/>
  <c r="AW35" i="2"/>
  <c r="AT35" i="2"/>
  <c r="AR35" i="2"/>
  <c r="AQ35" i="2"/>
  <c r="AA35" i="2" s="1"/>
  <c r="AN35" i="2"/>
  <c r="AB35" i="2"/>
  <c r="DU35" i="2" s="1"/>
  <c r="Z35" i="2"/>
  <c r="AM35" i="2" s="1"/>
  <c r="V35" i="2"/>
  <c r="S35" i="2"/>
  <c r="T35" i="2" s="1"/>
  <c r="BT35" i="2" s="1"/>
  <c r="Q35" i="2"/>
  <c r="P35" i="2"/>
  <c r="M35" i="2"/>
  <c r="K35" i="2" s="1"/>
  <c r="C35" i="2"/>
  <c r="DM34" i="2"/>
  <c r="DN34" i="2" s="1"/>
  <c r="CW34" i="2"/>
  <c r="CR34" i="2"/>
  <c r="CV34" i="2" s="1"/>
  <c r="CQ34" i="2"/>
  <c r="CP34" i="2"/>
  <c r="CH34" i="2" s="1"/>
  <c r="CN34" i="2"/>
  <c r="CG34" i="2"/>
  <c r="CK34" i="2" s="1"/>
  <c r="BZ34" i="2"/>
  <c r="BU34" i="2"/>
  <c r="BO34" i="2"/>
  <c r="BL34" i="2"/>
  <c r="BH34" i="2"/>
  <c r="BF34" i="2"/>
  <c r="AW34" i="2"/>
  <c r="AT34" i="2"/>
  <c r="AR34" i="2"/>
  <c r="AQ34" i="2"/>
  <c r="AN34" i="2"/>
  <c r="AB34" i="2"/>
  <c r="Z34" i="2"/>
  <c r="AM34" i="2" s="1"/>
  <c r="V34" i="2"/>
  <c r="T34" i="2"/>
  <c r="BT34" i="2" s="1"/>
  <c r="S34" i="2"/>
  <c r="Q34" i="2"/>
  <c r="P34" i="2"/>
  <c r="M34" i="2"/>
  <c r="C34" i="2"/>
  <c r="DN33" i="2"/>
  <c r="DM33" i="2"/>
  <c r="CW33" i="2"/>
  <c r="CR33" i="2"/>
  <c r="CV33" i="2" s="1"/>
  <c r="CQ33" i="2"/>
  <c r="CP33" i="2"/>
  <c r="CN33" i="2"/>
  <c r="CH33" i="2"/>
  <c r="CL33" i="2" s="1"/>
  <c r="CG33" i="2"/>
  <c r="CK33" i="2" s="1"/>
  <c r="CF33" i="2"/>
  <c r="DV33" i="2" s="1"/>
  <c r="BZ33" i="2"/>
  <c r="BU33" i="2"/>
  <c r="BO33" i="2"/>
  <c r="BL33" i="2"/>
  <c r="BH33" i="2"/>
  <c r="BG33" i="2"/>
  <c r="BF33" i="2"/>
  <c r="AW33" i="2"/>
  <c r="AT33" i="2"/>
  <c r="AR33" i="2"/>
  <c r="DU33" i="2" s="1"/>
  <c r="AQ33" i="2"/>
  <c r="AN33" i="2"/>
  <c r="AB33" i="2"/>
  <c r="AA33" i="2"/>
  <c r="V33" i="2"/>
  <c r="S33" i="2"/>
  <c r="T33" i="2" s="1"/>
  <c r="BT33" i="2" s="1"/>
  <c r="Q33" i="2"/>
  <c r="P33" i="2"/>
  <c r="M33" i="2"/>
  <c r="C33" i="2"/>
  <c r="DM32" i="2"/>
  <c r="DN32" i="2" s="1"/>
  <c r="CR32" i="2"/>
  <c r="CV32" i="2" s="1"/>
  <c r="CQ32" i="2"/>
  <c r="CP32" i="2"/>
  <c r="CH32" i="2" s="1"/>
  <c r="CN32" i="2"/>
  <c r="CG32" i="2"/>
  <c r="CK32" i="2" s="1"/>
  <c r="BZ32" i="2"/>
  <c r="BU32" i="2"/>
  <c r="CX32" i="2" s="1"/>
  <c r="BO32" i="2"/>
  <c r="BL32" i="2"/>
  <c r="BH32" i="2"/>
  <c r="BF32" i="2"/>
  <c r="AW32" i="2"/>
  <c r="AT32" i="2"/>
  <c r="AR32" i="2"/>
  <c r="AQ32" i="2"/>
  <c r="AA32" i="2" s="1"/>
  <c r="AN32" i="2"/>
  <c r="AB32" i="2"/>
  <c r="DU32" i="2" s="1"/>
  <c r="Z32" i="2"/>
  <c r="AM32" i="2" s="1"/>
  <c r="V32" i="2"/>
  <c r="S32" i="2"/>
  <c r="T32" i="2" s="1"/>
  <c r="BT32" i="2" s="1"/>
  <c r="Q32" i="2"/>
  <c r="P32" i="2"/>
  <c r="M32" i="2"/>
  <c r="C32" i="2"/>
  <c r="DM31" i="2"/>
  <c r="DN31" i="2" s="1"/>
  <c r="CW31" i="2"/>
  <c r="CS31" i="2"/>
  <c r="CR31" i="2"/>
  <c r="CV31" i="2" s="1"/>
  <c r="CQ31" i="2"/>
  <c r="CF31" i="2" s="1"/>
  <c r="CP31" i="2"/>
  <c r="CN31" i="2"/>
  <c r="CH31" i="2"/>
  <c r="CG31" i="2"/>
  <c r="CK31" i="2" s="1"/>
  <c r="BZ31" i="2"/>
  <c r="BU31" i="2"/>
  <c r="BO31" i="2"/>
  <c r="BL31" i="2"/>
  <c r="BH31" i="2"/>
  <c r="BF31" i="2"/>
  <c r="AW31" i="2"/>
  <c r="AT31" i="2"/>
  <c r="AR31" i="2"/>
  <c r="AQ31" i="2"/>
  <c r="AA31" i="2" s="1"/>
  <c r="AN31" i="2"/>
  <c r="AB31" i="2"/>
  <c r="V31" i="2"/>
  <c r="S31" i="2"/>
  <c r="Q31" i="2"/>
  <c r="P31" i="2"/>
  <c r="M31" i="2"/>
  <c r="C31" i="2"/>
  <c r="DM30" i="2"/>
  <c r="DN30" i="2" s="1"/>
  <c r="CW30" i="2"/>
  <c r="CR30" i="2"/>
  <c r="CV30" i="2" s="1"/>
  <c r="CQ30" i="2"/>
  <c r="CP30" i="2"/>
  <c r="CH30" i="2" s="1"/>
  <c r="CN30" i="2"/>
  <c r="CG30" i="2"/>
  <c r="CK30" i="2" s="1"/>
  <c r="BZ30" i="2"/>
  <c r="BU30" i="2"/>
  <c r="BO30" i="2"/>
  <c r="BL30" i="2"/>
  <c r="BH30" i="2"/>
  <c r="BF30" i="2"/>
  <c r="AW30" i="2"/>
  <c r="AT30" i="2"/>
  <c r="AR30" i="2"/>
  <c r="AQ30" i="2"/>
  <c r="AA30" i="2" s="1"/>
  <c r="AN30" i="2"/>
  <c r="AB30" i="2"/>
  <c r="DU30" i="2" s="1"/>
  <c r="Z30" i="2"/>
  <c r="AM30" i="2" s="1"/>
  <c r="V30" i="2"/>
  <c r="S30" i="2"/>
  <c r="T30" i="2" s="1"/>
  <c r="BT30" i="2" s="1"/>
  <c r="Q30" i="2"/>
  <c r="P30" i="2"/>
  <c r="M30" i="2"/>
  <c r="C30" i="2"/>
  <c r="DM29" i="2"/>
  <c r="DN29" i="2" s="1"/>
  <c r="CW29" i="2"/>
  <c r="CS29" i="2"/>
  <c r="CR29" i="2"/>
  <c r="CV29" i="2" s="1"/>
  <c r="CQ29" i="2"/>
  <c r="CF29" i="2" s="1"/>
  <c r="CP29" i="2"/>
  <c r="CN29" i="2"/>
  <c r="CH29" i="2"/>
  <c r="CG29" i="2"/>
  <c r="CK29" i="2" s="1"/>
  <c r="BZ29" i="2"/>
  <c r="BU29" i="2"/>
  <c r="BO29" i="2"/>
  <c r="BL29" i="2"/>
  <c r="BH29" i="2"/>
  <c r="BF29" i="2"/>
  <c r="AW29" i="2"/>
  <c r="AT29" i="2"/>
  <c r="AR29" i="2"/>
  <c r="AQ29" i="2"/>
  <c r="AA29" i="2" s="1"/>
  <c r="AN29" i="2"/>
  <c r="AB29" i="2"/>
  <c r="V29" i="2"/>
  <c r="S29" i="2"/>
  <c r="Q29" i="2"/>
  <c r="P29" i="2"/>
  <c r="M29" i="2"/>
  <c r="C29" i="2"/>
  <c r="DM28" i="2"/>
  <c r="DN28" i="2" s="1"/>
  <c r="CW28" i="2"/>
  <c r="CR28" i="2"/>
  <c r="CV28" i="2" s="1"/>
  <c r="CQ28" i="2"/>
  <c r="CP28" i="2"/>
  <c r="CH28" i="2" s="1"/>
  <c r="CN28" i="2"/>
  <c r="CG28" i="2"/>
  <c r="CK28" i="2" s="1"/>
  <c r="BZ28" i="2"/>
  <c r="BU28" i="2"/>
  <c r="BO28" i="2"/>
  <c r="BL28" i="2"/>
  <c r="BH28" i="2"/>
  <c r="BF28" i="2"/>
  <c r="AW28" i="2"/>
  <c r="AT28" i="2"/>
  <c r="AR28" i="2"/>
  <c r="AQ28" i="2"/>
  <c r="AA28" i="2" s="1"/>
  <c r="AN28" i="2"/>
  <c r="AB28" i="2"/>
  <c r="DU28" i="2" s="1"/>
  <c r="Z28" i="2"/>
  <c r="AM28" i="2" s="1"/>
  <c r="V28" i="2"/>
  <c r="S28" i="2"/>
  <c r="Q28" i="2"/>
  <c r="P28" i="2"/>
  <c r="M28" i="2"/>
  <c r="C28" i="2"/>
  <c r="DM27" i="2"/>
  <c r="DN27" i="2" s="1"/>
  <c r="CW27" i="2"/>
  <c r="CS27" i="2"/>
  <c r="CR27" i="2"/>
  <c r="CV27" i="2" s="1"/>
  <c r="CQ27" i="2"/>
  <c r="CF27" i="2" s="1"/>
  <c r="CP27" i="2"/>
  <c r="CN27" i="2"/>
  <c r="CH27" i="2"/>
  <c r="CG27" i="2"/>
  <c r="CK27" i="2" s="1"/>
  <c r="BZ27" i="2"/>
  <c r="BU27" i="2"/>
  <c r="BO27" i="2"/>
  <c r="BL27" i="2"/>
  <c r="BH27" i="2"/>
  <c r="BF27" i="2"/>
  <c r="AW27" i="2"/>
  <c r="AT27" i="2"/>
  <c r="AR27" i="2"/>
  <c r="AQ27" i="2"/>
  <c r="AA27" i="2" s="1"/>
  <c r="AN27" i="2"/>
  <c r="AB27" i="2"/>
  <c r="V27" i="2"/>
  <c r="S27" i="2"/>
  <c r="Q27" i="2"/>
  <c r="P27" i="2"/>
  <c r="M27" i="2"/>
  <c r="K27" i="2" s="1"/>
  <c r="C27" i="2"/>
  <c r="DM26" i="2"/>
  <c r="DN26" i="2" s="1"/>
  <c r="CW26" i="2"/>
  <c r="CS26" i="2"/>
  <c r="CR26" i="2"/>
  <c r="CV26" i="2" s="1"/>
  <c r="CQ26" i="2"/>
  <c r="CF26" i="2" s="1"/>
  <c r="CP26" i="2"/>
  <c r="CN26" i="2"/>
  <c r="CH26" i="2"/>
  <c r="CG26" i="2"/>
  <c r="CK26" i="2" s="1"/>
  <c r="BZ26" i="2"/>
  <c r="BU26" i="2"/>
  <c r="BO26" i="2"/>
  <c r="BL26" i="2"/>
  <c r="BH26" i="2"/>
  <c r="BF26" i="2"/>
  <c r="AW26" i="2"/>
  <c r="AT26" i="2"/>
  <c r="AR26" i="2"/>
  <c r="AQ26" i="2"/>
  <c r="AA26" i="2" s="1"/>
  <c r="AN26" i="2"/>
  <c r="AB26" i="2"/>
  <c r="V26" i="2"/>
  <c r="S26" i="2"/>
  <c r="Q26" i="2"/>
  <c r="P26" i="2"/>
  <c r="M26" i="2"/>
  <c r="K26" i="2" s="1"/>
  <c r="C26" i="2"/>
  <c r="DM25" i="2"/>
  <c r="DN25" i="2" s="1"/>
  <c r="CW25" i="2"/>
  <c r="CS25" i="2"/>
  <c r="CR25" i="2"/>
  <c r="CV25" i="2" s="1"/>
  <c r="CQ25" i="2"/>
  <c r="CF25" i="2" s="1"/>
  <c r="CP25" i="2"/>
  <c r="CN25" i="2"/>
  <c r="CH25" i="2"/>
  <c r="CG25" i="2"/>
  <c r="CK25" i="2" s="1"/>
  <c r="BZ25" i="2"/>
  <c r="BU25" i="2"/>
  <c r="BO25" i="2"/>
  <c r="BL25" i="2"/>
  <c r="BH25" i="2"/>
  <c r="BF25" i="2"/>
  <c r="AW25" i="2"/>
  <c r="AT25" i="2"/>
  <c r="AR25" i="2"/>
  <c r="AQ25" i="2"/>
  <c r="AA25" i="2" s="1"/>
  <c r="AN25" i="2"/>
  <c r="AB25" i="2"/>
  <c r="V25" i="2"/>
  <c r="S25" i="2"/>
  <c r="Q25" i="2"/>
  <c r="P25" i="2"/>
  <c r="M25" i="2"/>
  <c r="C25" i="2"/>
  <c r="DM24" i="2"/>
  <c r="DN24" i="2" s="1"/>
  <c r="CW24" i="2"/>
  <c r="CR24" i="2"/>
  <c r="CV24" i="2" s="1"/>
  <c r="CQ24" i="2"/>
  <c r="CP24" i="2"/>
  <c r="CH24" i="2" s="1"/>
  <c r="CN24" i="2"/>
  <c r="CG24" i="2"/>
  <c r="CK24" i="2" s="1"/>
  <c r="BZ24" i="2"/>
  <c r="BU24" i="2"/>
  <c r="BO24" i="2"/>
  <c r="BL24" i="2"/>
  <c r="BH24" i="2"/>
  <c r="BF24" i="2"/>
  <c r="AW24" i="2"/>
  <c r="AT24" i="2"/>
  <c r="AR24" i="2"/>
  <c r="AQ24" i="2"/>
  <c r="AA24" i="2" s="1"/>
  <c r="AN24" i="2"/>
  <c r="AB24" i="2"/>
  <c r="DU24" i="2" s="1"/>
  <c r="Z24" i="2"/>
  <c r="AM24" i="2" s="1"/>
  <c r="V24" i="2"/>
  <c r="S24" i="2"/>
  <c r="T24" i="2" s="1"/>
  <c r="BT24" i="2" s="1"/>
  <c r="Q24" i="2"/>
  <c r="P24" i="2"/>
  <c r="M24" i="2"/>
  <c r="C24" i="2"/>
  <c r="DM23" i="2"/>
  <c r="DN23" i="2" s="1"/>
  <c r="CW23" i="2"/>
  <c r="CS23" i="2"/>
  <c r="CR23" i="2"/>
  <c r="CV23" i="2" s="1"/>
  <c r="CQ23" i="2"/>
  <c r="CF23" i="2" s="1"/>
  <c r="CP23" i="2"/>
  <c r="CN23" i="2"/>
  <c r="CH23" i="2"/>
  <c r="CG23" i="2"/>
  <c r="CK23" i="2" s="1"/>
  <c r="BZ23" i="2"/>
  <c r="BU23" i="2"/>
  <c r="BO23" i="2"/>
  <c r="BL23" i="2"/>
  <c r="BH23" i="2"/>
  <c r="BF23" i="2"/>
  <c r="AW23" i="2"/>
  <c r="AT23" i="2"/>
  <c r="AR23" i="2"/>
  <c r="AQ23" i="2"/>
  <c r="AA23" i="2" s="1"/>
  <c r="AN23" i="2"/>
  <c r="AB23" i="2"/>
  <c r="V23" i="2"/>
  <c r="S23" i="2"/>
  <c r="Q23" i="2"/>
  <c r="P23" i="2"/>
  <c r="M23" i="2"/>
  <c r="K23" i="2" s="1"/>
  <c r="C23" i="2"/>
  <c r="DM22" i="2"/>
  <c r="DN22" i="2" s="1"/>
  <c r="CW22" i="2"/>
  <c r="CS22" i="2"/>
  <c r="CR22" i="2"/>
  <c r="CV22" i="2" s="1"/>
  <c r="CQ22" i="2"/>
  <c r="CF22" i="2" s="1"/>
  <c r="CP22" i="2"/>
  <c r="CN22" i="2"/>
  <c r="CH22" i="2"/>
  <c r="CG22" i="2"/>
  <c r="CK22" i="2" s="1"/>
  <c r="BZ22" i="2"/>
  <c r="BU22" i="2"/>
  <c r="BO22" i="2"/>
  <c r="BL22" i="2"/>
  <c r="BH22" i="2"/>
  <c r="BF22" i="2"/>
  <c r="AW22" i="2"/>
  <c r="AT22" i="2"/>
  <c r="AR22" i="2"/>
  <c r="AQ22" i="2"/>
  <c r="AA22" i="2" s="1"/>
  <c r="AN22" i="2"/>
  <c r="AB22" i="2"/>
  <c r="V22" i="2"/>
  <c r="S22" i="2"/>
  <c r="Q22" i="2"/>
  <c r="P22" i="2"/>
  <c r="M22" i="2"/>
  <c r="C22" i="2"/>
  <c r="DM21" i="2"/>
  <c r="DN21" i="2" s="1"/>
  <c r="CW21" i="2"/>
  <c r="CR21" i="2"/>
  <c r="CV21" i="2" s="1"/>
  <c r="CQ21" i="2"/>
  <c r="CP21" i="2"/>
  <c r="CH21" i="2" s="1"/>
  <c r="CN21" i="2"/>
  <c r="CG21" i="2"/>
  <c r="CK21" i="2" s="1"/>
  <c r="BZ21" i="2"/>
  <c r="BU21" i="2"/>
  <c r="BO21" i="2"/>
  <c r="BL21" i="2"/>
  <c r="BH21" i="2"/>
  <c r="BF21" i="2"/>
  <c r="AW21" i="2"/>
  <c r="AT21" i="2"/>
  <c r="AR21" i="2"/>
  <c r="AQ21" i="2"/>
  <c r="AA21" i="2" s="1"/>
  <c r="AN21" i="2"/>
  <c r="AB21" i="2"/>
  <c r="DU21" i="2" s="1"/>
  <c r="Z21" i="2"/>
  <c r="AM21" i="2" s="1"/>
  <c r="V21" i="2"/>
  <c r="S21" i="2"/>
  <c r="T21" i="2" s="1"/>
  <c r="BT21" i="2" s="1"/>
  <c r="Q21" i="2"/>
  <c r="P21" i="2"/>
  <c r="M21" i="2"/>
  <c r="C21" i="2"/>
  <c r="DM20" i="2"/>
  <c r="DN20" i="2" s="1"/>
  <c r="CW20" i="2"/>
  <c r="CS20" i="2"/>
  <c r="CR20" i="2"/>
  <c r="CV20" i="2" s="1"/>
  <c r="CQ20" i="2"/>
  <c r="CF20" i="2" s="1"/>
  <c r="CP20" i="2"/>
  <c r="CN20" i="2"/>
  <c r="CH20" i="2"/>
  <c r="CG20" i="2"/>
  <c r="CK20" i="2" s="1"/>
  <c r="BZ20" i="2"/>
  <c r="BU20" i="2"/>
  <c r="BO20" i="2"/>
  <c r="BL20" i="2"/>
  <c r="BH20" i="2"/>
  <c r="BF20" i="2"/>
  <c r="AW20" i="2"/>
  <c r="AT20" i="2"/>
  <c r="AR20" i="2"/>
  <c r="AQ20" i="2"/>
  <c r="AA20" i="2" s="1"/>
  <c r="AN20" i="2"/>
  <c r="AB20" i="2"/>
  <c r="V20" i="2"/>
  <c r="S20" i="2"/>
  <c r="Q20" i="2"/>
  <c r="P20" i="2"/>
  <c r="M20" i="2"/>
  <c r="C20" i="2"/>
  <c r="DM19" i="2"/>
  <c r="DN19" i="2" s="1"/>
  <c r="CW19" i="2"/>
  <c r="CR19" i="2"/>
  <c r="CV19" i="2" s="1"/>
  <c r="CQ19" i="2"/>
  <c r="CP19" i="2"/>
  <c r="CH19" i="2" s="1"/>
  <c r="CN19" i="2"/>
  <c r="CG19" i="2"/>
  <c r="CK19" i="2" s="1"/>
  <c r="BZ19" i="2"/>
  <c r="BU19" i="2"/>
  <c r="BO19" i="2"/>
  <c r="BL19" i="2"/>
  <c r="BH19" i="2"/>
  <c r="BF19" i="2"/>
  <c r="AW19" i="2"/>
  <c r="AT19" i="2"/>
  <c r="AR19" i="2"/>
  <c r="AQ19" i="2"/>
  <c r="AA19" i="2" s="1"/>
  <c r="AN19" i="2"/>
  <c r="AB19" i="2"/>
  <c r="Z19" i="2"/>
  <c r="AM19" i="2" s="1"/>
  <c r="V19" i="2"/>
  <c r="S19" i="2"/>
  <c r="T19" i="2" s="1"/>
  <c r="BT19" i="2" s="1"/>
  <c r="Q19" i="2"/>
  <c r="P19" i="2"/>
  <c r="M19" i="2"/>
  <c r="C19" i="2"/>
  <c r="DM18" i="2"/>
  <c r="DN18" i="2" s="1"/>
  <c r="CW18" i="2"/>
  <c r="CS18" i="2"/>
  <c r="CR18" i="2"/>
  <c r="CV18" i="2" s="1"/>
  <c r="CQ18" i="2"/>
  <c r="CF18" i="2" s="1"/>
  <c r="CP18" i="2"/>
  <c r="CN18" i="2"/>
  <c r="CH18" i="2"/>
  <c r="CG18" i="2"/>
  <c r="CK18" i="2" s="1"/>
  <c r="BZ18" i="2"/>
  <c r="BU18" i="2"/>
  <c r="BO18" i="2"/>
  <c r="BL18" i="2"/>
  <c r="BH18" i="2"/>
  <c r="BF18" i="2"/>
  <c r="AW18" i="2"/>
  <c r="AT18" i="2"/>
  <c r="AR18" i="2"/>
  <c r="AQ18" i="2"/>
  <c r="AA18" i="2" s="1"/>
  <c r="AN18" i="2"/>
  <c r="AB18" i="2"/>
  <c r="V18" i="2"/>
  <c r="S18" i="2"/>
  <c r="Q18" i="2"/>
  <c r="P18" i="2"/>
  <c r="M18" i="2"/>
  <c r="C18" i="2"/>
  <c r="DM47" i="1"/>
  <c r="DN47" i="1" s="1"/>
  <c r="CW47" i="1"/>
  <c r="CR47" i="1"/>
  <c r="CS47" i="1" s="1"/>
  <c r="CQ47" i="1"/>
  <c r="CF47" i="1" s="1"/>
  <c r="CP47" i="1"/>
  <c r="CN47" i="1"/>
  <c r="CH47" i="1"/>
  <c r="CG47" i="1"/>
  <c r="CK47" i="1" s="1"/>
  <c r="BZ47" i="1"/>
  <c r="BU47" i="1"/>
  <c r="BO47" i="1"/>
  <c r="BL47" i="1"/>
  <c r="BH47" i="1"/>
  <c r="BF47" i="1"/>
  <c r="AW47" i="1"/>
  <c r="AT47" i="1"/>
  <c r="AR47" i="1"/>
  <c r="DU47" i="1" s="1"/>
  <c r="AQ47" i="1"/>
  <c r="AN47" i="1"/>
  <c r="AA47" i="1"/>
  <c r="Z47" i="1"/>
  <c r="AE47" i="1" s="1"/>
  <c r="V47" i="1"/>
  <c r="S47" i="1"/>
  <c r="Q47" i="1"/>
  <c r="P47" i="1"/>
  <c r="M47" i="1"/>
  <c r="C47" i="1"/>
  <c r="DM46" i="1"/>
  <c r="DN46" i="1" s="1"/>
  <c r="CW46" i="1"/>
  <c r="CR46" i="1"/>
  <c r="CV46" i="1" s="1"/>
  <c r="CQ46" i="1"/>
  <c r="CP46" i="1"/>
  <c r="CH46" i="1" s="1"/>
  <c r="CN46" i="1"/>
  <c r="CG46" i="1"/>
  <c r="CK46" i="1" s="1"/>
  <c r="BZ46" i="1"/>
  <c r="BU46" i="1"/>
  <c r="BO46" i="1"/>
  <c r="BL46" i="1"/>
  <c r="BH46" i="1"/>
  <c r="BF46" i="1"/>
  <c r="AW46" i="1"/>
  <c r="AT46" i="1"/>
  <c r="AR46" i="1"/>
  <c r="AQ46" i="1"/>
  <c r="AN46" i="1"/>
  <c r="AM46" i="1"/>
  <c r="BN46" i="1" s="1"/>
  <c r="AA46" i="1"/>
  <c r="Z46" i="1"/>
  <c r="AE46" i="1" s="1"/>
  <c r="Y46" i="1"/>
  <c r="V46" i="1"/>
  <c r="S46" i="1"/>
  <c r="T46" i="1" s="1"/>
  <c r="BT46" i="1" s="1"/>
  <c r="Q46" i="1"/>
  <c r="P46" i="1"/>
  <c r="M46" i="1"/>
  <c r="K46" i="1"/>
  <c r="C46" i="1"/>
  <c r="DN43" i="1"/>
  <c r="DM43" i="1"/>
  <c r="CW43" i="1"/>
  <c r="CR43" i="1"/>
  <c r="CV43" i="1" s="1"/>
  <c r="CQ43" i="1"/>
  <c r="CP43" i="1"/>
  <c r="CN43" i="1"/>
  <c r="CH43" i="1"/>
  <c r="CL43" i="1" s="1"/>
  <c r="CG43" i="1"/>
  <c r="CK43" i="1" s="1"/>
  <c r="CF43" i="1"/>
  <c r="BZ43" i="1"/>
  <c r="BU43" i="1"/>
  <c r="BO43" i="1"/>
  <c r="BL43" i="1"/>
  <c r="BH43" i="1"/>
  <c r="BG43" i="1"/>
  <c r="BF43" i="1"/>
  <c r="AW43" i="1"/>
  <c r="AT43" i="1"/>
  <c r="AR43" i="1"/>
  <c r="AQ43" i="1"/>
  <c r="AN43" i="1"/>
  <c r="AB43" i="1"/>
  <c r="AA43" i="1"/>
  <c r="V43" i="1"/>
  <c r="S43" i="1"/>
  <c r="Q43" i="1"/>
  <c r="P43" i="1"/>
  <c r="M43" i="1"/>
  <c r="K43" i="1" s="1"/>
  <c r="C43" i="1"/>
  <c r="DM42" i="1"/>
  <c r="DN42" i="1" s="1"/>
  <c r="CW42" i="1"/>
  <c r="CS42" i="1"/>
  <c r="CR42" i="1"/>
  <c r="CV42" i="1" s="1"/>
  <c r="CQ42" i="1"/>
  <c r="CF42" i="1" s="1"/>
  <c r="CP42" i="1"/>
  <c r="CN42" i="1"/>
  <c r="CH42" i="1"/>
  <c r="CG42" i="1"/>
  <c r="CK42" i="1" s="1"/>
  <c r="BZ42" i="1"/>
  <c r="BU42" i="1"/>
  <c r="BO42" i="1"/>
  <c r="BL42" i="1"/>
  <c r="BH42" i="1"/>
  <c r="BF42" i="1"/>
  <c r="AW42" i="1"/>
  <c r="AT42" i="1"/>
  <c r="AR42" i="1"/>
  <c r="AQ42" i="1"/>
  <c r="AA42" i="1" s="1"/>
  <c r="AN42" i="1"/>
  <c r="AB42" i="1"/>
  <c r="V42" i="1"/>
  <c r="S42" i="1"/>
  <c r="Q42" i="1"/>
  <c r="P42" i="1"/>
  <c r="M42" i="1"/>
  <c r="K42" i="1" s="1"/>
  <c r="C42" i="1"/>
  <c r="DM41" i="1"/>
  <c r="DN41" i="1" s="1"/>
  <c r="CW41" i="1"/>
  <c r="CS41" i="1"/>
  <c r="CR41" i="1"/>
  <c r="CV41" i="1" s="1"/>
  <c r="CQ41" i="1"/>
  <c r="CF41" i="1" s="1"/>
  <c r="BG41" i="1" s="1"/>
  <c r="CP41" i="1"/>
  <c r="CN41" i="1"/>
  <c r="CH41" i="1"/>
  <c r="CG41" i="1"/>
  <c r="CK41" i="1" s="1"/>
  <c r="BZ41" i="1"/>
  <c r="BU41" i="1"/>
  <c r="BO41" i="1"/>
  <c r="BL41" i="1"/>
  <c r="BH41" i="1"/>
  <c r="BF41" i="1"/>
  <c r="AW41" i="1"/>
  <c r="AT41" i="1"/>
  <c r="AR41" i="1"/>
  <c r="AQ41" i="1"/>
  <c r="AA41" i="1" s="1"/>
  <c r="AN41" i="1"/>
  <c r="AB41" i="1"/>
  <c r="V41" i="1"/>
  <c r="S41" i="1"/>
  <c r="Q41" i="1"/>
  <c r="P41" i="1"/>
  <c r="M41" i="1"/>
  <c r="C41" i="1"/>
  <c r="DM40" i="1"/>
  <c r="DN40" i="1" s="1"/>
  <c r="CW40" i="1"/>
  <c r="CR40" i="1"/>
  <c r="CS40" i="1" s="1"/>
  <c r="CQ40" i="1"/>
  <c r="CP40" i="1"/>
  <c r="CN40" i="1"/>
  <c r="CI40" i="1"/>
  <c r="CG40" i="1"/>
  <c r="BZ40" i="1"/>
  <c r="BU40" i="1"/>
  <c r="BO40" i="1"/>
  <c r="BL40" i="1"/>
  <c r="BH40" i="1"/>
  <c r="BF40" i="1"/>
  <c r="AW40" i="1"/>
  <c r="AT40" i="1"/>
  <c r="AR40" i="1"/>
  <c r="Z40" i="1" s="1"/>
  <c r="AM40" i="1" s="1"/>
  <c r="AQ40" i="1"/>
  <c r="AN40" i="1"/>
  <c r="AB40" i="1"/>
  <c r="DU40" i="1" s="1"/>
  <c r="V40" i="1"/>
  <c r="T40" i="1"/>
  <c r="BT40" i="1" s="1"/>
  <c r="S40" i="1"/>
  <c r="Q40" i="1"/>
  <c r="P40" i="1"/>
  <c r="M40" i="1"/>
  <c r="C40" i="1"/>
  <c r="DN39" i="1"/>
  <c r="DM39" i="1"/>
  <c r="CW39" i="1"/>
  <c r="CR39" i="1"/>
  <c r="CV39" i="1" s="1"/>
  <c r="CQ39" i="1"/>
  <c r="CP39" i="1"/>
  <c r="CN39" i="1"/>
  <c r="CH39" i="1"/>
  <c r="CL39" i="1" s="1"/>
  <c r="CG39" i="1"/>
  <c r="CK39" i="1" s="1"/>
  <c r="BZ39" i="1"/>
  <c r="BU39" i="1"/>
  <c r="BO39" i="1"/>
  <c r="BL39" i="1"/>
  <c r="BH39" i="1"/>
  <c r="BF39" i="1"/>
  <c r="AW39" i="1"/>
  <c r="AT39" i="1"/>
  <c r="AR39" i="1"/>
  <c r="AQ39" i="1"/>
  <c r="AN39" i="1"/>
  <c r="AB39" i="1"/>
  <c r="AA39" i="1"/>
  <c r="V39" i="1"/>
  <c r="S39" i="1"/>
  <c r="Q39" i="1"/>
  <c r="P39" i="1"/>
  <c r="M39" i="1"/>
  <c r="K39" i="1"/>
  <c r="C39" i="1"/>
  <c r="DN38" i="1"/>
  <c r="DM38" i="1"/>
  <c r="CW38" i="1"/>
  <c r="CR38" i="1"/>
  <c r="CV38" i="1" s="1"/>
  <c r="CQ38" i="1"/>
  <c r="CP38" i="1"/>
  <c r="CN38" i="1"/>
  <c r="CH38" i="1"/>
  <c r="CL38" i="1" s="1"/>
  <c r="CG38" i="1"/>
  <c r="CK38" i="1" s="1"/>
  <c r="CF38" i="1"/>
  <c r="DV38" i="1" s="1"/>
  <c r="BZ38" i="1"/>
  <c r="BU38" i="1"/>
  <c r="BO38" i="1"/>
  <c r="BL38" i="1"/>
  <c r="BH38" i="1"/>
  <c r="BG38" i="1"/>
  <c r="BF38" i="1"/>
  <c r="AW38" i="1"/>
  <c r="AT38" i="1"/>
  <c r="AR38" i="1"/>
  <c r="DU38" i="1" s="1"/>
  <c r="AQ38" i="1"/>
  <c r="AN38" i="1"/>
  <c r="AB38" i="1"/>
  <c r="AA38" i="1"/>
  <c r="V38" i="1"/>
  <c r="S38" i="1"/>
  <c r="T38" i="1" s="1"/>
  <c r="BT38" i="1" s="1"/>
  <c r="Q38" i="1"/>
  <c r="P38" i="1"/>
  <c r="M38" i="1"/>
  <c r="C38" i="1"/>
  <c r="DM37" i="1"/>
  <c r="DN37" i="1" s="1"/>
  <c r="CW37" i="1"/>
  <c r="CR37" i="1"/>
  <c r="CV37" i="1" s="1"/>
  <c r="CQ37" i="1"/>
  <c r="CP37" i="1"/>
  <c r="CH37" i="1" s="1"/>
  <c r="CN37" i="1"/>
  <c r="CG37" i="1"/>
  <c r="CK37" i="1" s="1"/>
  <c r="BZ37" i="1"/>
  <c r="BU37" i="1"/>
  <c r="BO37" i="1"/>
  <c r="BL37" i="1"/>
  <c r="BH37" i="1"/>
  <c r="BF37" i="1"/>
  <c r="AW37" i="1"/>
  <c r="AT37" i="1"/>
  <c r="AR37" i="1"/>
  <c r="AQ37" i="1"/>
  <c r="AA37" i="1" s="1"/>
  <c r="AN37" i="1"/>
  <c r="AB37" i="1"/>
  <c r="DU37" i="1" s="1"/>
  <c r="Z37" i="1"/>
  <c r="AM37" i="1" s="1"/>
  <c r="V37" i="1"/>
  <c r="S37" i="1"/>
  <c r="T37" i="1" s="1"/>
  <c r="BT37" i="1" s="1"/>
  <c r="Q37" i="1"/>
  <c r="P37" i="1"/>
  <c r="M37" i="1"/>
  <c r="K37" i="1" s="1"/>
  <c r="C37" i="1"/>
  <c r="DM36" i="1"/>
  <c r="DN36" i="1" s="1"/>
  <c r="CW36" i="1"/>
  <c r="CR36" i="1"/>
  <c r="CV36" i="1" s="1"/>
  <c r="CQ36" i="1"/>
  <c r="CP36" i="1"/>
  <c r="CH36" i="1" s="1"/>
  <c r="CN36" i="1"/>
  <c r="CG36" i="1"/>
  <c r="CK36" i="1" s="1"/>
  <c r="BZ36" i="1"/>
  <c r="BU36" i="1"/>
  <c r="BO36" i="1"/>
  <c r="BL36" i="1"/>
  <c r="BH36" i="1"/>
  <c r="BF36" i="1"/>
  <c r="AW36" i="1"/>
  <c r="AT36" i="1"/>
  <c r="AR36" i="1"/>
  <c r="AQ36" i="1"/>
  <c r="AA36" i="1" s="1"/>
  <c r="AN36" i="1"/>
  <c r="AB36" i="1"/>
  <c r="DU36" i="1" s="1"/>
  <c r="Z36" i="1"/>
  <c r="AM36" i="1" s="1"/>
  <c r="V36" i="1"/>
  <c r="S36" i="1"/>
  <c r="T36" i="1" s="1"/>
  <c r="BT36" i="1" s="1"/>
  <c r="Q36" i="1"/>
  <c r="P36" i="1"/>
  <c r="M36" i="1"/>
  <c r="C36" i="1"/>
  <c r="DM34" i="1"/>
  <c r="DN34" i="1" s="1"/>
  <c r="CW34" i="1"/>
  <c r="CS34" i="1"/>
  <c r="CR34" i="1"/>
  <c r="CV34" i="1" s="1"/>
  <c r="CQ34" i="1"/>
  <c r="CF34" i="1" s="1"/>
  <c r="CP34" i="1"/>
  <c r="CN34" i="1"/>
  <c r="CH34" i="1"/>
  <c r="CG34" i="1"/>
  <c r="CK34" i="1" s="1"/>
  <c r="BZ34" i="1"/>
  <c r="BU34" i="1"/>
  <c r="BO34" i="1"/>
  <c r="BL34" i="1"/>
  <c r="BH34" i="1"/>
  <c r="BF34" i="1"/>
  <c r="AW34" i="1"/>
  <c r="AT34" i="1"/>
  <c r="AR34" i="1"/>
  <c r="AQ34" i="1"/>
  <c r="AA34" i="1" s="1"/>
  <c r="AN34" i="1"/>
  <c r="AB34" i="1"/>
  <c r="V34" i="1"/>
  <c r="S34" i="1"/>
  <c r="Q34" i="1"/>
  <c r="P34" i="1"/>
  <c r="M34" i="1"/>
  <c r="K34" i="1" s="1"/>
  <c r="C34" i="1"/>
  <c r="DM33" i="1"/>
  <c r="DN33" i="1" s="1"/>
  <c r="CW33" i="1"/>
  <c r="CS33" i="1"/>
  <c r="CR33" i="1"/>
  <c r="CV33" i="1" s="1"/>
  <c r="CQ33" i="1"/>
  <c r="CF33" i="1" s="1"/>
  <c r="CP33" i="1"/>
  <c r="CN33" i="1"/>
  <c r="CH33" i="1"/>
  <c r="CG33" i="1"/>
  <c r="CK33" i="1" s="1"/>
  <c r="BZ33" i="1"/>
  <c r="BU33" i="1"/>
  <c r="BO33" i="1"/>
  <c r="BL33" i="1"/>
  <c r="BH33" i="1"/>
  <c r="BF33" i="1"/>
  <c r="AW33" i="1"/>
  <c r="AT33" i="1"/>
  <c r="AR33" i="1"/>
  <c r="AQ33" i="1"/>
  <c r="AA33" i="1" s="1"/>
  <c r="AN33" i="1"/>
  <c r="AB33" i="1"/>
  <c r="V33" i="1"/>
  <c r="S33" i="1"/>
  <c r="Q33" i="1"/>
  <c r="P33" i="1"/>
  <c r="M33" i="1"/>
  <c r="C33" i="1"/>
  <c r="DM32" i="1"/>
  <c r="DN32" i="1" s="1"/>
  <c r="CW32" i="1"/>
  <c r="CR32" i="1"/>
  <c r="CV32" i="1" s="1"/>
  <c r="CQ32" i="1"/>
  <c r="CP32" i="1"/>
  <c r="CH32" i="1" s="1"/>
  <c r="CN32" i="1"/>
  <c r="CG32" i="1"/>
  <c r="CK32" i="1" s="1"/>
  <c r="BZ32" i="1"/>
  <c r="BU32" i="1"/>
  <c r="BO32" i="1"/>
  <c r="BL32" i="1"/>
  <c r="BH32" i="1"/>
  <c r="BF32" i="1"/>
  <c r="AW32" i="1"/>
  <c r="AT32" i="1"/>
  <c r="AR32" i="1"/>
  <c r="AQ32" i="1"/>
  <c r="AA32" i="1" s="1"/>
  <c r="AN32" i="1"/>
  <c r="AB32" i="1"/>
  <c r="Z32" i="1"/>
  <c r="AM32" i="1" s="1"/>
  <c r="V32" i="1"/>
  <c r="S32" i="1"/>
  <c r="T32" i="1" s="1"/>
  <c r="BT32" i="1" s="1"/>
  <c r="Q32" i="1"/>
  <c r="P32" i="1"/>
  <c r="M32" i="1"/>
  <c r="C32" i="1"/>
  <c r="DN31" i="1"/>
  <c r="DM31" i="1"/>
  <c r="CW31" i="1"/>
  <c r="CR31" i="1"/>
  <c r="CV31" i="1" s="1"/>
  <c r="CQ31" i="1"/>
  <c r="CP31" i="1"/>
  <c r="CN31" i="1"/>
  <c r="CH31" i="1"/>
  <c r="CL31" i="1" s="1"/>
  <c r="CG31" i="1"/>
  <c r="CK31" i="1" s="1"/>
  <c r="CF31" i="1"/>
  <c r="DV31" i="1" s="1"/>
  <c r="BZ31" i="1"/>
  <c r="BU31" i="1"/>
  <c r="BO31" i="1"/>
  <c r="BL31" i="1"/>
  <c r="BH31" i="1"/>
  <c r="BG31" i="1"/>
  <c r="BF31" i="1"/>
  <c r="AW31" i="1"/>
  <c r="AT31" i="1"/>
  <c r="AR31" i="1"/>
  <c r="DU31" i="1" s="1"/>
  <c r="AQ31" i="1"/>
  <c r="AN31" i="1"/>
  <c r="AB31" i="1"/>
  <c r="AA31" i="1"/>
  <c r="V31" i="1"/>
  <c r="S31" i="1"/>
  <c r="T31" i="1" s="1"/>
  <c r="BT31" i="1" s="1"/>
  <c r="Q31" i="1"/>
  <c r="P31" i="1"/>
  <c r="M31" i="1"/>
  <c r="C31" i="1"/>
  <c r="DM30" i="1"/>
  <c r="DN30" i="1" s="1"/>
  <c r="CW30" i="1"/>
  <c r="CR30" i="1"/>
  <c r="CV30" i="1" s="1"/>
  <c r="CQ30" i="1"/>
  <c r="CP30" i="1"/>
  <c r="CH30" i="1" s="1"/>
  <c r="CN30" i="1"/>
  <c r="CG30" i="1"/>
  <c r="CK30" i="1" s="1"/>
  <c r="BZ30" i="1"/>
  <c r="BU30" i="1"/>
  <c r="BO30" i="1"/>
  <c r="BL30" i="1"/>
  <c r="BH30" i="1"/>
  <c r="BF30" i="1"/>
  <c r="AW30" i="1"/>
  <c r="AT30" i="1"/>
  <c r="AR30" i="1"/>
  <c r="DU30" i="1" s="1"/>
  <c r="AQ30" i="1"/>
  <c r="AN30" i="1"/>
  <c r="AB30" i="1"/>
  <c r="Z30" i="1"/>
  <c r="AM30" i="1" s="1"/>
  <c r="V30" i="1"/>
  <c r="S30" i="1"/>
  <c r="T30" i="1" s="1"/>
  <c r="BT30" i="1" s="1"/>
  <c r="Q30" i="1"/>
  <c r="P30" i="1"/>
  <c r="M30" i="1"/>
  <c r="C30" i="1"/>
  <c r="DM29" i="1"/>
  <c r="DN29" i="1" s="1"/>
  <c r="CR29" i="1"/>
  <c r="CS29" i="1" s="1"/>
  <c r="CQ29" i="1"/>
  <c r="CP29" i="1"/>
  <c r="CN29" i="1"/>
  <c r="CH29" i="1"/>
  <c r="CG29" i="1"/>
  <c r="CF29" i="1"/>
  <c r="DV29" i="1" s="1"/>
  <c r="BZ29" i="1"/>
  <c r="BU29" i="1"/>
  <c r="CX29" i="1" s="1"/>
  <c r="BO29" i="1"/>
  <c r="BL29" i="1"/>
  <c r="BH29" i="1"/>
  <c r="BG29" i="1"/>
  <c r="BF29" i="1"/>
  <c r="AW29" i="1"/>
  <c r="AT29" i="1"/>
  <c r="AR29" i="1"/>
  <c r="DU29" i="1" s="1"/>
  <c r="AQ29" i="1"/>
  <c r="AN29" i="1"/>
  <c r="AB29" i="1"/>
  <c r="AA29" i="1"/>
  <c r="V29" i="1"/>
  <c r="S29" i="1"/>
  <c r="T29" i="1" s="1"/>
  <c r="BT29" i="1" s="1"/>
  <c r="Q29" i="1"/>
  <c r="P29" i="1"/>
  <c r="M29" i="1"/>
  <c r="C29" i="1"/>
  <c r="DM28" i="1"/>
  <c r="DN28" i="1" s="1"/>
  <c r="CW28" i="1"/>
  <c r="CS28" i="1"/>
  <c r="CR28" i="1"/>
  <c r="CV28" i="1" s="1"/>
  <c r="CQ28" i="1"/>
  <c r="CF28" i="1" s="1"/>
  <c r="BG28" i="1" s="1"/>
  <c r="CP28" i="1"/>
  <c r="CN28" i="1"/>
  <c r="CH28" i="1"/>
  <c r="CG28" i="1"/>
  <c r="CK28" i="1" s="1"/>
  <c r="BZ28" i="1"/>
  <c r="BU28" i="1"/>
  <c r="BO28" i="1"/>
  <c r="BL28" i="1"/>
  <c r="BH28" i="1"/>
  <c r="BF28" i="1"/>
  <c r="AW28" i="1"/>
  <c r="AT28" i="1"/>
  <c r="AR28" i="1"/>
  <c r="AQ28" i="1"/>
  <c r="AA28" i="1" s="1"/>
  <c r="AN28" i="1"/>
  <c r="AB28" i="1"/>
  <c r="V28" i="1"/>
  <c r="S28" i="1"/>
  <c r="Q28" i="1"/>
  <c r="P28" i="1"/>
  <c r="M28" i="1"/>
  <c r="C28" i="1"/>
  <c r="DM27" i="1"/>
  <c r="DN27" i="1" s="1"/>
  <c r="CR27" i="1"/>
  <c r="CS27" i="1" s="1"/>
  <c r="CQ27" i="1"/>
  <c r="CF27" i="1" s="1"/>
  <c r="CP27" i="1"/>
  <c r="CN27" i="1"/>
  <c r="CH27" i="1"/>
  <c r="CG27" i="1"/>
  <c r="CL27" i="1" s="1"/>
  <c r="BZ27" i="1"/>
  <c r="BU27" i="1"/>
  <c r="CX27" i="1" s="1"/>
  <c r="BO27" i="1"/>
  <c r="BL27" i="1"/>
  <c r="BH27" i="1"/>
  <c r="BF27" i="1"/>
  <c r="AW27" i="1"/>
  <c r="AT27" i="1"/>
  <c r="AR27" i="1"/>
  <c r="AQ27" i="1"/>
  <c r="AA27" i="1" s="1"/>
  <c r="AN27" i="1"/>
  <c r="AB27" i="1"/>
  <c r="Z27" i="1"/>
  <c r="V27" i="1"/>
  <c r="S27" i="1"/>
  <c r="Q27" i="1"/>
  <c r="P27" i="1"/>
  <c r="M27" i="1"/>
  <c r="C27" i="1"/>
  <c r="DN26" i="1"/>
  <c r="DM26" i="1"/>
  <c r="CW26" i="1"/>
  <c r="CR26" i="1"/>
  <c r="CV26" i="1" s="1"/>
  <c r="CQ26" i="1"/>
  <c r="CP26" i="1"/>
  <c r="CN26" i="1"/>
  <c r="CH26" i="1"/>
  <c r="CL26" i="1" s="1"/>
  <c r="CG26" i="1"/>
  <c r="CK26" i="1" s="1"/>
  <c r="CF26" i="1"/>
  <c r="BZ26" i="1"/>
  <c r="BU26" i="1"/>
  <c r="BO26" i="1"/>
  <c r="BL26" i="1"/>
  <c r="BH26" i="1"/>
  <c r="BG26" i="1"/>
  <c r="BF26" i="1"/>
  <c r="AW26" i="1"/>
  <c r="AT26" i="1"/>
  <c r="AR26" i="1"/>
  <c r="DU26" i="1" s="1"/>
  <c r="AQ26" i="1"/>
  <c r="AN26" i="1"/>
  <c r="AB26" i="1"/>
  <c r="AA26" i="1"/>
  <c r="V26" i="1"/>
  <c r="S26" i="1"/>
  <c r="T26" i="1" s="1"/>
  <c r="BT26" i="1" s="1"/>
  <c r="Q26" i="1"/>
  <c r="P26" i="1"/>
  <c r="M26" i="1"/>
  <c r="C26" i="1"/>
  <c r="DM25" i="1"/>
  <c r="DN25" i="1" s="1"/>
  <c r="CW25" i="1"/>
  <c r="CR25" i="1"/>
  <c r="CS25" i="1" s="1"/>
  <c r="CQ25" i="1"/>
  <c r="CP25" i="1"/>
  <c r="CH25" i="1" s="1"/>
  <c r="CN25" i="1"/>
  <c r="CG25" i="1"/>
  <c r="CL25" i="1" s="1"/>
  <c r="BZ25" i="1"/>
  <c r="BU25" i="1"/>
  <c r="BO25" i="1"/>
  <c r="BL25" i="1"/>
  <c r="BH25" i="1"/>
  <c r="BF25" i="1"/>
  <c r="AW25" i="1"/>
  <c r="AT25" i="1"/>
  <c r="AR25" i="1"/>
  <c r="AQ25" i="1"/>
  <c r="AN25" i="1"/>
  <c r="AB25" i="1"/>
  <c r="Z25" i="1"/>
  <c r="V25" i="1"/>
  <c r="T25" i="1"/>
  <c r="BT25" i="1" s="1"/>
  <c r="S25" i="1"/>
  <c r="Q25" i="1"/>
  <c r="P25" i="1"/>
  <c r="M25" i="1"/>
  <c r="C25" i="1"/>
  <c r="DN24" i="1"/>
  <c r="DM24" i="1"/>
  <c r="CW24" i="1"/>
  <c r="CR24" i="1"/>
  <c r="CV24" i="1" s="1"/>
  <c r="CQ24" i="1"/>
  <c r="CP24" i="1"/>
  <c r="CN24" i="1"/>
  <c r="CH24" i="1"/>
  <c r="CL24" i="1" s="1"/>
  <c r="CG24" i="1"/>
  <c r="CK24" i="1" s="1"/>
  <c r="CF24" i="1"/>
  <c r="BZ24" i="1"/>
  <c r="BU24" i="1"/>
  <c r="BO24" i="1"/>
  <c r="BL24" i="1"/>
  <c r="BH24" i="1"/>
  <c r="BG24" i="1"/>
  <c r="BF24" i="1"/>
  <c r="AW24" i="1"/>
  <c r="AT24" i="1"/>
  <c r="AR24" i="1"/>
  <c r="DU24" i="1" s="1"/>
  <c r="AQ24" i="1"/>
  <c r="AN24" i="1"/>
  <c r="AB24" i="1"/>
  <c r="AA24" i="1"/>
  <c r="V24" i="1"/>
  <c r="S24" i="1"/>
  <c r="T24" i="1" s="1"/>
  <c r="BT24" i="1" s="1"/>
  <c r="Q24" i="1"/>
  <c r="P24" i="1"/>
  <c r="M24" i="1"/>
  <c r="C24" i="1"/>
  <c r="DM23" i="1"/>
  <c r="DN23" i="1" s="1"/>
  <c r="CS23" i="1"/>
  <c r="CR23" i="1"/>
  <c r="CV23" i="1" s="1"/>
  <c r="CQ23" i="1"/>
  <c r="CF23" i="1" s="1"/>
  <c r="CP23" i="1"/>
  <c r="CN23" i="1"/>
  <c r="CH23" i="1"/>
  <c r="CG23" i="1"/>
  <c r="CK23" i="1" s="1"/>
  <c r="BZ23" i="1"/>
  <c r="BU23" i="1"/>
  <c r="BO23" i="1"/>
  <c r="BL23" i="1"/>
  <c r="BH23" i="1"/>
  <c r="BF23" i="1"/>
  <c r="AW23" i="1"/>
  <c r="AT23" i="1"/>
  <c r="AR23" i="1"/>
  <c r="AM23" i="1" s="1"/>
  <c r="AQ23" i="1"/>
  <c r="AN23" i="1"/>
  <c r="AC23" i="1"/>
  <c r="AB23" i="1"/>
  <c r="AA23" i="1"/>
  <c r="AE23" i="1" s="1"/>
  <c r="Y23" i="1"/>
  <c r="V23" i="1"/>
  <c r="S23" i="1"/>
  <c r="T23" i="1" s="1"/>
  <c r="BT23" i="1" s="1"/>
  <c r="Q23" i="1"/>
  <c r="P23" i="1"/>
  <c r="M23" i="1"/>
  <c r="K23" i="1" s="1"/>
  <c r="C23" i="1"/>
  <c r="DM22" i="1"/>
  <c r="DN22" i="1" s="1"/>
  <c r="CW22" i="1"/>
  <c r="CR22" i="1"/>
  <c r="CS22" i="1" s="1"/>
  <c r="CQ22" i="1"/>
  <c r="CP22" i="1"/>
  <c r="CH22" i="1" s="1"/>
  <c r="CN22" i="1"/>
  <c r="CG22" i="1"/>
  <c r="CL22" i="1" s="1"/>
  <c r="BZ22" i="1"/>
  <c r="BU22" i="1"/>
  <c r="BO22" i="1"/>
  <c r="BL22" i="1"/>
  <c r="BH22" i="1"/>
  <c r="BF22" i="1"/>
  <c r="AW22" i="1"/>
  <c r="AT22" i="1"/>
  <c r="AR22" i="1"/>
  <c r="AQ22" i="1"/>
  <c r="AN22" i="1"/>
  <c r="AB22" i="1"/>
  <c r="Z22" i="1"/>
  <c r="V22" i="1"/>
  <c r="T22" i="1"/>
  <c r="BT22" i="1" s="1"/>
  <c r="S22" i="1"/>
  <c r="Q22" i="1"/>
  <c r="P22" i="1"/>
  <c r="M22" i="1"/>
  <c r="C22" i="1"/>
  <c r="DN21" i="1"/>
  <c r="DM21" i="1"/>
  <c r="CW21" i="1"/>
  <c r="CR21" i="1"/>
  <c r="CV21" i="1" s="1"/>
  <c r="CQ21" i="1"/>
  <c r="CP21" i="1"/>
  <c r="CN21" i="1"/>
  <c r="CH21" i="1"/>
  <c r="CL21" i="1" s="1"/>
  <c r="CG21" i="1"/>
  <c r="CK21" i="1" s="1"/>
  <c r="CF21" i="1"/>
  <c r="BZ21" i="1"/>
  <c r="BU21" i="1"/>
  <c r="BO21" i="1"/>
  <c r="BL21" i="1"/>
  <c r="BH21" i="1"/>
  <c r="BG21" i="1"/>
  <c r="BF21" i="1"/>
  <c r="AW21" i="1"/>
  <c r="AT21" i="1"/>
  <c r="AR21" i="1"/>
  <c r="DU21" i="1" s="1"/>
  <c r="AQ21" i="1"/>
  <c r="AN21" i="1"/>
  <c r="AB21" i="1"/>
  <c r="AA21" i="1"/>
  <c r="V21" i="1"/>
  <c r="S21" i="1"/>
  <c r="T21" i="1" s="1"/>
  <c r="BT21" i="1" s="1"/>
  <c r="Q21" i="1"/>
  <c r="P21" i="1"/>
  <c r="M21" i="1"/>
  <c r="K21" i="1" s="1"/>
  <c r="C21" i="1"/>
  <c r="DM20" i="1"/>
  <c r="DN20" i="1" s="1"/>
  <c r="CW20" i="1"/>
  <c r="CS20" i="1"/>
  <c r="CR20" i="1"/>
  <c r="CV20" i="1" s="1"/>
  <c r="CQ20" i="1"/>
  <c r="CP20" i="1"/>
  <c r="CN20" i="1"/>
  <c r="CH20" i="1"/>
  <c r="CG20" i="1"/>
  <c r="CK20" i="1" s="1"/>
  <c r="CF20" i="1"/>
  <c r="BZ20" i="1"/>
  <c r="BU20" i="1"/>
  <c r="BO20" i="1"/>
  <c r="BL20" i="1"/>
  <c r="BH20" i="1"/>
  <c r="BG20" i="1"/>
  <c r="BF20" i="1"/>
  <c r="AW20" i="1"/>
  <c r="AT20" i="1"/>
  <c r="AR20" i="1"/>
  <c r="AQ20" i="1"/>
  <c r="AN20" i="1"/>
  <c r="AB20" i="1"/>
  <c r="AA20" i="1"/>
  <c r="V20" i="1"/>
  <c r="S20" i="1"/>
  <c r="Q20" i="1"/>
  <c r="P20" i="1"/>
  <c r="M20" i="1"/>
  <c r="C20" i="1"/>
  <c r="DM19" i="1"/>
  <c r="DN19" i="1" s="1"/>
  <c r="CW19" i="1"/>
  <c r="CV19" i="1"/>
  <c r="CR19" i="1"/>
  <c r="CS19" i="1" s="1"/>
  <c r="CQ19" i="1"/>
  <c r="CP19" i="1"/>
  <c r="CN19" i="1"/>
  <c r="CG19" i="1"/>
  <c r="CI19" i="1" s="1"/>
  <c r="BZ19" i="1"/>
  <c r="BU19" i="1"/>
  <c r="BO19" i="1"/>
  <c r="BL19" i="1"/>
  <c r="BH19" i="1"/>
  <c r="BF19" i="1"/>
  <c r="AW19" i="1"/>
  <c r="AT19" i="1"/>
  <c r="AR19" i="1"/>
  <c r="Z19" i="1" s="1"/>
  <c r="AM19" i="1" s="1"/>
  <c r="AQ19" i="1"/>
  <c r="AN19" i="1"/>
  <c r="AB19" i="1"/>
  <c r="DU19" i="1" s="1"/>
  <c r="V19" i="1"/>
  <c r="T19" i="1"/>
  <c r="BT19" i="1" s="1"/>
  <c r="S19" i="1"/>
  <c r="Q19" i="1"/>
  <c r="P19" i="1"/>
  <c r="M19" i="1"/>
  <c r="K19" i="1" s="1"/>
  <c r="C19" i="1"/>
  <c r="DM18" i="1"/>
  <c r="DN18" i="1" s="1"/>
  <c r="CW18" i="1"/>
  <c r="CR18" i="1"/>
  <c r="CS18" i="1" s="1"/>
  <c r="CQ18" i="1"/>
  <c r="CP18" i="1"/>
  <c r="CN18" i="1"/>
  <c r="CI18" i="1"/>
  <c r="CG18" i="1"/>
  <c r="BZ18" i="1"/>
  <c r="BU18" i="1"/>
  <c r="BO18" i="1"/>
  <c r="BL18" i="1"/>
  <c r="BH18" i="1"/>
  <c r="BF18" i="1"/>
  <c r="AW18" i="1"/>
  <c r="AT18" i="1"/>
  <c r="AR18" i="1"/>
  <c r="DU18" i="1" s="1"/>
  <c r="AQ18" i="1"/>
  <c r="AN18" i="1"/>
  <c r="AB18" i="1"/>
  <c r="V18" i="1"/>
  <c r="S18" i="1"/>
  <c r="T18" i="1" s="1"/>
  <c r="BT18" i="1" s="1"/>
  <c r="Q18" i="1"/>
  <c r="P18" i="1"/>
  <c r="M18" i="1"/>
  <c r="C18" i="1"/>
  <c r="DV18" i="2" l="1"/>
  <c r="BG18" i="2"/>
  <c r="DV25" i="2"/>
  <c r="BG25" i="2"/>
  <c r="DV20" i="2"/>
  <c r="BG20" i="2"/>
  <c r="DV23" i="2"/>
  <c r="BG23" i="2"/>
  <c r="DV22" i="2"/>
  <c r="BG22" i="2"/>
  <c r="DU19" i="2"/>
  <c r="T18" i="2"/>
  <c r="BT18" i="2" s="1"/>
  <c r="DU18" i="2"/>
  <c r="CL18" i="2"/>
  <c r="T20" i="2"/>
  <c r="BT20" i="2" s="1"/>
  <c r="DU20" i="2"/>
  <c r="CL20" i="2"/>
  <c r="T22" i="2"/>
  <c r="BT22" i="2" s="1"/>
  <c r="DU22" i="2"/>
  <c r="CL22" i="2"/>
  <c r="T23" i="2"/>
  <c r="BT23" i="2" s="1"/>
  <c r="DU23" i="2"/>
  <c r="CL23" i="2"/>
  <c r="T25" i="2"/>
  <c r="BT25" i="2" s="1"/>
  <c r="DU25" i="2"/>
  <c r="CL25" i="2"/>
  <c r="DV26" i="2"/>
  <c r="BG26" i="2"/>
  <c r="T28" i="2"/>
  <c r="BT28" i="2" s="1"/>
  <c r="DV29" i="2"/>
  <c r="BG29" i="2"/>
  <c r="DV36" i="2"/>
  <c r="BG36" i="2"/>
  <c r="DV41" i="2"/>
  <c r="BG41" i="2"/>
  <c r="DV27" i="2"/>
  <c r="BG27" i="2"/>
  <c r="DV31" i="2"/>
  <c r="BG31" i="2"/>
  <c r="DV40" i="2"/>
  <c r="BG40" i="2"/>
  <c r="DV43" i="2"/>
  <c r="BG43" i="2"/>
  <c r="CS51" i="2"/>
  <c r="T26" i="2"/>
  <c r="BT26" i="2" s="1"/>
  <c r="DU26" i="2"/>
  <c r="CL26" i="2"/>
  <c r="DU27" i="2"/>
  <c r="CL27" i="2"/>
  <c r="T29" i="2"/>
  <c r="BT29" i="2" s="1"/>
  <c r="DU29" i="2"/>
  <c r="CL29" i="2"/>
  <c r="T31" i="2"/>
  <c r="BT31" i="2" s="1"/>
  <c r="DU31" i="2"/>
  <c r="CL31" i="2"/>
  <c r="CS33" i="2"/>
  <c r="DU34" i="2"/>
  <c r="AA34" i="2"/>
  <c r="T36" i="2"/>
  <c r="BT36" i="2" s="1"/>
  <c r="DU36" i="2"/>
  <c r="CL36" i="2"/>
  <c r="DU39" i="2"/>
  <c r="AA39" i="2"/>
  <c r="DU40" i="2"/>
  <c r="CL40" i="2"/>
  <c r="T41" i="2"/>
  <c r="BT41" i="2" s="1"/>
  <c r="DU41" i="2"/>
  <c r="CL41" i="2"/>
  <c r="T43" i="2"/>
  <c r="BT43" i="2" s="1"/>
  <c r="DU43" i="2"/>
  <c r="CL43" i="2"/>
  <c r="T45" i="2"/>
  <c r="BT45" i="2" s="1"/>
  <c r="DU45" i="2"/>
  <c r="AA46" i="2"/>
  <c r="AE47" i="2"/>
  <c r="DU47" i="2"/>
  <c r="T48" i="2"/>
  <c r="BT48" i="2" s="1"/>
  <c r="AE48" i="2"/>
  <c r="DU48" i="2"/>
  <c r="T49" i="2"/>
  <c r="BT49" i="2" s="1"/>
  <c r="DU49" i="2"/>
  <c r="T50" i="2"/>
  <c r="BT50" i="2" s="1"/>
  <c r="AE50" i="2"/>
  <c r="DU50" i="2"/>
  <c r="W19" i="2"/>
  <c r="BN19" i="2"/>
  <c r="W21" i="2"/>
  <c r="BN21" i="2"/>
  <c r="W24" i="2"/>
  <c r="BN24" i="2"/>
  <c r="Z18" i="2"/>
  <c r="CI18" i="2"/>
  <c r="CJ18" i="2" s="1"/>
  <c r="Y19" i="2"/>
  <c r="AC19" i="2"/>
  <c r="AE19" i="2"/>
  <c r="CF19" i="2"/>
  <c r="CL19" i="2"/>
  <c r="CS19" i="2"/>
  <c r="Z20" i="2"/>
  <c r="CI20" i="2"/>
  <c r="CJ20" i="2" s="1"/>
  <c r="Y21" i="2"/>
  <c r="AC21" i="2"/>
  <c r="AE21" i="2"/>
  <c r="CF21" i="2"/>
  <c r="CL21" i="2"/>
  <c r="CS21" i="2"/>
  <c r="Z22" i="2"/>
  <c r="CI22" i="2"/>
  <c r="CJ22" i="2" s="1"/>
  <c r="Z23" i="2"/>
  <c r="CI23" i="2"/>
  <c r="CJ23" i="2" s="1"/>
  <c r="Y24" i="2"/>
  <c r="AC24" i="2"/>
  <c r="AE24" i="2"/>
  <c r="CF24" i="2"/>
  <c r="CL24" i="2"/>
  <c r="CS24" i="2"/>
  <c r="Z25" i="2"/>
  <c r="CI25" i="2"/>
  <c r="CJ25" i="2" s="1"/>
  <c r="Z26" i="2"/>
  <c r="T27" i="2"/>
  <c r="BT27" i="2" s="1"/>
  <c r="W34" i="2"/>
  <c r="BN34" i="2"/>
  <c r="W39" i="2"/>
  <c r="BN39" i="2"/>
  <c r="AD19" i="2"/>
  <c r="BM19" i="2"/>
  <c r="CI19" i="2"/>
  <c r="CJ19" i="2" s="1"/>
  <c r="AD21" i="2"/>
  <c r="BM21" i="2"/>
  <c r="CI21" i="2"/>
  <c r="CJ21" i="2" s="1"/>
  <c r="AD24" i="2"/>
  <c r="BM24" i="2"/>
  <c r="CI24" i="2"/>
  <c r="CJ24" i="2" s="1"/>
  <c r="W28" i="2"/>
  <c r="BN28" i="2"/>
  <c r="W30" i="2"/>
  <c r="BN30" i="2"/>
  <c r="W32" i="2"/>
  <c r="BN32" i="2"/>
  <c r="W35" i="2"/>
  <c r="BN35" i="2"/>
  <c r="W37" i="2"/>
  <c r="BN37" i="2"/>
  <c r="CI26" i="2"/>
  <c r="CJ26" i="2" s="1"/>
  <c r="Z27" i="2"/>
  <c r="CI27" i="2"/>
  <c r="CJ27" i="2" s="1"/>
  <c r="Y28" i="2"/>
  <c r="AC28" i="2"/>
  <c r="AE28" i="2"/>
  <c r="CF28" i="2"/>
  <c r="CL28" i="2"/>
  <c r="CS28" i="2"/>
  <c r="Z29" i="2"/>
  <c r="CI29" i="2"/>
  <c r="CJ29" i="2" s="1"/>
  <c r="Y30" i="2"/>
  <c r="AC30" i="2"/>
  <c r="AE30" i="2"/>
  <c r="CF30" i="2"/>
  <c r="CL30" i="2"/>
  <c r="CS30" i="2"/>
  <c r="Z31" i="2"/>
  <c r="CI31" i="2"/>
  <c r="CJ31" i="2" s="1"/>
  <c r="Y32" i="2"/>
  <c r="AC32" i="2"/>
  <c r="AE32" i="2"/>
  <c r="CF32" i="2"/>
  <c r="CL32" i="2"/>
  <c r="CS32" i="2"/>
  <c r="Z33" i="2"/>
  <c r="CI33" i="2"/>
  <c r="CJ33" i="2" s="1"/>
  <c r="Y34" i="2"/>
  <c r="AC34" i="2"/>
  <c r="AE34" i="2"/>
  <c r="CF34" i="2"/>
  <c r="CL34" i="2"/>
  <c r="CS34" i="2"/>
  <c r="Y35" i="2"/>
  <c r="AC35" i="2"/>
  <c r="AE35" i="2"/>
  <c r="CF35" i="2"/>
  <c r="CL35" i="2"/>
  <c r="CS35" i="2"/>
  <c r="Z36" i="2"/>
  <c r="CI36" i="2"/>
  <c r="CJ36" i="2" s="1"/>
  <c r="Y37" i="2"/>
  <c r="AC37" i="2"/>
  <c r="AE37" i="2"/>
  <c r="CF37" i="2"/>
  <c r="CL37" i="2"/>
  <c r="CS37" i="2"/>
  <c r="Y39" i="2"/>
  <c r="AC39" i="2"/>
  <c r="AE39" i="2"/>
  <c r="CK39" i="2"/>
  <c r="CV39" i="2"/>
  <c r="T40" i="2"/>
  <c r="BT40" i="2" s="1"/>
  <c r="AD28" i="2"/>
  <c r="BM28" i="2"/>
  <c r="CI28" i="2"/>
  <c r="CJ28" i="2" s="1"/>
  <c r="AD30" i="2"/>
  <c r="BM30" i="2"/>
  <c r="CI30" i="2"/>
  <c r="CJ30" i="2" s="1"/>
  <c r="AD32" i="2"/>
  <c r="BM32" i="2"/>
  <c r="CI32" i="2"/>
  <c r="CJ32" i="2" s="1"/>
  <c r="AD34" i="2"/>
  <c r="BM34" i="2"/>
  <c r="CI34" i="2"/>
  <c r="CJ34" i="2" s="1"/>
  <c r="AD35" i="2"/>
  <c r="BM35" i="2"/>
  <c r="CI35" i="2"/>
  <c r="CJ35" i="2" s="1"/>
  <c r="AD37" i="2"/>
  <c r="BM37" i="2"/>
  <c r="CI37" i="2"/>
  <c r="CJ37" i="2" s="1"/>
  <c r="AD39" i="2"/>
  <c r="BM39" i="2"/>
  <c r="CH39" i="2"/>
  <c r="CL39" i="2" s="1"/>
  <c r="CF39" i="2"/>
  <c r="W42" i="2"/>
  <c r="BN42" i="2"/>
  <c r="W44" i="2"/>
  <c r="BN44" i="2"/>
  <c r="Z40" i="2"/>
  <c r="CI40" i="2"/>
  <c r="CJ40" i="2" s="1"/>
  <c r="Z41" i="2"/>
  <c r="CI41" i="2"/>
  <c r="CJ41" i="2" s="1"/>
  <c r="Y42" i="2"/>
  <c r="AC42" i="2"/>
  <c r="AE42" i="2"/>
  <c r="CF42" i="2"/>
  <c r="CL42" i="2"/>
  <c r="CS42" i="2"/>
  <c r="Z43" i="2"/>
  <c r="CI43" i="2"/>
  <c r="CJ43" i="2" s="1"/>
  <c r="Y44" i="2"/>
  <c r="AC44" i="2"/>
  <c r="AE44" i="2"/>
  <c r="CF44" i="2"/>
  <c r="CL44" i="2"/>
  <c r="CS44" i="2"/>
  <c r="Z45" i="2"/>
  <c r="AE46" i="2"/>
  <c r="AD42" i="2"/>
  <c r="BM42" i="2"/>
  <c r="CI42" i="2"/>
  <c r="CJ42" i="2" s="1"/>
  <c r="AD44" i="2"/>
  <c r="BM44" i="2"/>
  <c r="CI44" i="2"/>
  <c r="CJ44" i="2" s="1"/>
  <c r="DV45" i="2"/>
  <c r="W49" i="2"/>
  <c r="BN49" i="2"/>
  <c r="BM49" i="2" s="1"/>
  <c r="CL45" i="2"/>
  <c r="CS45" i="2"/>
  <c r="AD46" i="2"/>
  <c r="AM46" i="2"/>
  <c r="CI46" i="2"/>
  <c r="CJ46" i="2" s="1"/>
  <c r="CK46" i="2"/>
  <c r="CV46" i="2"/>
  <c r="AD47" i="2"/>
  <c r="AM47" i="2"/>
  <c r="CI47" i="2"/>
  <c r="CJ47" i="2" s="1"/>
  <c r="CK47" i="2"/>
  <c r="CV47" i="2"/>
  <c r="AD48" i="2"/>
  <c r="AM48" i="2"/>
  <c r="CI48" i="2"/>
  <c r="CJ48" i="2" s="1"/>
  <c r="CK48" i="2"/>
  <c r="CV48" i="2"/>
  <c r="Y49" i="2"/>
  <c r="AC49" i="2"/>
  <c r="AE49" i="2"/>
  <c r="CF49" i="2"/>
  <c r="CL49" i="2"/>
  <c r="CS49" i="2"/>
  <c r="AD50" i="2"/>
  <c r="AM50" i="2"/>
  <c r="CI50" i="2"/>
  <c r="CJ50" i="2" s="1"/>
  <c r="CK50" i="2"/>
  <c r="CV50" i="2"/>
  <c r="Z51" i="2"/>
  <c r="CI51" i="2"/>
  <c r="CJ51" i="2" s="1"/>
  <c r="CI45" i="2"/>
  <c r="CJ45" i="2" s="1"/>
  <c r="Y46" i="2"/>
  <c r="AC46" i="2"/>
  <c r="CF46" i="2"/>
  <c r="Y47" i="2"/>
  <c r="AC47" i="2"/>
  <c r="CF47" i="2"/>
  <c r="Y48" i="2"/>
  <c r="AC48" i="2"/>
  <c r="CF48" i="2"/>
  <c r="AD49" i="2"/>
  <c r="CI49" i="2"/>
  <c r="CJ49" i="2" s="1"/>
  <c r="Y50" i="2"/>
  <c r="AC50" i="2"/>
  <c r="CF50" i="2"/>
  <c r="DV33" i="1"/>
  <c r="BG33" i="1"/>
  <c r="DV47" i="1"/>
  <c r="BG47" i="1"/>
  <c r="DV23" i="1"/>
  <c r="BG23" i="1"/>
  <c r="DV27" i="1"/>
  <c r="BG27" i="1"/>
  <c r="BN19" i="1"/>
  <c r="W19" i="1"/>
  <c r="DV34" i="1"/>
  <c r="BG34" i="1"/>
  <c r="BN40" i="1"/>
  <c r="W40" i="1"/>
  <c r="AA18" i="1"/>
  <c r="AA19" i="1"/>
  <c r="T20" i="1"/>
  <c r="BT20" i="1" s="1"/>
  <c r="DU20" i="1"/>
  <c r="CL20" i="1"/>
  <c r="AE27" i="1"/>
  <c r="CS43" i="1"/>
  <c r="AD46" i="1"/>
  <c r="DU46" i="1"/>
  <c r="T47" i="1"/>
  <c r="BT47" i="1" s="1"/>
  <c r="Y47" i="1"/>
  <c r="AM47" i="1"/>
  <c r="BN47" i="1" s="1"/>
  <c r="CS21" i="1"/>
  <c r="DU22" i="1"/>
  <c r="AA22" i="1"/>
  <c r="CL23" i="1"/>
  <c r="CS24" i="1"/>
  <c r="DU25" i="1"/>
  <c r="AA25" i="1"/>
  <c r="CS26" i="1"/>
  <c r="T27" i="1"/>
  <c r="BT27" i="1" s="1"/>
  <c r="Y27" i="1"/>
  <c r="DU27" i="1"/>
  <c r="T28" i="1"/>
  <c r="BT28" i="1" s="1"/>
  <c r="DU28" i="1"/>
  <c r="CL28" i="1"/>
  <c r="Z29" i="1"/>
  <c r="CL29" i="1"/>
  <c r="AA30" i="1"/>
  <c r="CS31" i="1"/>
  <c r="T33" i="1"/>
  <c r="BT33" i="1" s="1"/>
  <c r="DU33" i="1"/>
  <c r="CL33" i="1"/>
  <c r="T34" i="1"/>
  <c r="BT34" i="1" s="1"/>
  <c r="DU34" i="1"/>
  <c r="CL34" i="1"/>
  <c r="CS38" i="1"/>
  <c r="CF39" i="1"/>
  <c r="CS39" i="1"/>
  <c r="AA40" i="1"/>
  <c r="CL41" i="1"/>
  <c r="CL42" i="1"/>
  <c r="AD47" i="1"/>
  <c r="CL47" i="1"/>
  <c r="Z18" i="1"/>
  <c r="CK18" i="1"/>
  <c r="CV18" i="1"/>
  <c r="AE19" i="1"/>
  <c r="AC19" i="1"/>
  <c r="Y19" i="1"/>
  <c r="AD19" i="1"/>
  <c r="BM19" i="1"/>
  <c r="CH19" i="1"/>
  <c r="CJ19" i="1" s="1"/>
  <c r="CF19" i="1"/>
  <c r="AE22" i="1"/>
  <c r="AE25" i="1"/>
  <c r="W30" i="1"/>
  <c r="BN30" i="1"/>
  <c r="CH18" i="1"/>
  <c r="CL18" i="1" s="1"/>
  <c r="CF18" i="1"/>
  <c r="CL19" i="1"/>
  <c r="CK19" i="1"/>
  <c r="BN23" i="1"/>
  <c r="BM23" i="1" s="1"/>
  <c r="W23" i="1"/>
  <c r="BM30" i="1"/>
  <c r="BN32" i="1"/>
  <c r="BM32" i="1" s="1"/>
  <c r="W32" i="1"/>
  <c r="DV20" i="1"/>
  <c r="DV21" i="1"/>
  <c r="AD22" i="1"/>
  <c r="AM22" i="1"/>
  <c r="CI22" i="1"/>
  <c r="CJ22" i="1" s="1"/>
  <c r="CK22" i="1"/>
  <c r="CV22" i="1"/>
  <c r="DU23" i="1"/>
  <c r="DV24" i="1"/>
  <c r="AD25" i="1"/>
  <c r="AM25" i="1"/>
  <c r="CI25" i="1"/>
  <c r="CJ25" i="1" s="1"/>
  <c r="CK25" i="1"/>
  <c r="CV25" i="1"/>
  <c r="DV26" i="1"/>
  <c r="AD27" i="1"/>
  <c r="AM27" i="1"/>
  <c r="CE27" i="1"/>
  <c r="CI27" i="1"/>
  <c r="CJ27" i="1" s="1"/>
  <c r="CK27" i="1"/>
  <c r="CM27" i="1"/>
  <c r="CV27" i="1"/>
  <c r="DV28" i="1"/>
  <c r="AD29" i="1"/>
  <c r="AM29" i="1"/>
  <c r="CE29" i="1"/>
  <c r="CI29" i="1"/>
  <c r="CJ29" i="1" s="1"/>
  <c r="CK29" i="1"/>
  <c r="CM29" i="1"/>
  <c r="CV29" i="1"/>
  <c r="Y30" i="1"/>
  <c r="AC30" i="1"/>
  <c r="AE30" i="1"/>
  <c r="CF30" i="1"/>
  <c r="CL30" i="1"/>
  <c r="CS30" i="1"/>
  <c r="CU46" i="1" s="1"/>
  <c r="Z31" i="1"/>
  <c r="CI31" i="1"/>
  <c r="CJ31" i="1" s="1"/>
  <c r="Y32" i="1"/>
  <c r="AC32" i="1"/>
  <c r="AE32" i="1"/>
  <c r="DU32" i="1"/>
  <c r="W37" i="1"/>
  <c r="BN37" i="1"/>
  <c r="DV42" i="1"/>
  <c r="BG42" i="1"/>
  <c r="Z20" i="1"/>
  <c r="CI20" i="1"/>
  <c r="CJ20" i="1" s="1"/>
  <c r="Z21" i="1"/>
  <c r="CI21" i="1"/>
  <c r="CJ21" i="1" s="1"/>
  <c r="Y22" i="1"/>
  <c r="AC22" i="1"/>
  <c r="CF22" i="1"/>
  <c r="AD23" i="1"/>
  <c r="CI23" i="1"/>
  <c r="CJ23" i="1" s="1"/>
  <c r="CM23" i="1"/>
  <c r="CE23" i="1" s="1"/>
  <c r="Z24" i="1"/>
  <c r="CI24" i="1"/>
  <c r="CJ24" i="1" s="1"/>
  <c r="Y25" i="1"/>
  <c r="AC25" i="1"/>
  <c r="CF25" i="1"/>
  <c r="Z26" i="1"/>
  <c r="CI26" i="1"/>
  <c r="CJ26" i="1" s="1"/>
  <c r="AC27" i="1"/>
  <c r="Z28" i="1"/>
  <c r="CI28" i="1"/>
  <c r="CJ28" i="1" s="1"/>
  <c r="AC29" i="1"/>
  <c r="AD30" i="1"/>
  <c r="CI30" i="1"/>
  <c r="CJ30" i="1" s="1"/>
  <c r="AD32" i="1"/>
  <c r="W36" i="1"/>
  <c r="BN36" i="1"/>
  <c r="BM36" i="1" s="1"/>
  <c r="DV39" i="1"/>
  <c r="BG39" i="1"/>
  <c r="CF32" i="1"/>
  <c r="CL32" i="1"/>
  <c r="CS32" i="1"/>
  <c r="Z33" i="1"/>
  <c r="CI33" i="1"/>
  <c r="CJ33" i="1" s="1"/>
  <c r="Z34" i="1"/>
  <c r="CI34" i="1"/>
  <c r="CJ34" i="1" s="1"/>
  <c r="Y36" i="1"/>
  <c r="AC36" i="1"/>
  <c r="AE36" i="1"/>
  <c r="CF36" i="1"/>
  <c r="CL36" i="1"/>
  <c r="CS36" i="1"/>
  <c r="Y37" i="1"/>
  <c r="AC37" i="1"/>
  <c r="AE37" i="1"/>
  <c r="CF37" i="1"/>
  <c r="CL37" i="1"/>
  <c r="CS37" i="1"/>
  <c r="Z38" i="1"/>
  <c r="CI38" i="1"/>
  <c r="CJ38" i="1" s="1"/>
  <c r="DU39" i="1"/>
  <c r="Z39" i="1"/>
  <c r="AE40" i="1"/>
  <c r="AC40" i="1"/>
  <c r="Y40" i="1"/>
  <c r="AD40" i="1"/>
  <c r="BM40" i="1"/>
  <c r="CH40" i="1"/>
  <c r="CJ40" i="1" s="1"/>
  <c r="CF40" i="1"/>
  <c r="DU41" i="1"/>
  <c r="Z41" i="1"/>
  <c r="DU42" i="1"/>
  <c r="Z42" i="1"/>
  <c r="DU43" i="1"/>
  <c r="Z43" i="1"/>
  <c r="DV43" i="1"/>
  <c r="CI32" i="1"/>
  <c r="CJ32" i="1" s="1"/>
  <c r="AD36" i="1"/>
  <c r="CI36" i="1"/>
  <c r="CJ36" i="1" s="1"/>
  <c r="AD37" i="1"/>
  <c r="BM37" i="1"/>
  <c r="CI37" i="1"/>
  <c r="CJ37" i="1" s="1"/>
  <c r="T39" i="1"/>
  <c r="BT39" i="1" s="1"/>
  <c r="CK40" i="1"/>
  <c r="CV40" i="1"/>
  <c r="T41" i="1"/>
  <c r="BT41" i="1" s="1"/>
  <c r="DV41" i="1"/>
  <c r="T42" i="1"/>
  <c r="BT42" i="1" s="1"/>
  <c r="T43" i="1"/>
  <c r="BT43" i="1" s="1"/>
  <c r="BM46" i="1"/>
  <c r="CI39" i="1"/>
  <c r="CJ39" i="1" s="1"/>
  <c r="CI41" i="1"/>
  <c r="CJ41" i="1" s="1"/>
  <c r="CI42" i="1"/>
  <c r="CJ42" i="1" s="1"/>
  <c r="CI43" i="1"/>
  <c r="CJ43" i="1" s="1"/>
  <c r="W46" i="1"/>
  <c r="AC46" i="1"/>
  <c r="CF46" i="1"/>
  <c r="CL46" i="1"/>
  <c r="CS46" i="1"/>
  <c r="BM47" i="1"/>
  <c r="CI47" i="1"/>
  <c r="CJ47" i="1" s="1"/>
  <c r="CM47" i="1"/>
  <c r="CE47" i="1" s="1"/>
  <c r="CV47" i="1"/>
  <c r="CI46" i="1"/>
  <c r="CJ46" i="1" s="1"/>
  <c r="W47" i="1"/>
  <c r="AC47" i="1"/>
  <c r="CJ39" i="2" l="1"/>
  <c r="DV48" i="2"/>
  <c r="BG48" i="2"/>
  <c r="CM48" i="2"/>
  <c r="DV46" i="2"/>
  <c r="BG46" i="2"/>
  <c r="CM46" i="2"/>
  <c r="CE46" i="2" s="1"/>
  <c r="BN48" i="2"/>
  <c r="BM48" i="2" s="1"/>
  <c r="W48" i="2"/>
  <c r="BN46" i="2"/>
  <c r="BM46" i="2" s="1"/>
  <c r="W46" i="2"/>
  <c r="AE45" i="2"/>
  <c r="AC45" i="2"/>
  <c r="Y45" i="2"/>
  <c r="AM45" i="2"/>
  <c r="AD45" i="2"/>
  <c r="AE43" i="2"/>
  <c r="AC43" i="2"/>
  <c r="Y43" i="2"/>
  <c r="AM43" i="2"/>
  <c r="AD43" i="2"/>
  <c r="AE41" i="2"/>
  <c r="AC41" i="2"/>
  <c r="Y41" i="2"/>
  <c r="AM41" i="2"/>
  <c r="AD41" i="2"/>
  <c r="AM40" i="2"/>
  <c r="AD40" i="2"/>
  <c r="AC40" i="2"/>
  <c r="AE40" i="2"/>
  <c r="Y40" i="2"/>
  <c r="CM37" i="2"/>
  <c r="DV37" i="2"/>
  <c r="BG37" i="2"/>
  <c r="CM35" i="2"/>
  <c r="DV35" i="2"/>
  <c r="BG35" i="2"/>
  <c r="CM34" i="2"/>
  <c r="DV34" i="2"/>
  <c r="BG34" i="2"/>
  <c r="CM32" i="2"/>
  <c r="DV32" i="2"/>
  <c r="BG32" i="2"/>
  <c r="CE32" i="2" s="1"/>
  <c r="CM30" i="2"/>
  <c r="DV30" i="2"/>
  <c r="BG30" i="2"/>
  <c r="CE30" i="2" s="1"/>
  <c r="CM28" i="2"/>
  <c r="DV28" i="2"/>
  <c r="BG28" i="2"/>
  <c r="AE26" i="2"/>
  <c r="AC26" i="2"/>
  <c r="Y26" i="2"/>
  <c r="AM26" i="2"/>
  <c r="AD26" i="2"/>
  <c r="AE25" i="2"/>
  <c r="AC25" i="2"/>
  <c r="Y25" i="2"/>
  <c r="AM25" i="2"/>
  <c r="AD25" i="2"/>
  <c r="AE23" i="2"/>
  <c r="AC23" i="2"/>
  <c r="Y23" i="2"/>
  <c r="AM23" i="2"/>
  <c r="AD23" i="2"/>
  <c r="AE22" i="2"/>
  <c r="AC22" i="2"/>
  <c r="Y22" i="2"/>
  <c r="AM22" i="2"/>
  <c r="AD22" i="2"/>
  <c r="AE20" i="2"/>
  <c r="AC20" i="2"/>
  <c r="Y20" i="2"/>
  <c r="AM20" i="2"/>
  <c r="AD20" i="2"/>
  <c r="AE18" i="2"/>
  <c r="AC18" i="2"/>
  <c r="Y18" i="2"/>
  <c r="AM18" i="2"/>
  <c r="AD18" i="2"/>
  <c r="DV50" i="2"/>
  <c r="BG50" i="2"/>
  <c r="CM50" i="2"/>
  <c r="CE50" i="2"/>
  <c r="DV47" i="2"/>
  <c r="BG47" i="2"/>
  <c r="CM47" i="2"/>
  <c r="CE47" i="2"/>
  <c r="AE51" i="2"/>
  <c r="AC51" i="2"/>
  <c r="Y51" i="2"/>
  <c r="AM51" i="2"/>
  <c r="AD51" i="2"/>
  <c r="BN50" i="2"/>
  <c r="BM50" i="2" s="1"/>
  <c r="W50" i="2"/>
  <c r="CM49" i="2"/>
  <c r="CE49" i="2" s="1"/>
  <c r="DV49" i="2"/>
  <c r="BG49" i="2"/>
  <c r="BN47" i="2"/>
  <c r="BM47" i="2" s="1"/>
  <c r="W47" i="2"/>
  <c r="CM44" i="2"/>
  <c r="DV44" i="2"/>
  <c r="BG44" i="2"/>
  <c r="CE44" i="2" s="1"/>
  <c r="CM42" i="2"/>
  <c r="DV42" i="2"/>
  <c r="BG42" i="2"/>
  <c r="CE42" i="2" s="1"/>
  <c r="DV39" i="2"/>
  <c r="CM39" i="2"/>
  <c r="CE39" i="2" s="1"/>
  <c r="BG39" i="2"/>
  <c r="AE36" i="2"/>
  <c r="AC36" i="2"/>
  <c r="Y36" i="2"/>
  <c r="AM36" i="2"/>
  <c r="AD36" i="2"/>
  <c r="AE33" i="2"/>
  <c r="AC33" i="2"/>
  <c r="Y33" i="2"/>
  <c r="AM33" i="2"/>
  <c r="AD33" i="2"/>
  <c r="AE31" i="2"/>
  <c r="AC31" i="2"/>
  <c r="Y31" i="2"/>
  <c r="AM31" i="2"/>
  <c r="AD31" i="2"/>
  <c r="AE29" i="2"/>
  <c r="AC29" i="2"/>
  <c r="Y29" i="2"/>
  <c r="AM29" i="2"/>
  <c r="AD29" i="2"/>
  <c r="AM27" i="2"/>
  <c r="AD27" i="2"/>
  <c r="AC27" i="2"/>
  <c r="AE27" i="2"/>
  <c r="Y27" i="2"/>
  <c r="CM24" i="2"/>
  <c r="DV24" i="2"/>
  <c r="BG24" i="2"/>
  <c r="CM21" i="2"/>
  <c r="CE21" i="2" s="1"/>
  <c r="DV21" i="2"/>
  <c r="BG21" i="2"/>
  <c r="CM19" i="2"/>
  <c r="DV19" i="2"/>
  <c r="BG19" i="2"/>
  <c r="CL40" i="1"/>
  <c r="AE29" i="1"/>
  <c r="Y29" i="1"/>
  <c r="DV46" i="1"/>
  <c r="CM46" i="1"/>
  <c r="BG46" i="1"/>
  <c r="AM43" i="1"/>
  <c r="AD43" i="1"/>
  <c r="AE43" i="1"/>
  <c r="Y43" i="1"/>
  <c r="AC43" i="1"/>
  <c r="AM41" i="1"/>
  <c r="AD41" i="1"/>
  <c r="AE41" i="1"/>
  <c r="Y41" i="1"/>
  <c r="AC41" i="1"/>
  <c r="CM37" i="1"/>
  <c r="DV37" i="1"/>
  <c r="BG37" i="1"/>
  <c r="CM36" i="1"/>
  <c r="DV36" i="1"/>
  <c r="BG36" i="1"/>
  <c r="CM32" i="1"/>
  <c r="DV32" i="1"/>
  <c r="BG32" i="1"/>
  <c r="CE32" i="1" s="1"/>
  <c r="AM28" i="1"/>
  <c r="AD28" i="1"/>
  <c r="AE28" i="1"/>
  <c r="AC28" i="1"/>
  <c r="Y28" i="1"/>
  <c r="AM26" i="1"/>
  <c r="AD26" i="1"/>
  <c r="AE26" i="1"/>
  <c r="AC26" i="1"/>
  <c r="Y26" i="1"/>
  <c r="AM24" i="1"/>
  <c r="AD24" i="1"/>
  <c r="AE24" i="1"/>
  <c r="AC24" i="1"/>
  <c r="Y24" i="1"/>
  <c r="AM21" i="1"/>
  <c r="AD21" i="1"/>
  <c r="AE21" i="1"/>
  <c r="AC21" i="1"/>
  <c r="Y21" i="1"/>
  <c r="AE31" i="1"/>
  <c r="AC31" i="1"/>
  <c r="Y31" i="1"/>
  <c r="AM31" i="1"/>
  <c r="AD31" i="1"/>
  <c r="BN29" i="1"/>
  <c r="BM29" i="1" s="1"/>
  <c r="W29" i="1"/>
  <c r="BN27" i="1"/>
  <c r="BM27" i="1" s="1"/>
  <c r="W27" i="1"/>
  <c r="BN22" i="1"/>
  <c r="BM22" i="1" s="1"/>
  <c r="W22" i="1"/>
  <c r="DV18" i="1"/>
  <c r="BG18" i="1"/>
  <c r="CJ18" i="1"/>
  <c r="AM42" i="1"/>
  <c r="AD42" i="1"/>
  <c r="AE42" i="1"/>
  <c r="Y42" i="1"/>
  <c r="AC42" i="1"/>
  <c r="DV40" i="1"/>
  <c r="BG40" i="1"/>
  <c r="CE40" i="1" s="1"/>
  <c r="CM40" i="1"/>
  <c r="AM39" i="1"/>
  <c r="AD39" i="1"/>
  <c r="AE39" i="1"/>
  <c r="Y39" i="1"/>
  <c r="AC39" i="1"/>
  <c r="AE38" i="1"/>
  <c r="AC38" i="1"/>
  <c r="Y38" i="1"/>
  <c r="AM38" i="1"/>
  <c r="AD38" i="1"/>
  <c r="AE34" i="1"/>
  <c r="AC34" i="1"/>
  <c r="Y34" i="1"/>
  <c r="AM34" i="1"/>
  <c r="AD34" i="1"/>
  <c r="AE33" i="1"/>
  <c r="AC33" i="1"/>
  <c r="Y33" i="1"/>
  <c r="AM33" i="1"/>
  <c r="AD33" i="1"/>
  <c r="DV25" i="1"/>
  <c r="BG25" i="1"/>
  <c r="CM25" i="1"/>
  <c r="DV22" i="1"/>
  <c r="BG22" i="1"/>
  <c r="CE22" i="1" s="1"/>
  <c r="CM22" i="1"/>
  <c r="AM20" i="1"/>
  <c r="AD20" i="1"/>
  <c r="AE20" i="1"/>
  <c r="Y20" i="1"/>
  <c r="AC20" i="1"/>
  <c r="CM30" i="1"/>
  <c r="DV30" i="1"/>
  <c r="BG30" i="1"/>
  <c r="CE30" i="1" s="1"/>
  <c r="BN25" i="1"/>
  <c r="BM25" i="1" s="1"/>
  <c r="W25" i="1"/>
  <c r="DV19" i="1"/>
  <c r="BG19" i="1"/>
  <c r="CM19" i="1"/>
  <c r="CE19" i="1" s="1"/>
  <c r="AE18" i="1"/>
  <c r="AC18" i="1"/>
  <c r="Y18" i="1"/>
  <c r="AM18" i="1"/>
  <c r="AD18" i="1"/>
  <c r="CE19" i="2" l="1"/>
  <c r="CE24" i="2"/>
  <c r="CE34" i="2"/>
  <c r="CE37" i="2"/>
  <c r="CE48" i="2"/>
  <c r="CE28" i="2"/>
  <c r="CE35" i="2"/>
  <c r="BN29" i="2"/>
  <c r="BM29" i="2" s="1"/>
  <c r="W29" i="2"/>
  <c r="CM29" i="2"/>
  <c r="CE29" i="2" s="1"/>
  <c r="BN51" i="2"/>
  <c r="BM51" i="2" s="1"/>
  <c r="W51" i="2"/>
  <c r="CM51" i="2"/>
  <c r="CE51" i="2" s="1"/>
  <c r="BN22" i="2"/>
  <c r="BM22" i="2" s="1"/>
  <c r="CM22" i="2"/>
  <c r="CE22" i="2" s="1"/>
  <c r="W22" i="2"/>
  <c r="BN31" i="2"/>
  <c r="BM31" i="2" s="1"/>
  <c r="W31" i="2"/>
  <c r="CM31" i="2"/>
  <c r="CE31" i="2" s="1"/>
  <c r="BN36" i="2"/>
  <c r="BM36" i="2" s="1"/>
  <c r="W36" i="2"/>
  <c r="CM36" i="2"/>
  <c r="CE36" i="2" s="1"/>
  <c r="BN20" i="2"/>
  <c r="BM20" i="2" s="1"/>
  <c r="W20" i="2"/>
  <c r="CM20" i="2"/>
  <c r="CE20" i="2" s="1"/>
  <c r="BN23" i="2"/>
  <c r="BM23" i="2" s="1"/>
  <c r="CM23" i="2"/>
  <c r="CE23" i="2" s="1"/>
  <c r="W23" i="2"/>
  <c r="BN26" i="2"/>
  <c r="BM26" i="2" s="1"/>
  <c r="W26" i="2"/>
  <c r="CM26" i="2"/>
  <c r="CE26" i="2" s="1"/>
  <c r="BN40" i="2"/>
  <c r="BM40" i="2" s="1"/>
  <c r="CM40" i="2"/>
  <c r="CE40" i="2" s="1"/>
  <c r="W40" i="2"/>
  <c r="BN41" i="2"/>
  <c r="BM41" i="2" s="1"/>
  <c r="W41" i="2"/>
  <c r="CM41" i="2"/>
  <c r="CE41" i="2" s="1"/>
  <c r="BN45" i="2"/>
  <c r="BM45" i="2" s="1"/>
  <c r="W45" i="2"/>
  <c r="CM45" i="2"/>
  <c r="CE45" i="2" s="1"/>
  <c r="BN27" i="2"/>
  <c r="BM27" i="2" s="1"/>
  <c r="W27" i="2"/>
  <c r="CM27" i="2"/>
  <c r="CE27" i="2" s="1"/>
  <c r="BN33" i="2"/>
  <c r="BM33" i="2" s="1"/>
  <c r="W33" i="2"/>
  <c r="CM33" i="2"/>
  <c r="CE33" i="2" s="1"/>
  <c r="BN18" i="2"/>
  <c r="BM18" i="2" s="1"/>
  <c r="W18" i="2"/>
  <c r="CM18" i="2"/>
  <c r="CE18" i="2" s="1"/>
  <c r="BN25" i="2"/>
  <c r="BM25" i="2" s="1"/>
  <c r="W25" i="2"/>
  <c r="CM25" i="2"/>
  <c r="CE25" i="2" s="1"/>
  <c r="BN43" i="2"/>
  <c r="BM43" i="2" s="1"/>
  <c r="CM43" i="2"/>
  <c r="CE43" i="2" s="1"/>
  <c r="W43" i="2"/>
  <c r="CE36" i="1"/>
  <c r="CE25" i="1"/>
  <c r="CE37" i="1"/>
  <c r="CE46" i="1"/>
  <c r="BN18" i="1"/>
  <c r="BM18" i="1" s="1"/>
  <c r="W18" i="1"/>
  <c r="BN42" i="1"/>
  <c r="BM42" i="1" s="1"/>
  <c r="CM42" i="1"/>
  <c r="CE42" i="1" s="1"/>
  <c r="W42" i="1"/>
  <c r="BN31" i="1"/>
  <c r="BM31" i="1" s="1"/>
  <c r="CM31" i="1"/>
  <c r="CE31" i="1" s="1"/>
  <c r="W31" i="1"/>
  <c r="BN21" i="1"/>
  <c r="BM21" i="1" s="1"/>
  <c r="CM21" i="1"/>
  <c r="CE21" i="1" s="1"/>
  <c r="W21" i="1"/>
  <c r="BN26" i="1"/>
  <c r="BM26" i="1" s="1"/>
  <c r="CM26" i="1"/>
  <c r="CE26" i="1" s="1"/>
  <c r="W26" i="1"/>
  <c r="BN43" i="1"/>
  <c r="BM43" i="1" s="1"/>
  <c r="W43" i="1"/>
  <c r="CM43" i="1"/>
  <c r="CE43" i="1" s="1"/>
  <c r="BN34" i="1"/>
  <c r="BM34" i="1" s="1"/>
  <c r="W34" i="1"/>
  <c r="CM34" i="1"/>
  <c r="CE34" i="1" s="1"/>
  <c r="BN20" i="1"/>
  <c r="BM20" i="1" s="1"/>
  <c r="CM20" i="1"/>
  <c r="CE20" i="1" s="1"/>
  <c r="W20" i="1"/>
  <c r="BN33" i="1"/>
  <c r="BM33" i="1" s="1"/>
  <c r="W33" i="1"/>
  <c r="CM33" i="1"/>
  <c r="CE33" i="1" s="1"/>
  <c r="BN38" i="1"/>
  <c r="BM38" i="1" s="1"/>
  <c r="W38" i="1"/>
  <c r="CM38" i="1"/>
  <c r="CE38" i="1" s="1"/>
  <c r="BN39" i="1"/>
  <c r="BM39" i="1" s="1"/>
  <c r="W39" i="1"/>
  <c r="CM39" i="1"/>
  <c r="CE39" i="1" s="1"/>
  <c r="CM18" i="1"/>
  <c r="CE18" i="1" s="1"/>
  <c r="BN24" i="1"/>
  <c r="BM24" i="1" s="1"/>
  <c r="W24" i="1"/>
  <c r="CM24" i="1"/>
  <c r="CE24" i="1" s="1"/>
  <c r="BN28" i="1"/>
  <c r="BM28" i="1" s="1"/>
  <c r="CM28" i="1"/>
  <c r="CE28" i="1" s="1"/>
  <c r="W28" i="1"/>
  <c r="BN41" i="1"/>
  <c r="BM41" i="1" s="1"/>
  <c r="CM41" i="1"/>
  <c r="CE41" i="1" s="1"/>
  <c r="W41" i="1"/>
  <c r="E5" i="2" l="1"/>
  <c r="DU14" i="1"/>
  <c r="DM14" i="1"/>
  <c r="DN14" i="1" s="1"/>
  <c r="CW14" i="1"/>
  <c r="CR14" i="1"/>
  <c r="CS14" i="1" s="1"/>
  <c r="CQ14" i="1"/>
  <c r="CP14" i="1"/>
  <c r="CH14" i="1" s="1"/>
  <c r="CN14" i="1"/>
  <c r="CG14" i="1"/>
  <c r="CL14" i="1" s="1"/>
  <c r="BZ14" i="1"/>
  <c r="BU14" i="1"/>
  <c r="BT14" i="1"/>
  <c r="BO14" i="1"/>
  <c r="BL14" i="1"/>
  <c r="DU12" i="1"/>
  <c r="DM12" i="1"/>
  <c r="DN12" i="1" s="1"/>
  <c r="CW12" i="1"/>
  <c r="CR12" i="1"/>
  <c r="CV12" i="1" s="1"/>
  <c r="CQ12" i="1"/>
  <c r="CP12" i="1"/>
  <c r="CN12" i="1"/>
  <c r="CH12" i="1"/>
  <c r="CG12" i="1"/>
  <c r="CK12" i="1" s="1"/>
  <c r="BZ12" i="1"/>
  <c r="BU12" i="1"/>
  <c r="BT12" i="1"/>
  <c r="BO12" i="1"/>
  <c r="BL12" i="1"/>
  <c r="E6" i="1"/>
  <c r="CF12" i="1" l="1"/>
  <c r="DV12" i="1" s="1"/>
  <c r="CS12" i="1"/>
  <c r="CL12" i="1"/>
  <c r="CI14" i="1"/>
  <c r="CJ14" i="1" s="1"/>
  <c r="CK14" i="1"/>
  <c r="CV14" i="1"/>
  <c r="CI12" i="1"/>
  <c r="CJ12" i="1" s="1"/>
  <c r="CF14" i="1"/>
  <c r="DV14" i="1" l="1"/>
  <c r="BN12" i="1" l="1"/>
  <c r="BM12" i="1" s="1"/>
  <c r="CM12" i="1"/>
  <c r="CE12" i="1" s="1"/>
  <c r="BN14" i="1"/>
  <c r="BM14" i="1" s="1"/>
  <c r="CM14" i="1"/>
  <c r="CE14" i="1" s="1"/>
</calcChain>
</file>

<file path=xl/sharedStrings.xml><?xml version="1.0" encoding="utf-8"?>
<sst xmlns="http://schemas.openxmlformats.org/spreadsheetml/2006/main" count="1786" uniqueCount="298">
  <si>
    <t xml:space="preserve"> HỌC VIỆN HÀNH CHÍNH QUỐC GIA</t>
  </si>
  <si>
    <t>CỘNG HÒA XÃ HỘI CHỦ NGHĨA VIỆT NAM</t>
  </si>
  <si>
    <t>BAN TỔ CHỨC - CÁN BỘ</t>
  </si>
  <si>
    <t>Độc lập - Tự do - Hạnh phúc</t>
  </si>
  <si>
    <t>Tổng số:</t>
  </si>
  <si>
    <t>trường hợp</t>
  </si>
  <si>
    <t xml:space="preserve">           </t>
  </si>
  <si>
    <t>Tổng số CC, VC và NLĐ:</t>
  </si>
  <si>
    <t>công chức, viên chức</t>
  </si>
  <si>
    <t>01</t>
  </si>
  <si>
    <t>/</t>
  </si>
  <si>
    <t>7</t>
  </si>
  <si>
    <t>SỐ
TT</t>
  </si>
  <si>
    <t>HỌ TÊN</t>
  </si>
  <si>
    <t>GIỚI TÍNH</t>
  </si>
  <si>
    <t>ĐƠN VỊ</t>
  </si>
  <si>
    <t>NGẠCH/
CHỨC DANH NGHỀ NGHIỆP
VÀ MÃ SỐ</t>
  </si>
  <si>
    <t>NGẠCH</t>
  </si>
  <si>
    <t>MÃ SỐ NGẠCH</t>
  </si>
  <si>
    <t>ĐỦ ĐIỀU KIỆN, TIÊU CHUẨN NÂNG LƯƠNG</t>
  </si>
  <si>
    <t>GHI CHÚ</t>
  </si>
  <si>
    <t>Ghi 
chú</t>
  </si>
  <si>
    <t>GHI 
CHÚ</t>
  </si>
  <si>
    <t>Từ 
bậc</t>
  </si>
  <si>
    <t xml:space="preserve">Hệ số </t>
  </si>
  <si>
    <t>Lên 
bậc</t>
  </si>
  <si>
    <t>Hệ 
số</t>
  </si>
  <si>
    <t>Kể 
từ ngày</t>
  </si>
  <si>
    <t>lao động hợp đồng</t>
  </si>
  <si>
    <t>Bộ môn Khoa học hành chính,</t>
  </si>
  <si>
    <t>8</t>
  </si>
  <si>
    <t>2011</t>
  </si>
  <si>
    <t>Nữ</t>
  </si>
  <si>
    <t>Khoa Văn bản và Công nghệ hành chính</t>
  </si>
  <si>
    <t>Chức danh nghề nghiệp</t>
  </si>
  <si>
    <t>Giảng viên (hạng III)</t>
  </si>
  <si>
    <t>V.07.01.03</t>
  </si>
  <si>
    <t>02</t>
  </si>
  <si>
    <t>%</t>
  </si>
  <si>
    <t>Nam</t>
  </si>
  <si>
    <t>11</t>
  </si>
  <si>
    <t>Ngạch</t>
  </si>
  <si>
    <t>12</t>
  </si>
  <si>
    <t>người lao động</t>
  </si>
  <si>
    <t>17</t>
  </si>
  <si>
    <t>Giảng viên chính (hạng II)</t>
  </si>
  <si>
    <t>10</t>
  </si>
  <si>
    <t>Văn phòng Học viện</t>
  </si>
  <si>
    <t xml:space="preserve">Nơi nhận: </t>
  </si>
  <si>
    <t>KT. TRƯỞNG BAN</t>
  </si>
  <si>
    <t>- Các cơ sở, phân viện thuộc Học viện;</t>
  </si>
  <si>
    <t xml:space="preserve">PHÓ TRƯỞNG BAN </t>
  </si>
  <si>
    <t>- Trung tâm THHC&amp;CNTT (để đăng Website Học viện);</t>
  </si>
  <si>
    <t>(Đã ký)</t>
  </si>
  <si>
    <t>- Lưu: TC-CB.</t>
  </si>
  <si>
    <r>
      <t xml:space="preserve"> </t>
    </r>
    <r>
      <rPr>
        <b/>
        <sz val="11"/>
        <rFont val="Arial Narrow"/>
        <family val="2"/>
      </rPr>
      <t xml:space="preserve">* </t>
    </r>
    <r>
      <rPr>
        <b/>
        <u/>
        <sz val="11"/>
        <rFont val="Arial Narrow"/>
        <family val="2"/>
      </rPr>
      <t>Lưu ý:</t>
    </r>
    <r>
      <rPr>
        <b/>
        <sz val="11"/>
        <rFont val="Arial Narrow"/>
        <family val="2"/>
      </rPr>
      <t xml:space="preserve">   </t>
    </r>
    <r>
      <rPr>
        <sz val="11"/>
        <rFont val="Arial Narrow"/>
        <family val="2"/>
      </rPr>
      <t xml:space="preserve">- Danh sách này thay cho thông báo, được công khai trên bảng tin nhà A tại trụ sở Học viện ở Hà Nội, bảng tin tại các cơ sở, phân viện thuộc Học viện </t>
    </r>
  </si>
  <si>
    <t xml:space="preserve"> </t>
  </si>
  <si>
    <t xml:space="preserve">Tổng số: </t>
  </si>
  <si>
    <t>nhà giáo</t>
  </si>
  <si>
    <t>Tháng</t>
  </si>
  <si>
    <r>
      <t xml:space="preserve">* </t>
    </r>
    <r>
      <rPr>
        <b/>
        <u/>
        <sz val="11"/>
        <rFont val="Arial Narrow"/>
        <family val="2"/>
      </rPr>
      <t>Lưu ý:</t>
    </r>
    <r>
      <rPr>
        <sz val="11"/>
        <rFont val="Arial Narrow"/>
        <family val="2"/>
      </rPr>
      <t xml:space="preserve"> - Danh sách này thay cho thông báo, được công khai trên bảng tin nhà A tại trụ sở Học viện ở Hà Nội, bảng tin tại các  cơ sở, </t>
    </r>
  </si>
  <si>
    <t xml:space="preserve">                 phân viện thuộc Học viện và trên Website Học viện Hành chính Quốc gia;</t>
  </si>
  <si>
    <t>Tổng số nhà giáo:</t>
  </si>
  <si>
    <t>HỌ TÊN 
NHÀ GIÁO</t>
  </si>
  <si>
    <t>Ngày sinh</t>
  </si>
  <si>
    <t>ĐƠN VỊ CÔNG TÁC</t>
  </si>
  <si>
    <t>NGẠCH/ 
CHỨC DANH NGHỀ NGHIỆP
VÀ MÃ SỐ</t>
  </si>
  <si>
    <t>ĐỦ ĐIỀU KIỆN 
NÂNG PCTN</t>
  </si>
  <si>
    <t>ĐỦ ĐIỀU KIỆN NÂNG PCTN</t>
  </si>
  <si>
    <t>GHI
CHÚ</t>
  </si>
  <si>
    <t>Từ mức</t>
  </si>
  <si>
    <t>Lên mức</t>
  </si>
  <si>
    <t>Kể từ</t>
  </si>
  <si>
    <t>Thời gian Ko đc tính</t>
  </si>
  <si>
    <t>Thời gian giữ mức Pc</t>
  </si>
  <si>
    <t>Ds đủ ĐK nâng PC</t>
  </si>
  <si>
    <t>Kể từ 
tháng</t>
  </si>
  <si>
    <t>TT</t>
  </si>
  <si>
    <t>TEN</t>
  </si>
  <si>
    <t>GT</t>
  </si>
  <si>
    <t>BP</t>
  </si>
  <si>
    <t>DV</t>
  </si>
  <si>
    <t>Ma Ngach</t>
  </si>
  <si>
    <t>Pc1</t>
  </si>
  <si>
    <t>Pc2</t>
  </si>
  <si>
    <t>m</t>
  </si>
  <si>
    <t>y</t>
  </si>
  <si>
    <t>1</t>
  </si>
  <si>
    <t>Giảng viên cao cấp (hạng I)</t>
  </si>
  <si>
    <t>3</t>
  </si>
  <si>
    <t xml:space="preserve">(Đã ký) </t>
  </si>
  <si>
    <t>và trên Website Học viện Hành chính Quốc gia;</t>
  </si>
  <si>
    <t>15</t>
  </si>
  <si>
    <t>Khoa Lý luận cơ sở</t>
  </si>
  <si>
    <t>9</t>
  </si>
  <si>
    <t>Khoa Quản lý Tài chính công</t>
  </si>
  <si>
    <t>Bộ môn Khoa học đại cương,</t>
  </si>
  <si>
    <t>(người tiếp nhận: Vũ Thị Hồng Diệp, ĐT: 0438 359 295/ 01687025599).</t>
  </si>
  <si>
    <t>GIỚITÍNH</t>
  </si>
  <si>
    <t xml:space="preserve">                  (người tiếp nhận: Vũ Thị Hồng Diệp, ĐT: 0438 359 295/ 01687025599).</t>
  </si>
  <si>
    <t>Nguyễn Tiến Hiệp</t>
  </si>
  <si>
    <t>viên chức</t>
  </si>
  <si>
    <t>20</t>
  </si>
  <si>
    <t>Chuyên viên</t>
  </si>
  <si>
    <t>28</t>
  </si>
  <si>
    <t>5</t>
  </si>
  <si>
    <t>Khoa Quản lý nhà nước về Xã hội</t>
  </si>
  <si>
    <t>19</t>
  </si>
  <si>
    <t>1976</t>
  </si>
  <si>
    <t>V.07.01.02</t>
  </si>
  <si>
    <t>Khoa Nhà nước và Pháp luật</t>
  </si>
  <si>
    <t>Trưởng bộ môn</t>
  </si>
  <si>
    <t xml:space="preserve">Bộ môn Văn bản hành chính, </t>
  </si>
  <si>
    <t>Khoa Hành chính học</t>
  </si>
  <si>
    <t>Khoa Sau đại học</t>
  </si>
  <si>
    <t>13</t>
  </si>
  <si>
    <t>Bộ môn Khoa học - Tôn giáo - An ninh,</t>
  </si>
  <si>
    <t>25</t>
  </si>
  <si>
    <t>Bộ môn Chính sách công,</t>
  </si>
  <si>
    <t>Khoa Quản lý nhà nước về Kinh tế</t>
  </si>
  <si>
    <t xml:space="preserve">PGS </t>
  </si>
  <si>
    <t>Phó Trưởng khoa</t>
  </si>
  <si>
    <t>09</t>
  </si>
  <si>
    <t>Khoa Tổ chức và Quản lý nhân sự</t>
  </si>
  <si>
    <t>I</t>
  </si>
  <si>
    <t xml:space="preserve">NÂNG BẬC LƯƠNG THƯỜNG XUYÊN  </t>
  </si>
  <si>
    <t>21</t>
  </si>
  <si>
    <t>Phòng Giáo dục thể chất - Chính trị và Quản lý sinh viên,</t>
  </si>
  <si>
    <t>Bộ môn Ngoại ngữ</t>
  </si>
  <si>
    <t>Nguyễn Thị Thúy</t>
  </si>
  <si>
    <t>26</t>
  </si>
  <si>
    <t>1960</t>
  </si>
  <si>
    <t>Bộ môn Thanh tra,</t>
  </si>
  <si>
    <t>Trung tâm Tin học hành chính và Công nghệ thông tin</t>
  </si>
  <si>
    <t>03</t>
  </si>
  <si>
    <t>Đội Xe,</t>
  </si>
  <si>
    <t>Lái xe cơ quan</t>
  </si>
  <si>
    <t>Ko hạn</t>
  </si>
  <si>
    <t>II</t>
  </si>
  <si>
    <t>CÁC TRƯỜNG HỢP ĐỦ ĐIỀU KIỆN NÂNG PCTN VƯỢT KHUNG</t>
  </si>
  <si>
    <t>Khoa Đào tạo, Bồi dưỡng công chức và Tại chức</t>
  </si>
  <si>
    <t>05</t>
  </si>
  <si>
    <t>1963</t>
  </si>
  <si>
    <t>Phó Trưởng bộ môn</t>
  </si>
  <si>
    <t>Bộ môn Lý luận nhà nước và pháp luật,</t>
  </si>
  <si>
    <t>PGS</t>
  </si>
  <si>
    <t>29</t>
  </si>
  <si>
    <t>1964</t>
  </si>
  <si>
    <t>Bộ môn Dân số - Lao động - Bảo trợ xã hội,</t>
  </si>
  <si>
    <t>22</t>
  </si>
  <si>
    <t>1971</t>
  </si>
  <si>
    <t>Bộ môn Chính sách tài chính quốc gia,</t>
  </si>
  <si>
    <t>1958</t>
  </si>
  <si>
    <t>Nguyên Trưởng khoa</t>
  </si>
  <si>
    <t>16</t>
  </si>
  <si>
    <t>Trưởng khoa</t>
  </si>
  <si>
    <t>18</t>
  </si>
  <si>
    <t>30</t>
  </si>
  <si>
    <t>07</t>
  </si>
  <si>
    <t>Bộ môn Kỹ thuật hành chính,</t>
  </si>
  <si>
    <t>Trung tâm Ngoại ngữ</t>
  </si>
  <si>
    <t>Viện Nghiên cứu Khoa học hành chính</t>
  </si>
  <si>
    <t>Cơ sở Học viện Hành chính Quốc gia tại Thành phố Hồ Chí Minh</t>
  </si>
  <si>
    <t>THÁNG 01/2016</t>
  </si>
  <si>
    <t>Nguyễn Minh Đức</t>
  </si>
  <si>
    <t>Phòng Đào tạo đại học,</t>
  </si>
  <si>
    <t>Ban Đào tạo</t>
  </si>
  <si>
    <t>Phan Thị Thanh Hương</t>
  </si>
  <si>
    <t>Trưởng phòng</t>
  </si>
  <si>
    <t>Chuyên viên chính</t>
  </si>
  <si>
    <t>Đã nâng bậc sau nâng ngạch</t>
  </si>
  <si>
    <t>Bùi Thị Mai Hiền</t>
  </si>
  <si>
    <t>1977</t>
  </si>
  <si>
    <t>Phòng Bồi dưỡng cán bộ, công chức, viên chức,</t>
  </si>
  <si>
    <t>Tống Đăng Hưng</t>
  </si>
  <si>
    <t>Chuyên viên cao cấp</t>
  </si>
  <si>
    <t>01.002</t>
  </si>
  <si>
    <t>Nguyễn Thị Phương</t>
  </si>
  <si>
    <t>Phòng Đào tạo, bồi dưỡng theo chức danh,</t>
  </si>
  <si>
    <t>Cán sự</t>
  </si>
  <si>
    <t>Ngô Thúy Quỳnh</t>
  </si>
  <si>
    <t>Khoa Quản lý nhà nước về Đô thị và Nông thôn</t>
  </si>
  <si>
    <t>Trần Thị Nga</t>
  </si>
  <si>
    <t>Bộ môn Kỹ năng quản lý nhà nước về kinh tế,</t>
  </si>
  <si>
    <t>Nguyễn Thị Minh Hồng</t>
  </si>
  <si>
    <t>Phòng Kế hoạch - Tổng hợp đào tạo Sau đại học,</t>
  </si>
  <si>
    <t>Đặng Thị Đoan</t>
  </si>
  <si>
    <t>4</t>
  </si>
  <si>
    <t>Ban Thư ký - Trị sự,</t>
  </si>
  <si>
    <t>Tạp chí Quản lý nhà nước</t>
  </si>
  <si>
    <t>Biên tập viên</t>
  </si>
  <si>
    <t>Đã sửa</t>
  </si>
  <si>
    <t>Lâm Thị Thuân</t>
  </si>
  <si>
    <t>23</t>
  </si>
  <si>
    <t>Giáo viên trung học</t>
  </si>
  <si>
    <t>Lê Thị Thu Hồng</t>
  </si>
  <si>
    <t>Triệu Thị Tâm</t>
  </si>
  <si>
    <t>Thư viện,</t>
  </si>
  <si>
    <t>Trung tâm Tin học - Thư viện</t>
  </si>
  <si>
    <t>Thư viện viên</t>
  </si>
  <si>
    <t>Cao Xuân Tùng</t>
  </si>
  <si>
    <t>Lưu Thị Thu Huyền</t>
  </si>
  <si>
    <t>Phòng Hành chính - Tổng hợp,</t>
  </si>
  <si>
    <t>Tập sự 06 tháng</t>
  </si>
  <si>
    <t>Nguyễn Hoàng Sơn</t>
  </si>
  <si>
    <t>Phòng Quản trị,</t>
  </si>
  <si>
    <t>Nhân viên bảo vệ</t>
  </si>
  <si>
    <t>01.005</t>
  </si>
  <si>
    <t>Nguyễn Thị Hoa</t>
  </si>
  <si>
    <t>Y sỹ</t>
  </si>
  <si>
    <t>16.119</t>
  </si>
  <si>
    <t>Lê Văn Khải</t>
  </si>
  <si>
    <t>Phòng Nghiên cứu Thể chế và Thủ tục Hành chính,</t>
  </si>
  <si>
    <t>5,42</t>
  </si>
  <si>
    <t>THÁNG 02/2016</t>
  </si>
  <si>
    <t>Lưu Xuân Trường</t>
  </si>
  <si>
    <t>Bùi Huy Khiên</t>
  </si>
  <si>
    <t>Hạ Thu Quyên</t>
  </si>
  <si>
    <t>Trương Quốc Chính</t>
  </si>
  <si>
    <t>Nâng bậc khi bổ nhiệm PGS 02/2014</t>
  </si>
  <si>
    <t>nâng khi bổ PGS</t>
  </si>
  <si>
    <t>Nguyễn Thị Phượng</t>
  </si>
  <si>
    <t>Trang Thị Tuyết</t>
  </si>
  <si>
    <t>Hoàng Văn Chức</t>
  </si>
  <si>
    <t>V.07.01.01</t>
  </si>
  <si>
    <t>15.109</t>
  </si>
  <si>
    <t>Nguyễn Thị Hồng Hải</t>
  </si>
  <si>
    <t>Nâng bậc PGS từ 02/2014</t>
  </si>
  <si>
    <t>NÂNG BẬC LƯƠNG THƯỜNG XUYÊN ĐỐI VỚI NHỮNG TRƯỜNG HỢP ĐANG TẠM DỪNG DO CHỜ XÉT NÂNG LƯƠNG SỚM</t>
  </si>
  <si>
    <t>III</t>
  </si>
  <si>
    <t>Nguyễn Trọng Điều</t>
  </si>
  <si>
    <t>14</t>
  </si>
  <si>
    <t>Nguyên Giám đốc Học viện</t>
  </si>
  <si>
    <t>Nguyên Giám đốc Học viện Hành chính</t>
  </si>
  <si>
    <t>Nữ dưới 30</t>
  </si>
  <si>
    <t>Vũ Thị Hạnh</t>
  </si>
  <si>
    <t>1961</t>
  </si>
  <si>
    <t>Nông Minh Đức</t>
  </si>
  <si>
    <t>Hoàng Thị Hường</t>
  </si>
  <si>
    <t>2012</t>
  </si>
  <si>
    <t>Trần Thị Anh</t>
  </si>
  <si>
    <t>6</t>
  </si>
  <si>
    <t>Đã nâng sớm</t>
  </si>
  <si>
    <t>01.003</t>
  </si>
  <si>
    <t>CN</t>
  </si>
  <si>
    <t>Ngô Thị Kim Dung</t>
  </si>
  <si>
    <t>1965</t>
  </si>
  <si>
    <t>Bộ môn Tâm lý học,</t>
  </si>
  <si>
    <t>Nguyễn Thị Yến</t>
  </si>
  <si>
    <t>1962</t>
  </si>
  <si>
    <t>Nguyễn Thị Lê Thu</t>
  </si>
  <si>
    <t>Phạm Thị Anh Đào</t>
  </si>
  <si>
    <t>Bùi Thị Thanh Thúy</t>
  </si>
  <si>
    <t>1981</t>
  </si>
  <si>
    <t>Nguyễn Quốc Sửu</t>
  </si>
  <si>
    <t>Thiều Thị Thu Hương</t>
  </si>
  <si>
    <t>Trịnh Ngọc Thu</t>
  </si>
  <si>
    <t>Hoàng Ngọc Âu</t>
  </si>
  <si>
    <t>08</t>
  </si>
  <si>
    <t>Phạm Thị Diễm</t>
  </si>
  <si>
    <t>Doãn Minh Thắng</t>
  </si>
  <si>
    <t>Hoàng Thị Kim Chi</t>
  </si>
  <si>
    <t>Thái Thanh Hà</t>
  </si>
  <si>
    <t>Phó Trưởng ban</t>
  </si>
  <si>
    <t>Cơ sở Học viện Hành chính Quốc gia khu vực miền Trung</t>
  </si>
  <si>
    <t>2</t>
  </si>
  <si>
    <t>Dương Văn Ninh</t>
  </si>
  <si>
    <t>Phân viện khu vực Tây Nguyên</t>
  </si>
  <si>
    <t>Phòng Hành chính quản trị,</t>
  </si>
  <si>
    <t>Nguyễn Văn Thủ</t>
  </si>
  <si>
    <t>1949</t>
  </si>
  <si>
    <t>Bộ môn Tổ chức và Quản lý nhân sự,</t>
  </si>
  <si>
    <t>Xếp tháng 12/2015</t>
  </si>
  <si>
    <t>Nguyễn Thị Thu Cúc</t>
  </si>
  <si>
    <t>Phòng Dự án,</t>
  </si>
  <si>
    <t>Ban Hợp tác quốc tế</t>
  </si>
  <si>
    <t>Đoàn Thị Mỹ Hạnh</t>
  </si>
  <si>
    <t>Hoàng Quang Đạt</t>
  </si>
  <si>
    <t>Khoa Đào tạo, bồi dưỡng công chức và Tại chức</t>
  </si>
  <si>
    <t>Lê Văn Hòa</t>
  </si>
  <si>
    <t>1969</t>
  </si>
  <si>
    <t>Nguyễn Thanh Nga</t>
  </si>
  <si>
    <t>Bộ môn Những nguyên lý cơ bản của Chủ nghĩa Mác - Lê nin,</t>
  </si>
  <si>
    <t>Lương Thanh  Cường</t>
  </si>
  <si>
    <t>Nâng PGS 02/2014</t>
  </si>
  <si>
    <t>Dìu Đức Hà</t>
  </si>
  <si>
    <t>Bộ môn Nguyên lý Kinh tế,</t>
  </si>
  <si>
    <t>Tạ Thị Hương</t>
  </si>
  <si>
    <t>Phan Thị Mỹ Bình</t>
  </si>
  <si>
    <t>Vũ Thị Hương Thảo</t>
  </si>
  <si>
    <t>Chu Xuân Khánh</t>
  </si>
  <si>
    <t>1959</t>
  </si>
  <si>
    <t>Giám đốc (cấp vụ)</t>
  </si>
  <si>
    <r>
      <t>DANH SÁCH NHÀ GIÁO THUỘC HỌC VIỆN HÀNH CHÍNH QUỐC GIA ĐỦ ĐIỀU KIỆN NÂNG PHỤ CẤP THÂM NIÊN TRONG THÁNG 01 VÀ THÁNG 02</t>
    </r>
    <r>
      <rPr>
        <b/>
        <sz val="12"/>
        <color indexed="12"/>
        <rFont val="Arial Narrow"/>
        <family val="2"/>
      </rPr>
      <t xml:space="preserve"> NĂM 2016</t>
    </r>
  </si>
  <si>
    <t>Hà Nội, ngày 21 tháng 01 năm 2016</t>
  </si>
  <si>
    <r>
      <t xml:space="preserve">                - Các ý kiến thắc mắc liên quan (nếu có), đề nghị phản hồi tới Ban Tổ chức - Cán bộ trước ngày</t>
    </r>
    <r>
      <rPr>
        <b/>
        <sz val="11"/>
        <rFont val="Arial Narrow"/>
        <family val="2"/>
      </rPr>
      <t xml:space="preserve"> 28/01</t>
    </r>
    <r>
      <rPr>
        <b/>
        <sz val="11"/>
        <color indexed="12"/>
        <rFont val="Arial Narrow"/>
        <family val="2"/>
      </rPr>
      <t>/2016</t>
    </r>
  </si>
  <si>
    <r>
      <t xml:space="preserve">DANH SÁCH CÔNG CHỨC, VIÊN CHỨC VÀ NGƯỜI LAO ĐỘNG THUỘC HỌC VIỆN HÀNH CHÍNH QUỐC GIA TẠI HÀ NỘI
ĐỦ ĐIỀU KIỆN, TIÊU CHUẨN NÂNG LƯƠNG TRONG THÁNG 01 VÀ THÁNG 02 NĂM </t>
    </r>
    <r>
      <rPr>
        <b/>
        <sz val="12"/>
        <color indexed="12"/>
        <rFont val="Arial Narrow"/>
        <family val="2"/>
      </rPr>
      <t>2015</t>
    </r>
  </si>
  <si>
    <r>
      <t xml:space="preserve">          - Các ý kiến thắc mắc liên quan (nếu có), đề nghị phản hồi tới Ban Tổ chức - Cán bộ trước ngày</t>
    </r>
    <r>
      <rPr>
        <b/>
        <sz val="11"/>
        <rFont val="Arial Narrow"/>
        <family val="2"/>
      </rPr>
      <t xml:space="preserve"> </t>
    </r>
    <r>
      <rPr>
        <b/>
        <sz val="11"/>
        <color indexed="12"/>
        <rFont val="Arial Narrow"/>
        <family val="2"/>
      </rPr>
      <t xml:space="preserve"> 28/01/2016</t>
    </r>
  </si>
</sst>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1"/>
      <color theme="1"/>
      <name val="Calibri"/>
      <family val="2"/>
      <scheme val="minor"/>
    </font>
    <font>
      <b/>
      <sz val="11"/>
      <name val="Arial Narrow"/>
      <family val="2"/>
    </font>
    <font>
      <sz val="11"/>
      <name val="Arial Narrow"/>
      <family val="2"/>
    </font>
    <font>
      <b/>
      <sz val="12"/>
      <name val="Arial Narrow"/>
      <family val="2"/>
    </font>
    <font>
      <i/>
      <sz val="12"/>
      <name val="Arial Narrow"/>
      <family val="2"/>
    </font>
    <font>
      <i/>
      <sz val="11"/>
      <color indexed="12"/>
      <name val="Arial Narrow"/>
      <family val="2"/>
    </font>
    <font>
      <b/>
      <sz val="12"/>
      <color indexed="12"/>
      <name val="Arial Narrow"/>
      <family val="2"/>
    </font>
    <font>
      <sz val="12"/>
      <name val="Arial Narrow"/>
      <family val="2"/>
    </font>
    <font>
      <sz val="14"/>
      <color indexed="8"/>
      <name val="Times New Roman"/>
      <family val="1"/>
    </font>
    <font>
      <b/>
      <sz val="11"/>
      <color indexed="12"/>
      <name val="Arial Narrow"/>
      <family val="2"/>
    </font>
    <font>
      <b/>
      <sz val="11"/>
      <color indexed="8"/>
      <name val="Arial Narrow"/>
      <family val="2"/>
    </font>
    <font>
      <b/>
      <sz val="11"/>
      <color indexed="13"/>
      <name val="Arial Narrow"/>
      <family val="2"/>
    </font>
    <font>
      <b/>
      <sz val="11"/>
      <color indexed="58"/>
      <name val="Arial Narrow"/>
      <family val="2"/>
    </font>
    <font>
      <b/>
      <sz val="11"/>
      <color indexed="16"/>
      <name val="Arial Narrow"/>
      <family val="2"/>
    </font>
    <font>
      <b/>
      <sz val="10"/>
      <name val="Arial Narrow"/>
      <family val="2"/>
    </font>
    <font>
      <b/>
      <u/>
      <sz val="11"/>
      <name val="Arial Narrow"/>
      <family val="2"/>
    </font>
    <font>
      <sz val="11"/>
      <color indexed="12"/>
      <name val="Arial Narrow"/>
      <family val="2"/>
    </font>
    <font>
      <sz val="11"/>
      <color indexed="8"/>
      <name val="Arial Narrow"/>
      <family val="2"/>
    </font>
    <font>
      <sz val="11"/>
      <color indexed="13"/>
      <name val="Arial Narrow"/>
      <family val="2"/>
    </font>
    <font>
      <sz val="11"/>
      <color indexed="58"/>
      <name val="Arial Narrow"/>
      <family val="2"/>
    </font>
    <font>
      <sz val="11"/>
      <color indexed="16"/>
      <name val="Arial Narrow"/>
      <family val="2"/>
    </font>
    <font>
      <sz val="11"/>
      <color indexed="10"/>
      <name val="Arial Narrow"/>
      <family val="2"/>
    </font>
    <font>
      <b/>
      <sz val="11"/>
      <color indexed="9"/>
      <name val="Arial Narrow"/>
      <family val="2"/>
    </font>
    <font>
      <sz val="10"/>
      <name val="Arial Narrow"/>
      <family val="2"/>
    </font>
    <font>
      <sz val="10"/>
      <color indexed="8"/>
      <name val="Arial Narrow"/>
      <family val="2"/>
    </font>
    <font>
      <b/>
      <sz val="10"/>
      <name val="Arial"/>
      <family val="2"/>
    </font>
    <font>
      <i/>
      <sz val="10"/>
      <name val="Arial"/>
      <family val="2"/>
    </font>
    <font>
      <b/>
      <sz val="11"/>
      <color indexed="10"/>
      <name val="Arial Narrow"/>
      <family val="2"/>
    </font>
    <font>
      <b/>
      <i/>
      <sz val="11"/>
      <name val="Arial Narrow"/>
      <family val="2"/>
    </font>
    <font>
      <b/>
      <sz val="12"/>
      <name val="Arial"/>
      <family val="2"/>
    </font>
    <font>
      <sz val="8"/>
      <name val="Arial Narrow"/>
      <family val="2"/>
    </font>
    <font>
      <b/>
      <sz val="12"/>
      <color indexed="8"/>
      <name val="Arial Narrow"/>
      <family val="2"/>
    </font>
    <font>
      <b/>
      <i/>
      <sz val="12"/>
      <color indexed="9"/>
      <name val="Arial Narrow"/>
      <family val="2"/>
    </font>
    <font>
      <b/>
      <sz val="13"/>
      <name val="Arial"/>
      <family val="2"/>
    </font>
    <font>
      <b/>
      <sz val="11"/>
      <color theme="0"/>
      <name val="Arial Narrow"/>
      <family val="2"/>
    </font>
    <font>
      <sz val="11"/>
      <color theme="0"/>
      <name val="Arial Narrow"/>
      <family val="2"/>
    </font>
    <font>
      <i/>
      <sz val="10"/>
      <color theme="0"/>
      <name val="Arial"/>
      <family val="2"/>
    </font>
    <font>
      <sz val="12"/>
      <color theme="0"/>
      <name val="Arial Narrow"/>
      <family val="2"/>
    </font>
    <font>
      <b/>
      <sz val="12"/>
      <color theme="0"/>
      <name val="Arial Narrow"/>
      <family val="2"/>
    </font>
    <font>
      <sz val="8"/>
      <color theme="0"/>
      <name val="Arial Narrow"/>
      <family val="2"/>
    </font>
    <font>
      <sz val="9"/>
      <color theme="0"/>
      <name val="Arial Narrow"/>
      <family val="2"/>
    </font>
    <font>
      <b/>
      <sz val="8"/>
      <color theme="0"/>
      <name val="Arial Narrow"/>
      <family val="2"/>
    </font>
    <font>
      <b/>
      <i/>
      <sz val="11"/>
      <color indexed="12"/>
      <name val="Arial Narrow"/>
      <family val="2"/>
    </font>
    <font>
      <b/>
      <i/>
      <sz val="12"/>
      <name val="Arial"/>
      <family val="2"/>
    </font>
    <font>
      <sz val="10"/>
      <name val="Arial"/>
      <family val="2"/>
    </font>
    <font>
      <b/>
      <i/>
      <sz val="12"/>
      <color rgb="FF0000FF"/>
      <name val="Arial Narrow"/>
      <family val="2"/>
    </font>
    <font>
      <sz val="11"/>
      <color theme="0"/>
      <name val="Calibri"/>
      <family val="2"/>
      <scheme val="minor"/>
    </font>
    <font>
      <sz val="10"/>
      <color theme="0"/>
      <name val="Arial"/>
      <family val="2"/>
    </font>
    <font>
      <b/>
      <sz val="10"/>
      <color theme="0"/>
      <name val="Arial Narrow"/>
      <family val="2"/>
    </font>
    <font>
      <sz val="10"/>
      <color theme="0"/>
      <name val="Arial Narrow"/>
      <family val="2"/>
    </font>
    <font>
      <b/>
      <sz val="13"/>
      <color theme="0"/>
      <name val="Arial Narrow"/>
      <family val="2"/>
    </font>
    <font>
      <b/>
      <sz val="10"/>
      <color theme="0"/>
      <name val="Arial"/>
      <family val="2"/>
    </font>
  </fonts>
  <fills count="1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55"/>
        <bgColor indexed="64"/>
      </patternFill>
    </fill>
    <fill>
      <patternFill patternType="solid">
        <fgColor theme="0"/>
        <bgColor indexed="64"/>
      </patternFill>
    </fill>
    <fill>
      <patternFill patternType="solid">
        <fgColor indexed="12"/>
        <bgColor indexed="64"/>
      </patternFill>
    </fill>
    <fill>
      <patternFill patternType="solid">
        <fgColor theme="9" tint="0.79998168889431442"/>
        <bgColor indexed="64"/>
      </patternFill>
    </fill>
    <fill>
      <patternFill patternType="solid">
        <fgColor theme="2"/>
        <bgColor indexed="64"/>
      </patternFill>
    </fill>
  </fills>
  <borders count="52">
    <border>
      <left/>
      <right/>
      <top/>
      <bottom/>
      <diagonal/>
    </border>
    <border>
      <left style="double">
        <color indexed="64"/>
      </left>
      <right/>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tted">
        <color indexed="64"/>
      </left>
      <right/>
      <top style="thin">
        <color indexed="64"/>
      </top>
      <bottom style="thin">
        <color indexed="64"/>
      </bottom>
      <diagonal/>
    </border>
    <border>
      <left/>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39">
    <xf numFmtId="0" fontId="0" fillId="0" borderId="0" xfId="0"/>
    <xf numFmtId="0" fontId="1" fillId="2" borderId="0" xfId="0" applyNumberFormat="1" applyFont="1" applyFill="1" applyAlignment="1">
      <alignment horizontal="center" vertical="center" wrapText="1"/>
    </xf>
    <xf numFmtId="0" fontId="2" fillId="0" borderId="0" xfId="0" applyFont="1" applyAlignment="1"/>
    <xf numFmtId="49" fontId="1" fillId="2" borderId="0" xfId="0" applyNumberFormat="1" applyFont="1" applyFill="1" applyBorder="1" applyAlignment="1">
      <alignment horizontal="center" vertical="center" wrapText="1"/>
    </xf>
    <xf numFmtId="2" fontId="1" fillId="2" borderId="0" xfId="0" applyNumberFormat="1" applyFont="1" applyFill="1" applyAlignment="1">
      <alignment horizontal="center" vertical="center"/>
    </xf>
    <xf numFmtId="0" fontId="1" fillId="0" borderId="0" xfId="0" applyFont="1" applyAlignment="1"/>
    <xf numFmtId="0" fontId="2" fillId="2" borderId="0" xfId="0" applyNumberFormat="1" applyFont="1" applyFill="1" applyAlignment="1">
      <alignment horizontal="center" wrapText="1"/>
    </xf>
    <xf numFmtId="0" fontId="2" fillId="2" borderId="0" xfId="0" applyNumberFormat="1" applyFont="1" applyFill="1" applyAlignment="1">
      <alignment horizontal="left" wrapText="1"/>
    </xf>
    <xf numFmtId="49" fontId="1" fillId="2" borderId="0" xfId="0" applyNumberFormat="1" applyFont="1" applyFill="1" applyBorder="1" applyAlignment="1">
      <alignment horizontal="left" wrapText="1"/>
    </xf>
    <xf numFmtId="49" fontId="1" fillId="2" borderId="0" xfId="0" applyNumberFormat="1" applyFont="1" applyFill="1" applyBorder="1" applyAlignment="1">
      <alignment horizontal="center" wrapText="1"/>
    </xf>
    <xf numFmtId="2" fontId="5" fillId="2" borderId="0" xfId="0" applyNumberFormat="1" applyFont="1" applyFill="1" applyAlignment="1"/>
    <xf numFmtId="2" fontId="2" fillId="2" borderId="0" xfId="0" applyNumberFormat="1" applyFont="1" applyFill="1" applyAlignment="1"/>
    <xf numFmtId="2" fontId="7" fillId="2" borderId="0" xfId="0" applyNumberFormat="1" applyFont="1" applyFill="1" applyAlignment="1">
      <alignment vertical="center"/>
    </xf>
    <xf numFmtId="0" fontId="7" fillId="0" borderId="0" xfId="0" applyFont="1" applyAlignment="1">
      <alignment horizontal="center" vertical="center"/>
    </xf>
    <xf numFmtId="0" fontId="8" fillId="2" borderId="0" xfId="0" applyFont="1" applyFill="1" applyAlignment="1">
      <alignment vertical="center" wrapText="1"/>
    </xf>
    <xf numFmtId="3" fontId="8" fillId="2" borderId="0" xfId="0" applyNumberFormat="1" applyFont="1" applyFill="1" applyAlignment="1">
      <alignment vertical="center" wrapText="1"/>
    </xf>
    <xf numFmtId="0" fontId="7" fillId="0" borderId="0" xfId="0" applyFont="1" applyAlignment="1">
      <alignment vertical="center" wrapText="1"/>
    </xf>
    <xf numFmtId="0" fontId="7" fillId="0" borderId="0" xfId="0" applyFont="1" applyAlignment="1">
      <alignment vertical="center"/>
    </xf>
    <xf numFmtId="49" fontId="7" fillId="0" borderId="0" xfId="0" applyNumberFormat="1" applyFont="1" applyAlignment="1">
      <alignment vertical="center"/>
    </xf>
    <xf numFmtId="0" fontId="7" fillId="3" borderId="0" xfId="0" applyFont="1" applyFill="1" applyAlignment="1">
      <alignment vertical="center"/>
    </xf>
    <xf numFmtId="0" fontId="7" fillId="2" borderId="0" xfId="0" applyFont="1" applyFill="1" applyAlignment="1">
      <alignment vertical="center"/>
    </xf>
    <xf numFmtId="0" fontId="1" fillId="2" borderId="0" xfId="0" applyFont="1" applyFill="1" applyBorder="1" applyAlignment="1"/>
    <xf numFmtId="0" fontId="1" fillId="2" borderId="0" xfId="0" applyFont="1" applyFill="1" applyBorder="1" applyAlignment="1">
      <alignment horizontal="center"/>
    </xf>
    <xf numFmtId="0" fontId="1" fillId="0" borderId="0" xfId="0" applyFont="1" applyBorder="1" applyAlignment="1">
      <alignment horizontal="right"/>
    </xf>
    <xf numFmtId="0" fontId="1" fillId="0" borderId="0" xfId="0" applyFont="1" applyBorder="1" applyAlignment="1"/>
    <xf numFmtId="0" fontId="1" fillId="2" borderId="0" xfId="0" applyFont="1" applyFill="1" applyBorder="1" applyAlignment="1">
      <alignment horizontal="left"/>
    </xf>
    <xf numFmtId="0" fontId="1" fillId="0" borderId="0" xfId="0" applyFont="1" applyBorder="1" applyAlignment="1">
      <alignment horizontal="left"/>
    </xf>
    <xf numFmtId="2" fontId="9" fillId="2" borderId="0" xfId="0" applyNumberFormat="1" applyFont="1" applyFill="1" applyBorder="1" applyAlignment="1">
      <alignment horizontal="right"/>
    </xf>
    <xf numFmtId="2" fontId="9" fillId="2" borderId="0" xfId="0" applyNumberFormat="1" applyFont="1" applyFill="1" applyBorder="1" applyAlignment="1">
      <alignment horizontal="left" wrapText="1"/>
    </xf>
    <xf numFmtId="2" fontId="9" fillId="2" borderId="0" xfId="0" applyNumberFormat="1" applyFont="1" applyFill="1" applyBorder="1" applyAlignment="1">
      <alignment horizontal="center"/>
    </xf>
    <xf numFmtId="0" fontId="9" fillId="2" borderId="0" xfId="0" applyFont="1" applyFill="1" applyBorder="1" applyAlignment="1">
      <alignment horizontal="left"/>
    </xf>
    <xf numFmtId="49" fontId="9" fillId="2" borderId="0" xfId="0" applyNumberFormat="1" applyFont="1" applyFill="1" applyBorder="1" applyAlignment="1">
      <alignment horizontal="center"/>
    </xf>
    <xf numFmtId="0" fontId="1" fillId="0" borderId="0" xfId="0" applyNumberFormat="1" applyFont="1" applyBorder="1" applyAlignment="1"/>
    <xf numFmtId="0" fontId="9" fillId="0" borderId="0" xfId="0" applyNumberFormat="1" applyFont="1" applyBorder="1" applyAlignment="1"/>
    <xf numFmtId="0" fontId="9" fillId="0" borderId="0" xfId="0" applyNumberFormat="1" applyFont="1" applyBorder="1" applyAlignment="1">
      <alignment horizontal="left"/>
    </xf>
    <xf numFmtId="2" fontId="9" fillId="0" borderId="0" xfId="0" applyNumberFormat="1" applyFont="1" applyBorder="1" applyAlignment="1">
      <alignment horizontal="center"/>
    </xf>
    <xf numFmtId="1" fontId="9" fillId="0" borderId="0" xfId="0" applyNumberFormat="1" applyFont="1" applyBorder="1" applyAlignment="1">
      <alignment horizontal="right"/>
    </xf>
    <xf numFmtId="2" fontId="9" fillId="0" borderId="0" xfId="0" applyNumberFormat="1" applyFont="1" applyBorder="1" applyAlignment="1"/>
    <xf numFmtId="1" fontId="10" fillId="0" borderId="0" xfId="0" applyNumberFormat="1" applyFont="1" applyBorder="1" applyAlignment="1">
      <alignment horizontal="center" wrapText="1"/>
    </xf>
    <xf numFmtId="0" fontId="11" fillId="2" borderId="0" xfId="0" applyNumberFormat="1" applyFont="1" applyFill="1" applyBorder="1" applyAlignment="1">
      <alignment horizontal="center"/>
    </xf>
    <xf numFmtId="49" fontId="12" fillId="0" borderId="0" xfId="0" applyNumberFormat="1" applyFont="1" applyBorder="1" applyAlignment="1"/>
    <xf numFmtId="1" fontId="1" fillId="2" borderId="0" xfId="0" applyNumberFormat="1" applyFont="1" applyFill="1" applyBorder="1" applyAlignment="1">
      <alignment horizontal="center"/>
    </xf>
    <xf numFmtId="2" fontId="1" fillId="0" borderId="0" xfId="0" applyNumberFormat="1" applyFont="1" applyBorder="1" applyAlignment="1">
      <alignment horizontal="center"/>
    </xf>
    <xf numFmtId="1" fontId="9" fillId="2" borderId="0" xfId="0" applyNumberFormat="1" applyFont="1" applyFill="1" applyBorder="1" applyAlignment="1"/>
    <xf numFmtId="2" fontId="1" fillId="0" borderId="0" xfId="0" applyNumberFormat="1" applyFont="1" applyBorder="1" applyAlignment="1"/>
    <xf numFmtId="0" fontId="9" fillId="0" borderId="0" xfId="0" applyFont="1" applyBorder="1" applyAlignment="1">
      <alignment horizontal="center"/>
    </xf>
    <xf numFmtId="2" fontId="13" fillId="2" borderId="0" xfId="0" applyNumberFormat="1" applyFont="1" applyFill="1" applyBorder="1" applyAlignment="1"/>
    <xf numFmtId="2" fontId="13" fillId="2" borderId="0" xfId="0" applyNumberFormat="1" applyFont="1" applyFill="1" applyBorder="1" applyAlignment="1">
      <alignment horizontal="right"/>
    </xf>
    <xf numFmtId="0" fontId="9" fillId="0" borderId="0" xfId="0" applyFont="1" applyBorder="1" applyAlignment="1"/>
    <xf numFmtId="0" fontId="13" fillId="0" borderId="0" xfId="0" applyFont="1" applyBorder="1" applyAlignment="1"/>
    <xf numFmtId="2" fontId="9" fillId="0" borderId="0" xfId="0" applyNumberFormat="1" applyFont="1" applyBorder="1" applyAlignment="1">
      <alignment horizontal="right"/>
    </xf>
    <xf numFmtId="1" fontId="14" fillId="2" borderId="0" xfId="0" applyNumberFormat="1" applyFont="1" applyFill="1" applyAlignment="1"/>
    <xf numFmtId="2" fontId="1" fillId="2" borderId="0" xfId="0" applyNumberFormat="1" applyFont="1" applyFill="1" applyAlignment="1"/>
    <xf numFmtId="0" fontId="1" fillId="0" borderId="0" xfId="0" applyFont="1" applyAlignment="1">
      <alignment horizontal="center"/>
    </xf>
    <xf numFmtId="0" fontId="1" fillId="0" borderId="0" xfId="0" applyFont="1" applyAlignment="1">
      <alignment wrapText="1"/>
    </xf>
    <xf numFmtId="49" fontId="1" fillId="0" borderId="0" xfId="0" applyNumberFormat="1" applyFont="1" applyAlignment="1"/>
    <xf numFmtId="0" fontId="1" fillId="3" borderId="0" xfId="0" applyFont="1" applyFill="1" applyAlignment="1"/>
    <xf numFmtId="0" fontId="1" fillId="2" borderId="0" xfId="0" applyFont="1" applyFill="1" applyAlignment="1"/>
    <xf numFmtId="0" fontId="2" fillId="2" borderId="0" xfId="0" applyNumberFormat="1" applyFont="1" applyFill="1" applyBorder="1" applyAlignment="1">
      <alignment vertical="top"/>
    </xf>
    <xf numFmtId="0" fontId="2" fillId="0" borderId="0" xfId="0" applyNumberFormat="1" applyFont="1" applyBorder="1" applyAlignment="1">
      <alignment horizontal="left" vertical="top"/>
    </xf>
    <xf numFmtId="0" fontId="2" fillId="0" borderId="0" xfId="0" applyNumberFormat="1" applyFont="1" applyBorder="1" applyAlignment="1">
      <alignment vertical="top"/>
    </xf>
    <xf numFmtId="0" fontId="2" fillId="2" borderId="0" xfId="0" applyNumberFormat="1" applyFont="1" applyFill="1" applyBorder="1" applyAlignment="1">
      <alignment horizontal="center" vertical="top"/>
    </xf>
    <xf numFmtId="0" fontId="2" fillId="0" borderId="0" xfId="0" applyNumberFormat="1" applyFont="1" applyBorder="1" applyAlignment="1">
      <alignment horizontal="right" vertical="top"/>
    </xf>
    <xf numFmtId="0" fontId="2" fillId="2" borderId="0" xfId="0" applyNumberFormat="1" applyFont="1" applyFill="1" applyBorder="1" applyAlignment="1">
      <alignment horizontal="left" vertical="top"/>
    </xf>
    <xf numFmtId="0" fontId="16" fillId="2" borderId="0" xfId="0" applyNumberFormat="1" applyFont="1" applyFill="1" applyBorder="1" applyAlignment="1">
      <alignment horizontal="right" vertical="top"/>
    </xf>
    <xf numFmtId="0" fontId="16" fillId="2" borderId="0" xfId="0" applyNumberFormat="1" applyFont="1" applyFill="1" applyBorder="1" applyAlignment="1">
      <alignment horizontal="left" vertical="top" wrapText="1"/>
    </xf>
    <xf numFmtId="0" fontId="16" fillId="2" borderId="0" xfId="0" applyNumberFormat="1" applyFont="1" applyFill="1" applyBorder="1" applyAlignment="1">
      <alignment horizontal="center" vertical="top"/>
    </xf>
    <xf numFmtId="0" fontId="16" fillId="2" borderId="0" xfId="0" applyNumberFormat="1" applyFont="1" applyFill="1" applyBorder="1" applyAlignment="1">
      <alignment horizontal="left" vertical="top"/>
    </xf>
    <xf numFmtId="0" fontId="16" fillId="0" borderId="0" xfId="0" applyNumberFormat="1" applyFont="1" applyBorder="1" applyAlignment="1">
      <alignment vertical="top"/>
    </xf>
    <xf numFmtId="0" fontId="16" fillId="0" borderId="0" xfId="0" applyNumberFormat="1" applyFont="1" applyBorder="1" applyAlignment="1">
      <alignment horizontal="left" vertical="top"/>
    </xf>
    <xf numFmtId="0" fontId="16" fillId="0" borderId="0" xfId="0" applyNumberFormat="1" applyFont="1" applyBorder="1" applyAlignment="1">
      <alignment horizontal="center" vertical="top"/>
    </xf>
    <xf numFmtId="0" fontId="16" fillId="0" borderId="0" xfId="0" applyNumberFormat="1" applyFont="1" applyBorder="1" applyAlignment="1">
      <alignment horizontal="right" vertical="top"/>
    </xf>
    <xf numFmtId="0" fontId="2" fillId="2" borderId="0" xfId="0" applyNumberFormat="1" applyFont="1" applyFill="1" applyBorder="1" applyAlignment="1">
      <alignment horizontal="right" vertical="top"/>
    </xf>
    <xf numFmtId="0" fontId="2" fillId="2" borderId="0" xfId="0" applyNumberFormat="1" applyFont="1" applyFill="1" applyBorder="1" applyAlignment="1">
      <alignment horizontal="center" vertical="top" wrapText="1"/>
    </xf>
    <xf numFmtId="0" fontId="2" fillId="2" borderId="0" xfId="0" applyNumberFormat="1" applyFont="1" applyFill="1" applyBorder="1" applyAlignment="1">
      <alignment horizontal="left" vertical="top" wrapText="1"/>
    </xf>
    <xf numFmtId="0" fontId="17" fillId="0" borderId="0" xfId="0" applyNumberFormat="1" applyFont="1" applyBorder="1" applyAlignment="1">
      <alignment horizontal="center" vertical="top" wrapText="1"/>
    </xf>
    <xf numFmtId="0" fontId="18" fillId="2" borderId="0" xfId="0" applyNumberFormat="1" applyFont="1" applyFill="1" applyBorder="1" applyAlignment="1">
      <alignment horizontal="center" vertical="top"/>
    </xf>
    <xf numFmtId="0" fontId="19" fillId="0" borderId="0" xfId="0" applyNumberFormat="1" applyFont="1" applyBorder="1" applyAlignment="1">
      <alignment vertical="top"/>
    </xf>
    <xf numFmtId="0" fontId="1" fillId="2" borderId="0" xfId="0" applyNumberFormat="1" applyFont="1" applyFill="1" applyBorder="1" applyAlignment="1">
      <alignment horizontal="center" vertical="top"/>
    </xf>
    <xf numFmtId="0" fontId="2" fillId="0" borderId="0" xfId="0" applyNumberFormat="1" applyFont="1" applyBorder="1" applyAlignment="1">
      <alignment horizontal="center" vertical="top"/>
    </xf>
    <xf numFmtId="0" fontId="16" fillId="2" borderId="0" xfId="0" applyNumberFormat="1" applyFont="1" applyFill="1" applyBorder="1" applyAlignment="1">
      <alignment vertical="top"/>
    </xf>
    <xf numFmtId="0" fontId="9" fillId="0" borderId="0" xfId="0" applyNumberFormat="1" applyFont="1" applyBorder="1" applyAlignment="1">
      <alignment horizontal="center" vertical="top"/>
    </xf>
    <xf numFmtId="0" fontId="9" fillId="2" borderId="0" xfId="0" applyNumberFormat="1" applyFont="1" applyFill="1" applyBorder="1" applyAlignment="1">
      <alignment vertical="top"/>
    </xf>
    <xf numFmtId="0" fontId="20" fillId="2" borderId="0" xfId="0" applyNumberFormat="1" applyFont="1" applyFill="1" applyBorder="1" applyAlignment="1">
      <alignment vertical="top"/>
    </xf>
    <xf numFmtId="0" fontId="20" fillId="2" borderId="0" xfId="0" applyNumberFormat="1" applyFont="1" applyFill="1" applyBorder="1" applyAlignment="1">
      <alignment horizontal="right" vertical="top"/>
    </xf>
    <xf numFmtId="0" fontId="20" fillId="0" borderId="0" xfId="0" applyNumberFormat="1" applyFont="1" applyBorder="1" applyAlignment="1">
      <alignment vertical="top"/>
    </xf>
    <xf numFmtId="0" fontId="2" fillId="2" borderId="0" xfId="0" applyNumberFormat="1" applyFont="1" applyFill="1" applyAlignment="1">
      <alignment vertical="top"/>
    </xf>
    <xf numFmtId="0" fontId="2" fillId="0" borderId="0" xfId="0" applyNumberFormat="1" applyFont="1" applyAlignment="1">
      <alignment horizontal="center" vertical="top"/>
    </xf>
    <xf numFmtId="0" fontId="17" fillId="2" borderId="0" xfId="0" applyNumberFormat="1" applyFont="1" applyFill="1" applyAlignment="1">
      <alignment vertical="top" wrapText="1"/>
    </xf>
    <xf numFmtId="0" fontId="2" fillId="0" borderId="0" xfId="0" applyNumberFormat="1" applyFont="1" applyAlignment="1">
      <alignment vertical="top" wrapText="1"/>
    </xf>
    <xf numFmtId="0" fontId="2" fillId="0" borderId="0" xfId="0" applyNumberFormat="1" applyFont="1" applyAlignment="1">
      <alignment vertical="top"/>
    </xf>
    <xf numFmtId="0" fontId="2" fillId="3" borderId="0" xfId="0" applyNumberFormat="1" applyFont="1" applyFill="1" applyAlignment="1">
      <alignment vertical="top"/>
    </xf>
    <xf numFmtId="0" fontId="1" fillId="2" borderId="1" xfId="0" applyNumberFormat="1" applyFont="1" applyFill="1" applyBorder="1" applyAlignment="1">
      <alignment horizontal="center" vertical="top" wrapText="1"/>
    </xf>
    <xf numFmtId="0" fontId="1" fillId="2" borderId="0" xfId="0" applyNumberFormat="1" applyFont="1" applyFill="1" applyBorder="1" applyAlignment="1">
      <alignment horizontal="right" vertical="top"/>
    </xf>
    <xf numFmtId="0" fontId="1" fillId="2" borderId="0" xfId="0" applyNumberFormat="1" applyFont="1" applyFill="1" applyBorder="1" applyAlignment="1">
      <alignment horizontal="center" vertical="top" wrapText="1"/>
    </xf>
    <xf numFmtId="0" fontId="1" fillId="2" borderId="0" xfId="0" applyNumberFormat="1" applyFont="1" applyFill="1" applyBorder="1" applyAlignment="1">
      <alignment vertical="top" wrapText="1"/>
    </xf>
    <xf numFmtId="0" fontId="1" fillId="2" borderId="0" xfId="0" applyNumberFormat="1" applyFont="1" applyFill="1" applyBorder="1" applyAlignment="1">
      <alignment horizontal="left" vertical="top" wrapText="1"/>
    </xf>
    <xf numFmtId="0" fontId="2" fillId="4" borderId="2" xfId="0" applyNumberFormat="1" applyFont="1" applyFill="1" applyBorder="1" applyAlignment="1">
      <alignment horizontal="center" vertical="top" wrapText="1"/>
    </xf>
    <xf numFmtId="0" fontId="2" fillId="2" borderId="0" xfId="0" applyNumberFormat="1" applyFont="1" applyFill="1" applyBorder="1" applyAlignment="1">
      <alignment horizontal="right" vertical="top" wrapText="1"/>
    </xf>
    <xf numFmtId="0" fontId="2" fillId="2" borderId="0" xfId="0" applyNumberFormat="1" applyFont="1" applyFill="1" applyBorder="1" applyAlignment="1">
      <alignment vertical="top" wrapText="1"/>
    </xf>
    <xf numFmtId="0" fontId="2" fillId="4" borderId="0" xfId="0" applyNumberFormat="1" applyFont="1" applyFill="1" applyBorder="1" applyAlignment="1">
      <alignment horizontal="center" vertical="top"/>
    </xf>
    <xf numFmtId="0" fontId="1" fillId="5" borderId="2" xfId="0" applyNumberFormat="1" applyFont="1" applyFill="1" applyBorder="1" applyAlignment="1">
      <alignment horizontal="center" vertical="center" wrapText="1"/>
    </xf>
    <xf numFmtId="1" fontId="1" fillId="2" borderId="0" xfId="0" applyNumberFormat="1" applyFont="1" applyFill="1" applyBorder="1" applyAlignment="1">
      <alignment horizontal="right"/>
    </xf>
    <xf numFmtId="0" fontId="9" fillId="2" borderId="0" xfId="0" applyFont="1" applyFill="1" applyBorder="1" applyAlignment="1">
      <alignment horizontal="center"/>
    </xf>
    <xf numFmtId="0" fontId="1" fillId="2" borderId="0" xfId="0" applyFont="1" applyFill="1" applyBorder="1" applyAlignment="1">
      <alignment horizontal="right"/>
    </xf>
    <xf numFmtId="49" fontId="1" fillId="2" borderId="0" xfId="0" applyNumberFormat="1" applyFont="1" applyFill="1" applyBorder="1" applyAlignment="1">
      <alignment horizontal="right"/>
    </xf>
    <xf numFmtId="49" fontId="1" fillId="2" borderId="0" xfId="0" applyNumberFormat="1" applyFont="1" applyFill="1" applyBorder="1" applyAlignment="1">
      <alignment horizontal="left"/>
    </xf>
    <xf numFmtId="0" fontId="1" fillId="2" borderId="0" xfId="0" applyFont="1" applyFill="1" applyBorder="1" applyAlignment="1">
      <alignment horizontal="left" wrapText="1"/>
    </xf>
    <xf numFmtId="0" fontId="1" fillId="0" borderId="0" xfId="0" applyFont="1" applyFill="1" applyBorder="1" applyAlignment="1">
      <alignment horizontal="center"/>
    </xf>
    <xf numFmtId="0" fontId="21" fillId="0" borderId="0" xfId="0" applyFont="1" applyFill="1" applyBorder="1" applyAlignment="1">
      <alignment horizontal="center"/>
    </xf>
    <xf numFmtId="0" fontId="2" fillId="0" borderId="0" xfId="0" applyFont="1" applyFill="1" applyBorder="1" applyAlignment="1">
      <alignment horizontal="right"/>
    </xf>
    <xf numFmtId="1" fontId="22" fillId="0" borderId="0" xfId="0" applyNumberFormat="1" applyFont="1" applyFill="1" applyBorder="1" applyAlignment="1">
      <alignment horizontal="center" textRotation="90"/>
    </xf>
    <xf numFmtId="0" fontId="2" fillId="0" borderId="0" xfId="0" applyFont="1" applyFill="1" applyBorder="1" applyAlignment="1">
      <alignment horizontal="center"/>
    </xf>
    <xf numFmtId="0" fontId="2" fillId="2" borderId="0" xfId="0" applyFont="1" applyFill="1" applyBorder="1" applyAlignment="1">
      <alignment horizontal="right"/>
    </xf>
    <xf numFmtId="0" fontId="1" fillId="5" borderId="0" xfId="0" applyFont="1" applyFill="1" applyAlignment="1">
      <alignment vertical="center"/>
    </xf>
    <xf numFmtId="0" fontId="2" fillId="2" borderId="3" xfId="0" applyNumberFormat="1" applyFont="1" applyFill="1" applyBorder="1" applyAlignment="1">
      <alignment horizontal="center" vertical="center" wrapText="1"/>
    </xf>
    <xf numFmtId="0" fontId="23" fillId="2" borderId="0" xfId="0" applyNumberFormat="1" applyFont="1" applyFill="1" applyAlignment="1">
      <alignment horizontal="center" vertical="center"/>
    </xf>
    <xf numFmtId="0" fontId="23" fillId="2" borderId="0" xfId="0" applyNumberFormat="1" applyFont="1" applyFill="1" applyAlignment="1">
      <alignment horizontal="left" vertical="center" wrapText="1"/>
    </xf>
    <xf numFmtId="0" fontId="23" fillId="2" borderId="0" xfId="0" applyNumberFormat="1" applyFont="1" applyFill="1" applyAlignment="1">
      <alignment horizontal="center" vertical="center" wrapText="1"/>
    </xf>
    <xf numFmtId="0" fontId="23" fillId="2" borderId="0" xfId="0" applyNumberFormat="1" applyFont="1" applyFill="1" applyAlignment="1">
      <alignment vertical="center" wrapText="1"/>
    </xf>
    <xf numFmtId="0" fontId="23" fillId="2" borderId="0" xfId="0" applyNumberFormat="1" applyFont="1" applyFill="1" applyAlignment="1">
      <alignment vertical="center"/>
    </xf>
    <xf numFmtId="1" fontId="23" fillId="2" borderId="0" xfId="0" applyNumberFormat="1" applyFont="1" applyFill="1" applyBorder="1" applyAlignment="1">
      <alignment horizontal="left" vertical="center"/>
    </xf>
    <xf numFmtId="1" fontId="23" fillId="2" borderId="0" xfId="0" applyNumberFormat="1" applyFont="1" applyFill="1" applyBorder="1" applyAlignment="1">
      <alignment horizontal="left" vertical="center" wrapText="1"/>
    </xf>
    <xf numFmtId="1" fontId="23" fillId="2" borderId="0" xfId="0" applyNumberFormat="1" applyFont="1" applyFill="1" applyBorder="1" applyAlignment="1">
      <alignment horizontal="center" vertical="center"/>
    </xf>
    <xf numFmtId="2" fontId="23" fillId="2" borderId="0" xfId="0" applyNumberFormat="1" applyFont="1" applyFill="1" applyAlignment="1">
      <alignment horizontal="left" vertical="center"/>
    </xf>
    <xf numFmtId="49" fontId="23" fillId="2" borderId="0" xfId="0" applyNumberFormat="1" applyFont="1" applyFill="1" applyBorder="1" applyAlignment="1">
      <alignment horizontal="center" vertical="center"/>
    </xf>
    <xf numFmtId="49" fontId="23" fillId="2" borderId="0" xfId="0" applyNumberFormat="1" applyFont="1" applyFill="1" applyBorder="1" applyAlignment="1">
      <alignment vertical="center"/>
    </xf>
    <xf numFmtId="2" fontId="23" fillId="2" borderId="0" xfId="0" applyNumberFormat="1" applyFont="1" applyFill="1" applyBorder="1" applyAlignment="1">
      <alignment horizontal="center" vertical="center"/>
    </xf>
    <xf numFmtId="49" fontId="23" fillId="2" borderId="0" xfId="0" applyNumberFormat="1" applyFont="1" applyFill="1" applyBorder="1" applyAlignment="1">
      <alignment horizontal="right" vertical="center"/>
    </xf>
    <xf numFmtId="49" fontId="23" fillId="2" borderId="0" xfId="0" applyNumberFormat="1" applyFont="1" applyFill="1" applyBorder="1" applyAlignment="1">
      <alignment horizontal="left" vertical="center"/>
    </xf>
    <xf numFmtId="49" fontId="23" fillId="2" borderId="0" xfId="0" applyNumberFormat="1" applyFont="1" applyFill="1" applyBorder="1" applyAlignment="1">
      <alignment horizontal="right" vertical="center" wrapText="1"/>
    </xf>
    <xf numFmtId="2" fontId="23" fillId="2" borderId="0" xfId="0" applyNumberFormat="1" applyFont="1" applyFill="1" applyBorder="1" applyAlignment="1">
      <alignment horizontal="center" vertical="center" wrapText="1"/>
    </xf>
    <xf numFmtId="0" fontId="23" fillId="2" borderId="0" xfId="0" applyNumberFormat="1" applyFont="1" applyFill="1" applyBorder="1" applyAlignment="1">
      <alignment horizontal="center" vertical="center" wrapText="1"/>
    </xf>
    <xf numFmtId="0" fontId="23" fillId="2" borderId="0" xfId="0" applyNumberFormat="1" applyFont="1" applyFill="1" applyBorder="1" applyAlignment="1">
      <alignment vertical="center" wrapText="1"/>
    </xf>
    <xf numFmtId="0" fontId="23" fillId="2" borderId="0" xfId="0" applyNumberFormat="1" applyFont="1" applyFill="1" applyBorder="1" applyAlignment="1">
      <alignment horizontal="left" vertical="center" wrapText="1"/>
    </xf>
    <xf numFmtId="1" fontId="24" fillId="2" borderId="0" xfId="0" applyNumberFormat="1" applyFont="1" applyFill="1" applyAlignment="1">
      <alignment horizontal="center" vertical="center" wrapText="1"/>
    </xf>
    <xf numFmtId="2" fontId="23" fillId="2" borderId="0" xfId="0" applyNumberFormat="1" applyFont="1" applyFill="1" applyAlignment="1">
      <alignment vertical="center"/>
    </xf>
    <xf numFmtId="2" fontId="23" fillId="2" borderId="0" xfId="0" applyNumberFormat="1" applyFont="1" applyFill="1" applyAlignment="1">
      <alignment horizontal="center" vertical="center"/>
    </xf>
    <xf numFmtId="0" fontId="2" fillId="2" borderId="0" xfId="0" applyFont="1" applyFill="1" applyAlignment="1">
      <alignment vertical="center"/>
    </xf>
    <xf numFmtId="0" fontId="2" fillId="2" borderId="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2" borderId="5" xfId="0" applyNumberFormat="1" applyFont="1" applyFill="1" applyBorder="1" applyAlignment="1">
      <alignment horizontal="center" vertical="center"/>
    </xf>
    <xf numFmtId="0" fontId="2" fillId="2" borderId="5" xfId="0" applyFont="1" applyFill="1" applyBorder="1" applyAlignment="1">
      <alignment vertical="center"/>
    </xf>
    <xf numFmtId="2" fontId="2" fillId="2" borderId="5" xfId="0" applyNumberFormat="1" applyFont="1" applyFill="1" applyBorder="1" applyAlignment="1">
      <alignment horizontal="left" vertical="center"/>
    </xf>
    <xf numFmtId="1" fontId="1" fillId="2" borderId="5" xfId="0" applyNumberFormat="1" applyFont="1" applyFill="1" applyBorder="1" applyAlignment="1">
      <alignment horizontal="center" vertical="center"/>
    </xf>
    <xf numFmtId="1" fontId="2" fillId="2" borderId="5"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2" fontId="1" fillId="2" borderId="4" xfId="0" applyNumberFormat="1" applyFont="1" applyFill="1" applyBorder="1" applyAlignment="1">
      <alignment horizontal="center" vertical="center" wrapText="1"/>
    </xf>
    <xf numFmtId="0" fontId="26" fillId="0" borderId="0" xfId="0" applyFont="1" applyAlignment="1">
      <alignment horizontal="center" vertical="center"/>
    </xf>
    <xf numFmtId="0" fontId="2" fillId="2" borderId="8" xfId="0" applyNumberFormat="1" applyFont="1" applyFill="1" applyBorder="1" applyAlignment="1">
      <alignment horizontal="center" vertical="center" wrapText="1"/>
    </xf>
    <xf numFmtId="0" fontId="2" fillId="2" borderId="5" xfId="0" applyFont="1" applyFill="1" applyBorder="1" applyAlignment="1">
      <alignment horizontal="left" vertical="center" wrapText="1"/>
    </xf>
    <xf numFmtId="49" fontId="2" fillId="2" borderId="13" xfId="0" applyNumberFormat="1"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2" fontId="2" fillId="2" borderId="5" xfId="0" applyNumberFormat="1" applyFont="1" applyFill="1" applyBorder="1" applyAlignment="1">
      <alignment horizontal="right" vertical="center"/>
    </xf>
    <xf numFmtId="2" fontId="2" fillId="2" borderId="8" xfId="0" applyNumberFormat="1" applyFont="1" applyFill="1" applyBorder="1" applyAlignment="1">
      <alignment horizontal="right" vertical="center"/>
    </xf>
    <xf numFmtId="2" fontId="2" fillId="2" borderId="10" xfId="0" applyNumberFormat="1" applyFont="1" applyFill="1" applyBorder="1" applyAlignment="1">
      <alignment horizontal="center" vertical="center"/>
    </xf>
    <xf numFmtId="0" fontId="2" fillId="2" borderId="9" xfId="0" applyNumberFormat="1" applyFont="1" applyFill="1" applyBorder="1" applyAlignment="1">
      <alignment horizontal="left" vertical="center" wrapText="1"/>
    </xf>
    <xf numFmtId="2" fontId="2" fillId="2" borderId="8" xfId="0" applyNumberFormat="1" applyFont="1" applyFill="1" applyBorder="1" applyAlignment="1">
      <alignment horizontal="center" vertical="center"/>
    </xf>
    <xf numFmtId="0" fontId="2" fillId="2" borderId="8" xfId="0" applyNumberFormat="1" applyFont="1" applyFill="1" applyBorder="1" applyAlignment="1">
      <alignment vertical="center" wrapText="1"/>
    </xf>
    <xf numFmtId="0" fontId="2" fillId="2" borderId="11" xfId="0" applyNumberFormat="1" applyFont="1" applyFill="1" applyBorder="1" applyAlignment="1">
      <alignment vertical="center" wrapText="1"/>
    </xf>
    <xf numFmtId="0" fontId="2" fillId="2" borderId="12" xfId="0" applyNumberFormat="1" applyFont="1" applyFill="1" applyBorder="1" applyAlignment="1">
      <alignment horizontal="left" vertical="center" wrapText="1"/>
    </xf>
    <xf numFmtId="2" fontId="2" fillId="2" borderId="5" xfId="0" applyNumberFormat="1" applyFont="1" applyFill="1" applyBorder="1" applyAlignment="1">
      <alignment horizontal="center" vertical="center" wrapText="1"/>
    </xf>
    <xf numFmtId="0" fontId="2" fillId="2" borderId="8" xfId="0" applyNumberFormat="1" applyFont="1" applyFill="1" applyBorder="1" applyAlignment="1">
      <alignment horizontal="right" vertical="center" wrapText="1"/>
    </xf>
    <xf numFmtId="49" fontId="2" fillId="0" borderId="8" xfId="0" applyNumberFormat="1" applyFont="1" applyBorder="1" applyAlignment="1">
      <alignment horizontal="right" vertical="center"/>
    </xf>
    <xf numFmtId="2" fontId="2" fillId="0" borderId="11" xfId="0" applyNumberFormat="1" applyFont="1" applyBorder="1" applyAlignment="1">
      <alignment horizontal="center" vertical="center"/>
    </xf>
    <xf numFmtId="49" fontId="2" fillId="2" borderId="11" xfId="0" applyNumberFormat="1" applyFont="1" applyFill="1" applyBorder="1" applyAlignment="1">
      <alignment horizontal="center" vertical="center"/>
    </xf>
    <xf numFmtId="49" fontId="2" fillId="0" borderId="11" xfId="0" applyNumberFormat="1" applyFont="1" applyBorder="1" applyAlignment="1">
      <alignment vertical="center"/>
    </xf>
    <xf numFmtId="0" fontId="2" fillId="0" borderId="12" xfId="0" applyNumberFormat="1" applyFont="1" applyBorder="1" applyAlignment="1">
      <alignment horizontal="left" vertical="center"/>
    </xf>
    <xf numFmtId="1" fontId="2" fillId="2" borderId="16"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xf>
    <xf numFmtId="1" fontId="1" fillId="2" borderId="8" xfId="0" applyNumberFormat="1" applyFont="1" applyFill="1" applyBorder="1" applyAlignment="1">
      <alignment horizontal="center" vertical="center"/>
    </xf>
    <xf numFmtId="1" fontId="1" fillId="2" borderId="9" xfId="0" applyNumberFormat="1" applyFont="1" applyFill="1" applyBorder="1" applyAlignment="1">
      <alignment horizontal="center" vertical="center"/>
    </xf>
    <xf numFmtId="0" fontId="1" fillId="2" borderId="5" xfId="0" applyFont="1" applyFill="1" applyBorder="1" applyAlignment="1">
      <alignment horizontal="center" vertical="center"/>
    </xf>
    <xf numFmtId="2" fontId="2" fillId="3" borderId="5" xfId="0" applyNumberFormat="1" applyFont="1" applyFill="1" applyBorder="1" applyAlignment="1">
      <alignment horizontal="center" vertical="center"/>
    </xf>
    <xf numFmtId="1" fontId="2" fillId="2" borderId="17" xfId="0" applyNumberFormat="1" applyFont="1" applyFill="1" applyBorder="1" applyAlignment="1">
      <alignment horizontal="center" vertical="center"/>
    </xf>
    <xf numFmtId="1" fontId="1" fillId="2" borderId="18" xfId="0" applyNumberFormat="1" applyFont="1" applyFill="1" applyBorder="1" applyAlignment="1">
      <alignment horizontal="center" vertical="center" wrapText="1"/>
    </xf>
    <xf numFmtId="2" fontId="2" fillId="2" borderId="5" xfId="0" applyNumberFormat="1" applyFont="1" applyFill="1" applyBorder="1" applyAlignment="1">
      <alignment horizontal="center" vertical="center"/>
    </xf>
    <xf numFmtId="0" fontId="7" fillId="0" borderId="0" xfId="0" applyNumberFormat="1" applyFont="1" applyAlignment="1">
      <alignment horizontal="center"/>
    </xf>
    <xf numFmtId="0" fontId="28" fillId="0" borderId="0" xfId="0" applyNumberFormat="1" applyFont="1" applyBorder="1" applyAlignment="1">
      <alignment horizontal="left"/>
    </xf>
    <xf numFmtId="2" fontId="23" fillId="0" borderId="0" xfId="0" applyNumberFormat="1" applyFont="1" applyAlignment="1"/>
    <xf numFmtId="0" fontId="3" fillId="0" borderId="0" xfId="0" applyNumberFormat="1" applyFont="1" applyBorder="1" applyAlignment="1">
      <alignment wrapText="1"/>
    </xf>
    <xf numFmtId="0" fontId="3" fillId="0" borderId="0" xfId="0" applyNumberFormat="1" applyFont="1" applyBorder="1" applyAlignment="1">
      <alignment horizontal="left" wrapText="1"/>
    </xf>
    <xf numFmtId="0" fontId="3" fillId="0" borderId="0" xfId="0" applyNumberFormat="1" applyFont="1" applyBorder="1" applyAlignment="1">
      <alignment horizontal="center" wrapText="1"/>
    </xf>
    <xf numFmtId="2" fontId="7" fillId="0" borderId="0" xfId="0" applyNumberFormat="1" applyFont="1" applyAlignment="1"/>
    <xf numFmtId="0" fontId="3" fillId="0" borderId="0" xfId="0" applyNumberFormat="1" applyFont="1" applyAlignment="1">
      <alignment horizontal="center"/>
    </xf>
    <xf numFmtId="0" fontId="7" fillId="0" borderId="0" xfId="0" applyNumberFormat="1" applyFont="1" applyAlignment="1">
      <alignment wrapText="1"/>
    </xf>
    <xf numFmtId="0" fontId="7" fillId="0" borderId="0" xfId="0" applyNumberFormat="1" applyFont="1" applyBorder="1" applyAlignment="1">
      <alignment horizontal="center" wrapText="1"/>
    </xf>
    <xf numFmtId="0" fontId="7" fillId="0" borderId="0" xfId="0" applyNumberFormat="1" applyFont="1" applyAlignment="1">
      <alignment horizontal="left"/>
    </xf>
    <xf numFmtId="0" fontId="7" fillId="0" borderId="0" xfId="0" applyNumberFormat="1" applyFont="1" applyBorder="1" applyAlignment="1">
      <alignment wrapText="1"/>
    </xf>
    <xf numFmtId="0" fontId="7" fillId="0" borderId="0" xfId="0" applyNumberFormat="1" applyFont="1" applyBorder="1" applyAlignment="1">
      <alignment horizontal="left" wrapText="1"/>
    </xf>
    <xf numFmtId="2" fontId="7" fillId="2" borderId="0" xfId="0" applyNumberFormat="1" applyFont="1" applyFill="1" applyBorder="1" applyAlignment="1">
      <alignment horizontal="center" vertical="center"/>
    </xf>
    <xf numFmtId="2" fontId="3" fillId="0" borderId="0" xfId="0" applyNumberFormat="1" applyFont="1" applyAlignment="1"/>
    <xf numFmtId="0" fontId="30" fillId="2" borderId="8" xfId="0" applyNumberFormat="1" applyFont="1" applyFill="1" applyBorder="1" applyAlignment="1">
      <alignment horizontal="center" vertical="center" wrapText="1"/>
    </xf>
    <xf numFmtId="0" fontId="23" fillId="0" borderId="0" xfId="0" quotePrefix="1" applyNumberFormat="1" applyFont="1" applyBorder="1" applyAlignment="1">
      <alignment horizontal="left"/>
    </xf>
    <xf numFmtId="0" fontId="3" fillId="0" borderId="0" xfId="0" applyNumberFormat="1" applyFont="1" applyBorder="1" applyAlignment="1">
      <alignment horizontal="center" vertical="center" wrapText="1"/>
    </xf>
    <xf numFmtId="1" fontId="31" fillId="0" borderId="0" xfId="0" applyNumberFormat="1" applyFont="1" applyAlignment="1">
      <alignment horizontal="center" vertical="center" wrapText="1"/>
    </xf>
    <xf numFmtId="2" fontId="3" fillId="0" borderId="0" xfId="0" applyNumberFormat="1" applyFont="1" applyAlignment="1">
      <alignment horizontal="center" vertical="center"/>
    </xf>
    <xf numFmtId="2" fontId="6" fillId="3" borderId="5" xfId="0" applyNumberFormat="1" applyFont="1" applyFill="1" applyBorder="1" applyAlignment="1">
      <alignment horizontal="center" vertical="center"/>
    </xf>
    <xf numFmtId="0" fontId="23" fillId="2" borderId="0" xfId="0" applyFont="1" applyFill="1" applyAlignment="1">
      <alignment vertical="center"/>
    </xf>
    <xf numFmtId="0" fontId="4" fillId="0" borderId="0" xfId="0" applyNumberFormat="1" applyFont="1" applyBorder="1" applyAlignment="1">
      <alignment wrapText="1"/>
    </xf>
    <xf numFmtId="0" fontId="4" fillId="0" borderId="0" xfId="0" applyNumberFormat="1" applyFont="1" applyBorder="1" applyAlignment="1">
      <alignment horizontal="left" wrapText="1"/>
    </xf>
    <xf numFmtId="0" fontId="4" fillId="0" borderId="0" xfId="0" applyNumberFormat="1" applyFont="1" applyBorder="1" applyAlignment="1">
      <alignment horizontal="center" wrapText="1"/>
    </xf>
    <xf numFmtId="0" fontId="32" fillId="2" borderId="0" xfId="0" applyNumberFormat="1" applyFont="1" applyFill="1" applyBorder="1" applyAlignment="1">
      <alignment horizontal="center" vertical="center" wrapText="1"/>
    </xf>
    <xf numFmtId="0" fontId="7" fillId="2" borderId="0" xfId="0" applyNumberFormat="1" applyFont="1" applyFill="1" applyAlignment="1">
      <alignment horizontal="center" wrapText="1"/>
    </xf>
    <xf numFmtId="0" fontId="7" fillId="0" borderId="0" xfId="0" quotePrefix="1" applyNumberFormat="1" applyFont="1" applyBorder="1" applyAlignment="1">
      <alignment horizontal="left"/>
    </xf>
    <xf numFmtId="0" fontId="35" fillId="7" borderId="0" xfId="0" applyFont="1" applyFill="1" applyBorder="1" applyAlignment="1">
      <alignment horizontal="center" vertical="center"/>
    </xf>
    <xf numFmtId="0" fontId="35" fillId="7" borderId="0" xfId="0" applyNumberFormat="1" applyFont="1" applyFill="1" applyBorder="1" applyAlignment="1">
      <alignment horizontal="center" vertical="center" wrapText="1"/>
    </xf>
    <xf numFmtId="49" fontId="35" fillId="7" borderId="0" xfId="0" applyNumberFormat="1" applyFont="1" applyFill="1" applyBorder="1" applyAlignment="1">
      <alignment vertical="center"/>
    </xf>
    <xf numFmtId="0" fontId="35" fillId="7" borderId="0" xfId="0" applyFont="1" applyFill="1" applyBorder="1" applyAlignment="1">
      <alignment vertical="center" wrapText="1"/>
    </xf>
    <xf numFmtId="0" fontId="35" fillId="7" borderId="0" xfId="0" applyNumberFormat="1" applyFont="1" applyFill="1" applyBorder="1" applyAlignment="1">
      <alignment horizontal="left" vertical="center"/>
    </xf>
    <xf numFmtId="0" fontId="35" fillId="7" borderId="0" xfId="0" applyNumberFormat="1" applyFont="1" applyFill="1" applyBorder="1" applyAlignment="1">
      <alignment horizontal="center" vertical="center"/>
    </xf>
    <xf numFmtId="0" fontId="35" fillId="7" borderId="0" xfId="0" applyNumberFormat="1" applyFont="1" applyFill="1" applyBorder="1" applyAlignment="1">
      <alignment vertical="center"/>
    </xf>
    <xf numFmtId="0" fontId="35" fillId="7" borderId="0" xfId="0" applyFont="1" applyFill="1" applyBorder="1" applyAlignment="1">
      <alignment vertical="center"/>
    </xf>
    <xf numFmtId="49" fontId="35" fillId="7" borderId="0" xfId="0" applyNumberFormat="1" applyFont="1" applyFill="1" applyBorder="1" applyAlignment="1">
      <alignment horizontal="left" vertical="center"/>
    </xf>
    <xf numFmtId="2" fontId="35" fillId="7" borderId="0" xfId="0" applyNumberFormat="1" applyFont="1" applyFill="1" applyBorder="1" applyAlignment="1">
      <alignment horizontal="left" vertical="center"/>
    </xf>
    <xf numFmtId="0" fontId="34" fillId="7" borderId="0" xfId="0" applyNumberFormat="1" applyFont="1" applyFill="1" applyBorder="1" applyAlignment="1">
      <alignment horizontal="center" vertical="center" wrapText="1"/>
    </xf>
    <xf numFmtId="1" fontId="34" fillId="7" borderId="0" xfId="0" applyNumberFormat="1" applyFont="1" applyFill="1" applyBorder="1" applyAlignment="1">
      <alignment horizontal="center" vertical="center"/>
    </xf>
    <xf numFmtId="1" fontId="35" fillId="7" borderId="0" xfId="0" applyNumberFormat="1" applyFont="1" applyFill="1" applyBorder="1" applyAlignment="1">
      <alignment horizontal="center" vertical="center" wrapText="1"/>
    </xf>
    <xf numFmtId="1" fontId="35" fillId="7" borderId="0" xfId="0" applyNumberFormat="1" applyFont="1" applyFill="1" applyBorder="1" applyAlignment="1">
      <alignment horizontal="center" vertical="center"/>
    </xf>
    <xf numFmtId="0" fontId="34" fillId="7" borderId="0" xfId="0" applyFont="1" applyFill="1" applyBorder="1" applyAlignment="1">
      <alignment horizontal="center" vertical="center"/>
    </xf>
    <xf numFmtId="0" fontId="36" fillId="7" borderId="0" xfId="0" applyFont="1" applyFill="1" applyBorder="1" applyAlignment="1">
      <alignment horizontal="center" vertical="center"/>
    </xf>
    <xf numFmtId="0" fontId="39" fillId="7" borderId="0" xfId="0" applyFont="1" applyFill="1" applyBorder="1" applyAlignment="1">
      <alignment horizontal="center" vertical="center"/>
    </xf>
    <xf numFmtId="0" fontId="39" fillId="7" borderId="0" xfId="0" applyNumberFormat="1" applyFont="1" applyFill="1" applyBorder="1" applyAlignment="1">
      <alignment horizontal="center" vertical="center" wrapText="1"/>
    </xf>
    <xf numFmtId="49" fontId="39" fillId="7" borderId="0" xfId="0" applyNumberFormat="1" applyFont="1" applyFill="1" applyBorder="1" applyAlignment="1">
      <alignment vertical="center"/>
    </xf>
    <xf numFmtId="0" fontId="1" fillId="0" borderId="0" xfId="0" applyFont="1" applyAlignment="1">
      <alignment vertical="center"/>
    </xf>
    <xf numFmtId="1" fontId="1" fillId="2" borderId="0" xfId="0" applyNumberFormat="1" applyFont="1" applyFill="1" applyBorder="1" applyAlignment="1">
      <alignment horizontal="right" vertical="center"/>
    </xf>
    <xf numFmtId="1" fontId="1" fillId="2" borderId="0" xfId="0" applyNumberFormat="1" applyFont="1" applyFill="1" applyBorder="1" applyAlignment="1">
      <alignment horizontal="center" vertical="center"/>
    </xf>
    <xf numFmtId="0" fontId="1" fillId="2" borderId="0" xfId="0" applyFont="1" applyFill="1" applyBorder="1" applyAlignment="1">
      <alignment vertical="center" wrapText="1"/>
    </xf>
    <xf numFmtId="0" fontId="1" fillId="2" borderId="0" xfId="0" applyFont="1" applyFill="1" applyBorder="1" applyAlignment="1">
      <alignment vertical="center"/>
    </xf>
    <xf numFmtId="0" fontId="1" fillId="0" borderId="0" xfId="0" applyFont="1" applyAlignment="1">
      <alignment vertical="center" wrapText="1"/>
    </xf>
    <xf numFmtId="0" fontId="42" fillId="2" borderId="0" xfId="0" applyFont="1" applyFill="1" applyAlignment="1">
      <alignment vertical="center"/>
    </xf>
    <xf numFmtId="0" fontId="1" fillId="2" borderId="0" xfId="0" applyFont="1" applyFill="1" applyAlignment="1">
      <alignment horizontal="right" vertical="center"/>
    </xf>
    <xf numFmtId="0" fontId="2" fillId="0" borderId="0" xfId="0" applyFont="1" applyAlignment="1">
      <alignment vertical="center"/>
    </xf>
    <xf numFmtId="0" fontId="1" fillId="2" borderId="0" xfId="0" applyFont="1" applyFill="1" applyBorder="1" applyAlignment="1">
      <alignment horizontal="right" vertical="center" wrapText="1"/>
    </xf>
    <xf numFmtId="1" fontId="1" fillId="2" borderId="0" xfId="0" applyNumberFormat="1" applyFont="1" applyFill="1" applyBorder="1" applyAlignment="1">
      <alignment horizontal="center" vertical="center" wrapText="1"/>
    </xf>
    <xf numFmtId="0" fontId="2" fillId="2" borderId="0" xfId="0" applyFont="1" applyFill="1" applyBorder="1" applyAlignment="1">
      <alignment horizontal="righ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horizontal="right" vertical="center"/>
    </xf>
    <xf numFmtId="0" fontId="2" fillId="0" borderId="0" xfId="0" applyFont="1" applyAlignment="1">
      <alignmen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right" vertical="center" wrapText="1"/>
    </xf>
    <xf numFmtId="2" fontId="16" fillId="2" borderId="0" xfId="0" applyNumberFormat="1" applyFont="1" applyFill="1" applyBorder="1" applyAlignment="1">
      <alignment horizontal="right" vertical="center"/>
    </xf>
    <xf numFmtId="1" fontId="27" fillId="8" borderId="0" xfId="0" applyNumberFormat="1" applyFont="1" applyFill="1" applyBorder="1" applyAlignment="1">
      <alignment horizontal="center" vertical="center" wrapText="1"/>
    </xf>
    <xf numFmtId="1" fontId="11" fillId="8" borderId="0" xfId="0" applyNumberFormat="1" applyFont="1" applyFill="1" applyBorder="1" applyAlignment="1">
      <alignment horizontal="center" vertical="center" wrapText="1"/>
    </xf>
    <xf numFmtId="0" fontId="2" fillId="2" borderId="0" xfId="0" applyFont="1" applyFill="1" applyBorder="1" applyAlignment="1">
      <alignment horizontal="left" vertical="center"/>
    </xf>
    <xf numFmtId="0" fontId="2" fillId="0" borderId="0" xfId="0" applyFont="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49" fontId="2" fillId="0" borderId="0" xfId="0" applyNumberFormat="1" applyFont="1" applyAlignment="1">
      <alignment vertical="center"/>
    </xf>
    <xf numFmtId="2" fontId="20" fillId="2" borderId="0" xfId="0" applyNumberFormat="1" applyFont="1" applyFill="1" applyBorder="1" applyAlignment="1">
      <alignment horizontal="left" vertical="center"/>
    </xf>
    <xf numFmtId="2" fontId="20" fillId="2" borderId="0" xfId="0" applyNumberFormat="1" applyFont="1" applyFill="1" applyBorder="1" applyAlignment="1">
      <alignment vertical="center"/>
    </xf>
    <xf numFmtId="2" fontId="16" fillId="0" borderId="0" xfId="0" applyNumberFormat="1" applyFont="1" applyBorder="1" applyAlignment="1">
      <alignment horizontal="right" vertical="center"/>
    </xf>
    <xf numFmtId="2" fontId="16" fillId="2" borderId="0" xfId="0" applyNumberFormat="1" applyFont="1" applyFill="1" applyAlignment="1">
      <alignment vertical="center"/>
    </xf>
    <xf numFmtId="0" fontId="2" fillId="3" borderId="0" xfId="0" applyFont="1" applyFill="1" applyAlignment="1">
      <alignment vertical="center"/>
    </xf>
    <xf numFmtId="0" fontId="2" fillId="2" borderId="0" xfId="0" applyFont="1" applyFill="1" applyBorder="1" applyAlignment="1">
      <alignment horizontal="center" vertical="center"/>
    </xf>
    <xf numFmtId="0" fontId="1" fillId="0" borderId="0" xfId="0" applyFont="1" applyAlignment="1">
      <alignment horizontal="right" vertical="center" wrapText="1"/>
    </xf>
    <xf numFmtId="0" fontId="9" fillId="2" borderId="0" xfId="0" applyFont="1" applyFill="1" applyBorder="1" applyAlignment="1">
      <alignment horizontal="center" vertical="center"/>
    </xf>
    <xf numFmtId="49" fontId="1" fillId="2" borderId="0" xfId="0" applyNumberFormat="1" applyFont="1" applyFill="1" applyBorder="1" applyAlignment="1">
      <alignment horizontal="right" vertical="center"/>
    </xf>
    <xf numFmtId="49" fontId="1" fillId="2" borderId="0" xfId="0" applyNumberFormat="1" applyFont="1" applyFill="1" applyBorder="1" applyAlignment="1">
      <alignment horizontal="left" vertical="center"/>
    </xf>
    <xf numFmtId="0" fontId="1" fillId="2" borderId="0" xfId="0" applyFont="1" applyFill="1" applyBorder="1" applyAlignment="1">
      <alignment horizontal="left" vertical="center" wrapText="1"/>
    </xf>
    <xf numFmtId="2" fontId="9" fillId="2" borderId="0" xfId="0" applyNumberFormat="1" applyFont="1" applyFill="1" applyBorder="1" applyAlignment="1">
      <alignment horizontal="center" vertical="center"/>
    </xf>
    <xf numFmtId="0" fontId="1" fillId="2" borderId="5" xfId="0" applyFont="1" applyFill="1" applyBorder="1" applyAlignment="1">
      <alignment horizontal="center" vertical="center" wrapText="1"/>
    </xf>
    <xf numFmtId="0" fontId="2" fillId="2" borderId="0" xfId="0" applyFont="1" applyFill="1" applyAlignment="1">
      <alignment horizontal="right" vertical="center"/>
    </xf>
    <xf numFmtId="1" fontId="22" fillId="2" borderId="5" xfId="0" applyNumberFormat="1" applyFont="1" applyFill="1" applyBorder="1" applyAlignment="1">
      <alignment horizontal="center" vertical="center" textRotation="90" wrapText="1"/>
    </xf>
    <xf numFmtId="0" fontId="2" fillId="0" borderId="5" xfId="0" applyFont="1" applyBorder="1" applyAlignment="1">
      <alignment horizontal="center" vertical="center"/>
    </xf>
    <xf numFmtId="0" fontId="2" fillId="0" borderId="5" xfId="0" applyFont="1" applyBorder="1" applyAlignment="1">
      <alignment vertical="center"/>
    </xf>
    <xf numFmtId="0" fontId="2" fillId="0" borderId="5" xfId="0" applyFont="1" applyBorder="1" applyAlignment="1">
      <alignment vertical="center" wrapText="1"/>
    </xf>
    <xf numFmtId="49" fontId="2" fillId="2" borderId="5" xfId="0" applyNumberFormat="1" applyFont="1" applyFill="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8" xfId="0" applyFont="1" applyFill="1" applyBorder="1" applyAlignment="1">
      <alignment horizontal="right" vertical="center" wrapText="1"/>
    </xf>
    <xf numFmtId="0" fontId="2" fillId="2" borderId="12" xfId="0" applyFont="1" applyFill="1" applyBorder="1" applyAlignment="1">
      <alignment horizontal="left" vertical="center" wrapText="1"/>
    </xf>
    <xf numFmtId="0" fontId="2" fillId="0" borderId="12" xfId="0" applyFont="1" applyBorder="1" applyAlignment="1">
      <alignment horizontal="left" vertical="center"/>
    </xf>
    <xf numFmtId="0" fontId="2" fillId="0" borderId="8" xfId="0" applyFont="1" applyBorder="1" applyAlignment="1">
      <alignment horizontal="right" vertical="center"/>
    </xf>
    <xf numFmtId="0" fontId="2" fillId="0" borderId="11" xfId="0" applyFont="1" applyBorder="1" applyAlignment="1">
      <alignment horizontal="left" vertical="center"/>
    </xf>
    <xf numFmtId="0" fontId="43" fillId="0" borderId="0" xfId="0" applyFont="1"/>
    <xf numFmtId="0" fontId="1" fillId="2" borderId="0" xfId="0" applyNumberFormat="1" applyFont="1" applyFill="1" applyBorder="1" applyAlignment="1">
      <alignment horizontal="center" vertical="center" wrapText="1"/>
    </xf>
    <xf numFmtId="0" fontId="1" fillId="2" borderId="0" xfId="0" applyNumberFormat="1" applyFont="1" applyFill="1" applyBorder="1" applyAlignment="1">
      <alignment vertical="center" wrapText="1"/>
    </xf>
    <xf numFmtId="0" fontId="1" fillId="2" borderId="0" xfId="0" applyNumberFormat="1" applyFont="1" applyFill="1" applyBorder="1" applyAlignment="1">
      <alignment horizontal="left" vertical="center" wrapText="1"/>
    </xf>
    <xf numFmtId="0" fontId="44" fillId="0" borderId="0" xfId="0" quotePrefix="1" applyFont="1"/>
    <xf numFmtId="0" fontId="2" fillId="2" borderId="0" xfId="0" applyNumberFormat="1" applyFont="1" applyFill="1" applyAlignment="1">
      <alignment horizontal="center" vertical="center" wrapText="1"/>
    </xf>
    <xf numFmtId="2" fontId="2" fillId="2" borderId="0" xfId="0" applyNumberFormat="1" applyFont="1" applyFill="1" applyAlignment="1">
      <alignment vertical="center"/>
    </xf>
    <xf numFmtId="0" fontId="2" fillId="2" borderId="0" xfId="0" applyNumberFormat="1" applyFont="1" applyFill="1" applyBorder="1" applyAlignment="1">
      <alignment horizontal="center" vertical="center" wrapText="1"/>
    </xf>
    <xf numFmtId="0" fontId="2" fillId="2" borderId="0" xfId="0" applyNumberFormat="1" applyFont="1" applyFill="1" applyBorder="1" applyAlignment="1">
      <alignment vertical="center" wrapText="1"/>
    </xf>
    <xf numFmtId="0" fontId="2" fillId="2" borderId="0" xfId="0" applyNumberFormat="1" applyFont="1" applyFill="1" applyBorder="1" applyAlignment="1">
      <alignment horizontal="left" vertical="center" wrapText="1"/>
    </xf>
    <xf numFmtId="2" fontId="2" fillId="2" borderId="0" xfId="0" applyNumberFormat="1" applyFont="1" applyFill="1" applyAlignment="1">
      <alignment horizontal="center" vertical="center"/>
    </xf>
    <xf numFmtId="0" fontId="2" fillId="0" borderId="10" xfId="0" applyFont="1" applyBorder="1" applyAlignment="1">
      <alignment vertical="center" wrapText="1"/>
    </xf>
    <xf numFmtId="2" fontId="2" fillId="2" borderId="0" xfId="0" applyNumberFormat="1" applyFont="1" applyFill="1" applyBorder="1" applyAlignment="1">
      <alignment vertical="center"/>
    </xf>
    <xf numFmtId="0" fontId="2" fillId="2" borderId="10" xfId="0" applyNumberFormat="1" applyFont="1" applyFill="1" applyBorder="1" applyAlignment="1">
      <alignment horizontal="left" vertical="center" wrapText="1"/>
    </xf>
    <xf numFmtId="2" fontId="2" fillId="2" borderId="9" xfId="0" applyNumberFormat="1" applyFont="1" applyFill="1" applyBorder="1" applyAlignment="1">
      <alignment horizontal="left" vertical="center" wrapText="1"/>
    </xf>
    <xf numFmtId="0" fontId="34" fillId="7" borderId="0" xfId="0" applyFont="1" applyFill="1" applyBorder="1" applyAlignment="1">
      <alignment vertical="center"/>
    </xf>
    <xf numFmtId="0" fontId="34" fillId="7" borderId="0" xfId="0" applyFont="1" applyFill="1" applyBorder="1" applyAlignment="1">
      <alignment horizontal="left" vertical="center" wrapText="1"/>
    </xf>
    <xf numFmtId="0" fontId="2" fillId="2" borderId="12" xfId="0" applyFont="1" applyFill="1" applyBorder="1" applyAlignment="1">
      <alignment vertical="center"/>
    </xf>
    <xf numFmtId="0" fontId="35" fillId="0" borderId="9" xfId="0" applyFont="1" applyBorder="1" applyAlignment="1">
      <alignment vertical="center" wrapText="1"/>
    </xf>
    <xf numFmtId="0" fontId="35" fillId="7" borderId="0" xfId="0" applyNumberFormat="1" applyFont="1" applyFill="1" applyBorder="1" applyAlignment="1">
      <alignment horizontal="center" vertical="top" wrapText="1"/>
    </xf>
    <xf numFmtId="0" fontId="35" fillId="7" borderId="0" xfId="0" applyNumberFormat="1" applyFont="1" applyFill="1" applyBorder="1" applyAlignment="1">
      <alignment horizontal="center" vertical="top"/>
    </xf>
    <xf numFmtId="0" fontId="35" fillId="7" borderId="0" xfId="0" applyNumberFormat="1" applyFont="1" applyFill="1" applyBorder="1" applyAlignment="1">
      <alignment vertical="top"/>
    </xf>
    <xf numFmtId="0" fontId="35" fillId="7" borderId="0" xfId="0" applyNumberFormat="1" applyFont="1" applyFill="1" applyBorder="1" applyAlignment="1">
      <alignment vertical="top" wrapText="1"/>
    </xf>
    <xf numFmtId="2" fontId="35" fillId="7" borderId="0" xfId="0" applyNumberFormat="1" applyFont="1" applyFill="1" applyBorder="1" applyAlignment="1">
      <alignment horizontal="center" vertical="center"/>
    </xf>
    <xf numFmtId="1" fontId="34" fillId="7" borderId="0" xfId="0" applyNumberFormat="1" applyFont="1" applyFill="1" applyBorder="1" applyAlignment="1">
      <alignment horizontal="right" vertical="center"/>
    </xf>
    <xf numFmtId="2" fontId="34" fillId="7" borderId="0"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19" xfId="0" applyFont="1" applyBorder="1" applyAlignment="1">
      <alignment vertical="center"/>
    </xf>
    <xf numFmtId="0" fontId="2" fillId="0" borderId="19" xfId="0" applyFont="1" applyBorder="1" applyAlignment="1">
      <alignment vertical="center" wrapText="1"/>
    </xf>
    <xf numFmtId="0" fontId="2" fillId="0" borderId="19" xfId="0" applyFont="1" applyBorder="1" applyAlignment="1">
      <alignment horizontal="center" vertical="center"/>
    </xf>
    <xf numFmtId="0" fontId="2" fillId="2" borderId="19" xfId="0" applyFont="1" applyFill="1" applyBorder="1" applyAlignment="1">
      <alignment horizontal="right" vertical="center"/>
    </xf>
    <xf numFmtId="0" fontId="46" fillId="7" borderId="0" xfId="0" applyFont="1" applyFill="1" applyBorder="1"/>
    <xf numFmtId="0" fontId="2" fillId="2" borderId="11" xfId="0" applyNumberFormat="1" applyFont="1" applyFill="1" applyBorder="1" applyAlignment="1">
      <alignment horizontal="center" vertical="center" wrapText="1"/>
    </xf>
    <xf numFmtId="0" fontId="35" fillId="2" borderId="9" xfId="0" applyFont="1" applyFill="1" applyBorder="1" applyAlignment="1">
      <alignment horizontal="left" vertical="center" wrapText="1"/>
    </xf>
    <xf numFmtId="2" fontId="2" fillId="2" borderId="8" xfId="0" applyNumberFormat="1" applyFont="1" applyFill="1" applyBorder="1" applyAlignment="1">
      <alignment horizontal="center" vertical="center" wrapText="1"/>
    </xf>
    <xf numFmtId="2" fontId="1" fillId="2" borderId="12" xfId="0" applyNumberFormat="1" applyFont="1" applyFill="1" applyBorder="1" applyAlignment="1">
      <alignment horizontal="center" vertical="center"/>
    </xf>
    <xf numFmtId="0" fontId="2" fillId="2" borderId="9" xfId="0" applyFont="1" applyFill="1" applyBorder="1" applyAlignment="1">
      <alignment horizontal="left" vertical="center" wrapText="1"/>
    </xf>
    <xf numFmtId="0" fontId="2" fillId="7" borderId="5" xfId="0" applyNumberFormat="1" applyFont="1" applyFill="1" applyBorder="1" applyAlignment="1">
      <alignment horizontal="left" vertical="center" wrapText="1"/>
    </xf>
    <xf numFmtId="1" fontId="39" fillId="7" borderId="0" xfId="0" applyNumberFormat="1" applyFont="1" applyFill="1" applyBorder="1" applyAlignment="1">
      <alignment horizontal="center" vertical="center"/>
    </xf>
    <xf numFmtId="2" fontId="37" fillId="7" borderId="0" xfId="0" applyNumberFormat="1" applyFont="1" applyFill="1" applyBorder="1" applyAlignment="1"/>
    <xf numFmtId="2" fontId="38" fillId="7" borderId="0" xfId="0" applyNumberFormat="1" applyFont="1" applyFill="1" applyBorder="1" applyAlignment="1"/>
    <xf numFmtId="0" fontId="39" fillId="7" borderId="0" xfId="0" applyFont="1" applyFill="1" applyBorder="1" applyAlignment="1">
      <alignment vertical="center" wrapText="1"/>
    </xf>
    <xf numFmtId="0" fontId="39" fillId="7" borderId="0" xfId="0" applyNumberFormat="1" applyFont="1" applyFill="1" applyBorder="1" applyAlignment="1">
      <alignment horizontal="left" vertical="center"/>
    </xf>
    <xf numFmtId="0" fontId="39" fillId="7" borderId="0" xfId="0" applyNumberFormat="1" applyFont="1" applyFill="1" applyBorder="1" applyAlignment="1">
      <alignment horizontal="center" vertical="center"/>
    </xf>
    <xf numFmtId="0" fontId="39" fillId="7" borderId="0" xfId="0" applyNumberFormat="1" applyFont="1" applyFill="1" applyBorder="1" applyAlignment="1">
      <alignment vertical="center"/>
    </xf>
    <xf numFmtId="0" fontId="39" fillId="7" borderId="0" xfId="0" applyFont="1" applyFill="1" applyBorder="1" applyAlignment="1">
      <alignment vertical="center"/>
    </xf>
    <xf numFmtId="49" fontId="39" fillId="7" borderId="0" xfId="0" applyNumberFormat="1" applyFont="1" applyFill="1" applyBorder="1" applyAlignment="1">
      <alignment horizontal="left" vertical="center"/>
    </xf>
    <xf numFmtId="0" fontId="26" fillId="6" borderId="5" xfId="0" applyFont="1" applyFill="1" applyBorder="1" applyAlignment="1">
      <alignment horizontal="center" vertical="center"/>
    </xf>
    <xf numFmtId="0" fontId="25" fillId="0" borderId="4" xfId="0" applyFont="1" applyBorder="1" applyAlignment="1">
      <alignment horizontal="center" vertical="center" wrapText="1"/>
    </xf>
    <xf numFmtId="0" fontId="1" fillId="0" borderId="5" xfId="0" applyFont="1" applyBorder="1" applyAlignment="1">
      <alignment horizontal="center" vertical="center" wrapText="1"/>
    </xf>
    <xf numFmtId="0" fontId="44" fillId="9" borderId="0" xfId="0" applyFont="1" applyFill="1" applyAlignment="1">
      <alignment horizontal="center" vertical="center"/>
    </xf>
    <xf numFmtId="0" fontId="44" fillId="9" borderId="5" xfId="0" applyFont="1" applyFill="1" applyBorder="1" applyAlignment="1">
      <alignment horizontal="center" vertical="center"/>
    </xf>
    <xf numFmtId="0" fontId="25" fillId="9" borderId="8" xfId="0" applyFont="1" applyFill="1" applyBorder="1" applyAlignment="1">
      <alignment horizontal="left" vertical="center"/>
    </xf>
    <xf numFmtId="0" fontId="25" fillId="9" borderId="11" xfId="0" applyFont="1" applyFill="1" applyBorder="1" applyAlignment="1">
      <alignment horizontal="left" vertical="center"/>
    </xf>
    <xf numFmtId="0" fontId="25" fillId="9" borderId="12" xfId="0" applyFont="1" applyFill="1" applyBorder="1" applyAlignment="1">
      <alignment horizontal="left" vertical="center"/>
    </xf>
    <xf numFmtId="0" fontId="44" fillId="9" borderId="8" xfId="0" applyFont="1" applyFill="1" applyBorder="1" applyAlignment="1">
      <alignment horizontal="center" vertical="center"/>
    </xf>
    <xf numFmtId="0" fontId="44" fillId="9" borderId="12" xfId="0" applyFont="1" applyFill="1" applyBorder="1" applyAlignment="1">
      <alignment horizontal="center" vertical="center"/>
    </xf>
    <xf numFmtId="0" fontId="44" fillId="9" borderId="11" xfId="0" applyFont="1" applyFill="1" applyBorder="1" applyAlignment="1">
      <alignment horizontal="center" vertical="center"/>
    </xf>
    <xf numFmtId="0" fontId="2" fillId="7" borderId="5" xfId="0" applyFont="1" applyFill="1" applyBorder="1" applyAlignment="1">
      <alignment horizontal="left" vertical="center" wrapText="1"/>
    </xf>
    <xf numFmtId="0" fontId="30" fillId="2" borderId="0" xfId="0" applyFont="1" applyFill="1" applyAlignment="1">
      <alignment vertical="center"/>
    </xf>
    <xf numFmtId="0" fontId="2" fillId="2" borderId="9"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11" xfId="0" applyNumberFormat="1" applyFont="1" applyFill="1" applyBorder="1" applyAlignment="1">
      <alignment horizontal="left" vertical="center" wrapText="1"/>
    </xf>
    <xf numFmtId="2" fontId="2" fillId="2" borderId="16" xfId="0" applyNumberFormat="1" applyFont="1" applyFill="1" applyBorder="1" applyAlignment="1">
      <alignment horizontal="center" vertical="center"/>
    </xf>
    <xf numFmtId="0" fontId="30" fillId="0" borderId="0" xfId="0" applyFont="1" applyAlignment="1">
      <alignment vertical="center"/>
    </xf>
    <xf numFmtId="0" fontId="14" fillId="9" borderId="0" xfId="0" applyNumberFormat="1" applyFont="1" applyFill="1" applyBorder="1" applyAlignment="1">
      <alignment horizontal="center" vertical="center" wrapText="1"/>
    </xf>
    <xf numFmtId="0" fontId="14" fillId="9" borderId="5" xfId="0" applyFont="1" applyFill="1" applyBorder="1" applyAlignment="1">
      <alignment horizontal="center" vertical="center"/>
    </xf>
    <xf numFmtId="2" fontId="14" fillId="9" borderId="5" xfId="0" applyNumberFormat="1" applyFont="1" applyFill="1" applyBorder="1" applyAlignment="1">
      <alignment horizontal="right" vertical="center"/>
    </xf>
    <xf numFmtId="2" fontId="14" fillId="9" borderId="8" xfId="0" applyNumberFormat="1" applyFont="1" applyFill="1" applyBorder="1" applyAlignment="1">
      <alignment horizontal="right" vertical="center"/>
    </xf>
    <xf numFmtId="2" fontId="14" fillId="9" borderId="9" xfId="0" applyNumberFormat="1" applyFont="1" applyFill="1" applyBorder="1" applyAlignment="1">
      <alignment horizontal="left" vertical="center" wrapText="1"/>
    </xf>
    <xf numFmtId="2" fontId="14" fillId="9" borderId="10" xfId="0" applyNumberFormat="1" applyFont="1" applyFill="1" applyBorder="1" applyAlignment="1">
      <alignment horizontal="center" vertical="center"/>
    </xf>
    <xf numFmtId="0" fontId="14" fillId="9" borderId="9" xfId="0" applyNumberFormat="1" applyFont="1" applyFill="1" applyBorder="1" applyAlignment="1">
      <alignment horizontal="left" vertical="center" wrapText="1"/>
    </xf>
    <xf numFmtId="2" fontId="14" fillId="9" borderId="8" xfId="0" applyNumberFormat="1" applyFont="1" applyFill="1" applyBorder="1" applyAlignment="1">
      <alignment horizontal="center" vertical="center"/>
    </xf>
    <xf numFmtId="0" fontId="14" fillId="9" borderId="8" xfId="0" applyNumberFormat="1" applyFont="1" applyFill="1" applyBorder="1" applyAlignment="1">
      <alignment vertical="center" wrapText="1"/>
    </xf>
    <xf numFmtId="0" fontId="14" fillId="9" borderId="11" xfId="0" applyNumberFormat="1" applyFont="1" applyFill="1" applyBorder="1" applyAlignment="1">
      <alignment vertical="center" wrapText="1"/>
    </xf>
    <xf numFmtId="0" fontId="14" fillId="9" borderId="12" xfId="0" applyNumberFormat="1" applyFont="1" applyFill="1" applyBorder="1" applyAlignment="1">
      <alignment horizontal="left" vertical="center" wrapText="1"/>
    </xf>
    <xf numFmtId="2" fontId="14" fillId="9" borderId="5" xfId="0" applyNumberFormat="1" applyFont="1" applyFill="1" applyBorder="1" applyAlignment="1">
      <alignment horizontal="center" vertical="center" wrapText="1"/>
    </xf>
    <xf numFmtId="0" fontId="14" fillId="9" borderId="8" xfId="0" applyNumberFormat="1" applyFont="1" applyFill="1" applyBorder="1" applyAlignment="1">
      <alignment horizontal="right" vertical="center" wrapText="1"/>
    </xf>
    <xf numFmtId="0" fontId="14" fillId="9" borderId="11" xfId="0" applyNumberFormat="1" applyFont="1" applyFill="1" applyBorder="1" applyAlignment="1">
      <alignment horizontal="center" vertical="center" wrapText="1"/>
    </xf>
    <xf numFmtId="0" fontId="14" fillId="9" borderId="11" xfId="0" applyNumberFormat="1" applyFont="1" applyFill="1" applyBorder="1" applyAlignment="1">
      <alignment horizontal="left" vertical="center" wrapText="1"/>
    </xf>
    <xf numFmtId="2" fontId="14" fillId="9" borderId="11" xfId="0" applyNumberFormat="1" applyFont="1" applyFill="1" applyBorder="1" applyAlignment="1">
      <alignment horizontal="center" vertical="center" wrapText="1"/>
    </xf>
    <xf numFmtId="49" fontId="14" fillId="9" borderId="8" xfId="0" applyNumberFormat="1" applyFont="1" applyFill="1" applyBorder="1" applyAlignment="1">
      <alignment horizontal="right" vertical="center"/>
    </xf>
    <xf numFmtId="2" fontId="14" fillId="9" borderId="11" xfId="0" applyNumberFormat="1" applyFont="1" applyFill="1" applyBorder="1" applyAlignment="1">
      <alignment horizontal="center" vertical="center"/>
    </xf>
    <xf numFmtId="49" fontId="14" fillId="9" borderId="11" xfId="0" applyNumberFormat="1" applyFont="1" applyFill="1" applyBorder="1" applyAlignment="1">
      <alignment horizontal="center" vertical="center"/>
    </xf>
    <xf numFmtId="49" fontId="14" fillId="9" borderId="11" xfId="0" applyNumberFormat="1" applyFont="1" applyFill="1" applyBorder="1" applyAlignment="1">
      <alignment vertical="center"/>
    </xf>
    <xf numFmtId="0" fontId="14" fillId="9" borderId="12" xfId="0" applyNumberFormat="1" applyFont="1" applyFill="1" applyBorder="1" applyAlignment="1">
      <alignment horizontal="left" vertical="center"/>
    </xf>
    <xf numFmtId="1" fontId="14" fillId="9" borderId="16" xfId="0" applyNumberFormat="1" applyFont="1" applyFill="1" applyBorder="1" applyAlignment="1">
      <alignment horizontal="center" vertical="center" wrapText="1"/>
    </xf>
    <xf numFmtId="0" fontId="14" fillId="9" borderId="11" xfId="0" applyNumberFormat="1" applyFont="1" applyFill="1" applyBorder="1" applyAlignment="1">
      <alignment horizontal="center" vertical="center"/>
    </xf>
    <xf numFmtId="2" fontId="14" fillId="9" borderId="5" xfId="0" applyNumberFormat="1" applyFont="1" applyFill="1" applyBorder="1" applyAlignment="1">
      <alignment horizontal="left" vertical="center"/>
    </xf>
    <xf numFmtId="0" fontId="14" fillId="9" borderId="5" xfId="0" applyNumberFormat="1" applyFont="1" applyFill="1" applyBorder="1" applyAlignment="1">
      <alignment horizontal="center" vertical="center" wrapText="1"/>
    </xf>
    <xf numFmtId="1" fontId="14" fillId="9" borderId="8" xfId="0" applyNumberFormat="1" applyFont="1" applyFill="1" applyBorder="1" applyAlignment="1">
      <alignment horizontal="center" vertical="center"/>
    </xf>
    <xf numFmtId="1" fontId="14" fillId="9" borderId="5" xfId="0" applyNumberFormat="1" applyFont="1" applyFill="1" applyBorder="1" applyAlignment="1">
      <alignment horizontal="center" vertical="center" wrapText="1"/>
    </xf>
    <xf numFmtId="1" fontId="14" fillId="9" borderId="5" xfId="0" applyNumberFormat="1" applyFont="1" applyFill="1" applyBorder="1" applyAlignment="1">
      <alignment horizontal="center" vertical="center"/>
    </xf>
    <xf numFmtId="1" fontId="14" fillId="9" borderId="9" xfId="0" applyNumberFormat="1" applyFont="1" applyFill="1" applyBorder="1" applyAlignment="1">
      <alignment horizontal="center" vertical="center"/>
    </xf>
    <xf numFmtId="2" fontId="14" fillId="9" borderId="5" xfId="0" applyNumberFormat="1" applyFont="1" applyFill="1" applyBorder="1" applyAlignment="1">
      <alignment horizontal="center" vertical="center"/>
    </xf>
    <xf numFmtId="1" fontId="14" fillId="9" borderId="17" xfId="0" applyNumberFormat="1" applyFont="1" applyFill="1" applyBorder="1" applyAlignment="1">
      <alignment horizontal="center" vertical="center"/>
    </xf>
    <xf numFmtId="0" fontId="14" fillId="9" borderId="12" xfId="0" applyFont="1" applyFill="1" applyBorder="1" applyAlignment="1">
      <alignment vertical="center"/>
    </xf>
    <xf numFmtId="0" fontId="14" fillId="9" borderId="5" xfId="0" applyFont="1" applyFill="1" applyBorder="1" applyAlignment="1">
      <alignment vertical="center"/>
    </xf>
    <xf numFmtId="1" fontId="14" fillId="9" borderId="18" xfId="0" applyNumberFormat="1" applyFont="1" applyFill="1" applyBorder="1" applyAlignment="1">
      <alignment horizontal="center" vertical="center" wrapText="1"/>
    </xf>
    <xf numFmtId="0" fontId="14" fillId="9" borderId="0" xfId="0" applyFont="1" applyFill="1" applyAlignment="1">
      <alignment vertical="center"/>
    </xf>
    <xf numFmtId="0" fontId="2" fillId="7" borderId="5" xfId="0" applyNumberFormat="1" applyFont="1" applyFill="1" applyBorder="1" applyAlignment="1">
      <alignment horizontal="center" vertical="center" wrapText="1"/>
    </xf>
    <xf numFmtId="0" fontId="2" fillId="7" borderId="5" xfId="0" applyFont="1" applyFill="1" applyBorder="1" applyAlignment="1">
      <alignment horizontal="center" vertical="center"/>
    </xf>
    <xf numFmtId="49" fontId="2" fillId="7" borderId="5" xfId="0" applyNumberFormat="1" applyFont="1" applyFill="1" applyBorder="1" applyAlignment="1">
      <alignment horizontal="center" vertical="center" wrapText="1"/>
    </xf>
    <xf numFmtId="0" fontId="2" fillId="7" borderId="5" xfId="0" applyNumberFormat="1" applyFont="1" applyFill="1" applyBorder="1" applyAlignment="1">
      <alignment horizontal="center" vertical="center"/>
    </xf>
    <xf numFmtId="0" fontId="35" fillId="7" borderId="9" xfId="0" applyFont="1" applyFill="1" applyBorder="1" applyAlignment="1">
      <alignment vertical="center" wrapText="1"/>
    </xf>
    <xf numFmtId="0" fontId="2" fillId="7" borderId="10" xfId="0" applyFont="1" applyFill="1" applyBorder="1" applyAlignment="1">
      <alignment vertical="center" wrapText="1"/>
    </xf>
    <xf numFmtId="2" fontId="2" fillId="7" borderId="5" xfId="0" applyNumberFormat="1" applyFont="1" applyFill="1" applyBorder="1" applyAlignment="1">
      <alignment horizontal="center" vertical="center" wrapText="1"/>
    </xf>
    <xf numFmtId="0" fontId="2" fillId="7" borderId="9" xfId="0" applyFont="1" applyFill="1" applyBorder="1" applyAlignment="1">
      <alignment horizontal="center" vertical="center"/>
    </xf>
    <xf numFmtId="0" fontId="2" fillId="7" borderId="10" xfId="0" applyFont="1" applyFill="1" applyBorder="1" applyAlignment="1">
      <alignment horizontal="center" vertical="center"/>
    </xf>
    <xf numFmtId="2" fontId="2" fillId="7" borderId="5" xfId="0" applyNumberFormat="1" applyFont="1" applyFill="1" applyBorder="1" applyAlignment="1">
      <alignment horizontal="center" vertical="center"/>
    </xf>
    <xf numFmtId="1" fontId="2" fillId="7" borderId="5" xfId="0" applyNumberFormat="1" applyFont="1" applyFill="1" applyBorder="1" applyAlignment="1">
      <alignment horizontal="center" vertical="center"/>
    </xf>
    <xf numFmtId="0" fontId="2" fillId="7" borderId="5" xfId="0" applyFont="1" applyFill="1" applyBorder="1" applyAlignment="1">
      <alignment vertical="center"/>
    </xf>
    <xf numFmtId="1" fontId="2" fillId="7" borderId="5" xfId="0" applyNumberFormat="1" applyFont="1" applyFill="1" applyBorder="1" applyAlignment="1">
      <alignment horizontal="center" vertical="center" wrapText="1"/>
    </xf>
    <xf numFmtId="0" fontId="2" fillId="7" borderId="8" xfId="0" applyFont="1" applyFill="1" applyBorder="1" applyAlignment="1">
      <alignment horizontal="right" vertical="center" wrapText="1"/>
    </xf>
    <xf numFmtId="0" fontId="2" fillId="7" borderId="12" xfId="0" applyFont="1" applyFill="1" applyBorder="1" applyAlignment="1">
      <alignment horizontal="left" vertical="center" wrapText="1"/>
    </xf>
    <xf numFmtId="0" fontId="2" fillId="7" borderId="12" xfId="0" applyFont="1" applyFill="1" applyBorder="1" applyAlignment="1">
      <alignment horizontal="left" vertical="center"/>
    </xf>
    <xf numFmtId="0" fontId="2" fillId="7" borderId="8" xfId="0" applyFont="1" applyFill="1" applyBorder="1" applyAlignment="1">
      <alignment horizontal="right" vertical="center"/>
    </xf>
    <xf numFmtId="49" fontId="2" fillId="7" borderId="11" xfId="0" applyNumberFormat="1" applyFont="1" applyFill="1" applyBorder="1" applyAlignment="1">
      <alignment horizontal="center" vertical="center"/>
    </xf>
    <xf numFmtId="0" fontId="2" fillId="7" borderId="11" xfId="0" applyFont="1" applyFill="1" applyBorder="1" applyAlignment="1">
      <alignment horizontal="left" vertical="center"/>
    </xf>
    <xf numFmtId="0" fontId="2" fillId="7" borderId="0" xfId="0" applyFont="1" applyFill="1" applyAlignment="1">
      <alignment vertical="center"/>
    </xf>
    <xf numFmtId="0" fontId="1" fillId="7" borderId="5" xfId="0" applyNumberFormat="1" applyFont="1" applyFill="1" applyBorder="1" applyAlignment="1">
      <alignment horizontal="center" vertical="center" wrapText="1"/>
    </xf>
    <xf numFmtId="0" fontId="48" fillId="9" borderId="0" xfId="0" applyFont="1" applyFill="1" applyBorder="1" applyAlignment="1">
      <alignment horizontal="center" vertical="center"/>
    </xf>
    <xf numFmtId="0" fontId="48" fillId="9" borderId="0" xfId="0" applyNumberFormat="1" applyFont="1" applyFill="1" applyBorder="1" applyAlignment="1">
      <alignment horizontal="center" vertical="center" wrapText="1"/>
    </xf>
    <xf numFmtId="49" fontId="48" fillId="9" borderId="0" xfId="0" applyNumberFormat="1" applyFont="1" applyFill="1" applyBorder="1" applyAlignment="1">
      <alignment vertical="center"/>
    </xf>
    <xf numFmtId="0" fontId="48" fillId="9" borderId="0" xfId="0" applyNumberFormat="1" applyFont="1" applyFill="1" applyBorder="1" applyAlignment="1">
      <alignment horizontal="left" vertical="center"/>
    </xf>
    <xf numFmtId="0" fontId="48" fillId="9" borderId="0" xfId="0" applyNumberFormat="1" applyFont="1" applyFill="1" applyBorder="1" applyAlignment="1">
      <alignment horizontal="center" vertical="center"/>
    </xf>
    <xf numFmtId="0" fontId="48" fillId="9" borderId="0" xfId="0" applyNumberFormat="1" applyFont="1" applyFill="1" applyBorder="1" applyAlignment="1">
      <alignment vertical="center"/>
    </xf>
    <xf numFmtId="0" fontId="47" fillId="9" borderId="0" xfId="0" applyFont="1" applyFill="1" applyBorder="1" applyAlignment="1">
      <alignment horizontal="center" vertical="center"/>
    </xf>
    <xf numFmtId="0" fontId="35" fillId="2" borderId="0" xfId="0" applyFont="1" applyFill="1" applyBorder="1" applyAlignment="1">
      <alignment horizontal="center" vertical="center"/>
    </xf>
    <xf numFmtId="0" fontId="35" fillId="2" borderId="0" xfId="0" applyNumberFormat="1" applyFont="1" applyFill="1" applyBorder="1" applyAlignment="1">
      <alignment horizontal="center" vertical="center" wrapText="1"/>
    </xf>
    <xf numFmtId="49" fontId="35" fillId="2" borderId="0" xfId="0" applyNumberFormat="1" applyFont="1" applyFill="1" applyBorder="1" applyAlignment="1">
      <alignment vertical="center"/>
    </xf>
    <xf numFmtId="0" fontId="35" fillId="2" borderId="0" xfId="0" applyFont="1" applyFill="1" applyBorder="1" applyAlignment="1">
      <alignment vertical="center" wrapText="1"/>
    </xf>
    <xf numFmtId="0" fontId="35" fillId="2" borderId="0" xfId="0" applyNumberFormat="1" applyFont="1" applyFill="1" applyBorder="1" applyAlignment="1">
      <alignment horizontal="left" vertical="center"/>
    </xf>
    <xf numFmtId="0" fontId="35" fillId="2" borderId="0" xfId="0" applyNumberFormat="1" applyFont="1" applyFill="1" applyBorder="1" applyAlignment="1">
      <alignment horizontal="center" vertical="center"/>
    </xf>
    <xf numFmtId="0" fontId="35" fillId="2" borderId="0" xfId="0" applyNumberFormat="1" applyFont="1" applyFill="1" applyBorder="1" applyAlignment="1">
      <alignment vertical="center"/>
    </xf>
    <xf numFmtId="0" fontId="35" fillId="2" borderId="0" xfId="0" applyFont="1" applyFill="1" applyBorder="1" applyAlignment="1">
      <alignment vertical="center"/>
    </xf>
    <xf numFmtId="0" fontId="48" fillId="9" borderId="0" xfId="0" applyFont="1" applyFill="1" applyBorder="1" applyAlignment="1">
      <alignment vertical="center" wrapText="1"/>
    </xf>
    <xf numFmtId="0" fontId="48" fillId="9" borderId="0" xfId="0" applyFont="1" applyFill="1" applyBorder="1" applyAlignment="1">
      <alignment vertical="center"/>
    </xf>
    <xf numFmtId="0" fontId="39" fillId="0" borderId="0" xfId="0" applyFont="1" applyBorder="1" applyAlignment="1">
      <alignment horizontal="center" vertical="center"/>
    </xf>
    <xf numFmtId="0" fontId="39" fillId="0" borderId="0" xfId="0" applyFont="1" applyBorder="1" applyAlignment="1">
      <alignment vertical="center"/>
    </xf>
    <xf numFmtId="0" fontId="39" fillId="2" borderId="0" xfId="0" applyFont="1" applyFill="1" applyBorder="1" applyAlignment="1">
      <alignment vertical="center"/>
    </xf>
    <xf numFmtId="0" fontId="39" fillId="0" borderId="0" xfId="0" applyFont="1" applyBorder="1" applyAlignment="1">
      <alignment vertical="center" wrapText="1"/>
    </xf>
    <xf numFmtId="49" fontId="39" fillId="0" borderId="0" xfId="0" applyNumberFormat="1" applyFont="1" applyBorder="1" applyAlignment="1">
      <alignment vertical="center"/>
    </xf>
    <xf numFmtId="0" fontId="39" fillId="3" borderId="0" xfId="0" applyFont="1" applyFill="1" applyBorder="1" applyAlignment="1">
      <alignment vertical="center"/>
    </xf>
    <xf numFmtId="0" fontId="35" fillId="0" borderId="0" xfId="0" applyFont="1" applyBorder="1" applyAlignment="1">
      <alignment vertical="center"/>
    </xf>
    <xf numFmtId="1" fontId="34" fillId="2" borderId="0" xfId="0" applyNumberFormat="1" applyFont="1" applyFill="1" applyBorder="1" applyAlignment="1">
      <alignment horizontal="center" vertical="center"/>
    </xf>
    <xf numFmtId="2" fontId="34" fillId="2" borderId="0" xfId="0" applyNumberFormat="1" applyFont="1" applyFill="1" applyBorder="1" applyAlignment="1">
      <alignment horizontal="center" vertical="center"/>
    </xf>
    <xf numFmtId="0" fontId="2" fillId="7" borderId="0" xfId="0" applyFont="1" applyFill="1" applyBorder="1" applyAlignment="1">
      <alignment vertical="center"/>
    </xf>
    <xf numFmtId="0" fontId="3" fillId="0" borderId="0" xfId="0" applyFont="1" applyAlignment="1">
      <alignment horizontal="center" vertical="center" wrapText="1"/>
    </xf>
    <xf numFmtId="0" fontId="2" fillId="0" borderId="0" xfId="0" applyFont="1" applyAlignment="1">
      <alignment horizontal="center"/>
    </xf>
    <xf numFmtId="0" fontId="1"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0" fillId="0" borderId="0" xfId="0"/>
    <xf numFmtId="0" fontId="25" fillId="0" borderId="4"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0" xfId="0" applyFont="1" applyBorder="1" applyAlignment="1">
      <alignment horizontal="center" vertical="center" wrapText="1"/>
    </xf>
    <xf numFmtId="0" fontId="29" fillId="0" borderId="0" xfId="0" applyFont="1" applyAlignment="1">
      <alignment horizontal="center" vertical="center"/>
    </xf>
    <xf numFmtId="0" fontId="45" fillId="2" borderId="0" xfId="0" applyNumberFormat="1" applyFont="1" applyFill="1" applyBorder="1" applyAlignment="1">
      <alignment horizontal="center" vertical="center" wrapText="1"/>
    </xf>
    <xf numFmtId="0" fontId="33" fillId="0" borderId="0" xfId="0" applyFont="1" applyAlignment="1">
      <alignment horizontal="center" vertical="center"/>
    </xf>
    <xf numFmtId="0" fontId="26" fillId="6" borderId="5" xfId="0" applyFont="1" applyFill="1" applyBorder="1" applyAlignment="1">
      <alignment horizontal="center" vertical="center"/>
    </xf>
    <xf numFmtId="0" fontId="14" fillId="9" borderId="8" xfId="0" applyFont="1" applyFill="1" applyBorder="1" applyAlignment="1">
      <alignment horizontal="left" vertical="center" wrapText="1"/>
    </xf>
    <xf numFmtId="0" fontId="14" fillId="9" borderId="11" xfId="0" applyFont="1" applyFill="1" applyBorder="1" applyAlignment="1">
      <alignment horizontal="left" vertical="center" wrapText="1"/>
    </xf>
    <xf numFmtId="0" fontId="14" fillId="9" borderId="12" xfId="0" applyFont="1" applyFill="1" applyBorder="1" applyAlignment="1">
      <alignment horizontal="left" vertical="center" wrapText="1"/>
    </xf>
    <xf numFmtId="0" fontId="1" fillId="0" borderId="5" xfId="0" applyFont="1" applyBorder="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45" fillId="0" borderId="0" xfId="0" applyFont="1" applyAlignment="1">
      <alignment horizontal="center" vertical="center"/>
    </xf>
    <xf numFmtId="0" fontId="2" fillId="7" borderId="8" xfId="0" applyNumberFormat="1" applyFont="1" applyFill="1" applyBorder="1" applyAlignment="1">
      <alignment horizontal="center" vertical="center" wrapText="1"/>
    </xf>
    <xf numFmtId="49" fontId="2" fillId="7" borderId="13" xfId="0" applyNumberFormat="1" applyFont="1" applyFill="1" applyBorder="1" applyAlignment="1">
      <alignment horizontal="center" vertical="center" wrapText="1"/>
    </xf>
    <xf numFmtId="49" fontId="2" fillId="7" borderId="14" xfId="0" applyNumberFormat="1" applyFont="1" applyFill="1" applyBorder="1" applyAlignment="1">
      <alignment horizontal="center" vertical="center" wrapText="1"/>
    </xf>
    <xf numFmtId="0" fontId="2" fillId="7" borderId="15" xfId="0" applyNumberFormat="1" applyFont="1" applyFill="1" applyBorder="1" applyAlignment="1">
      <alignment horizontal="center" vertical="center" wrapText="1"/>
    </xf>
    <xf numFmtId="0" fontId="2" fillId="7" borderId="11" xfId="0" applyNumberFormat="1" applyFont="1" applyFill="1" applyBorder="1" applyAlignment="1">
      <alignment horizontal="center" vertical="center" wrapText="1"/>
    </xf>
    <xf numFmtId="0" fontId="35" fillId="7" borderId="9" xfId="0" applyFont="1" applyFill="1" applyBorder="1" applyAlignment="1">
      <alignment horizontal="left" vertical="center" wrapText="1"/>
    </xf>
    <xf numFmtId="0" fontId="2" fillId="7" borderId="10" xfId="0" applyNumberFormat="1" applyFont="1" applyFill="1" applyBorder="1" applyAlignment="1">
      <alignment horizontal="left" vertical="center" wrapText="1"/>
    </xf>
    <xf numFmtId="2" fontId="2" fillId="7" borderId="5" xfId="0" applyNumberFormat="1" applyFont="1" applyFill="1" applyBorder="1" applyAlignment="1">
      <alignment horizontal="right" vertical="center"/>
    </xf>
    <xf numFmtId="2" fontId="2" fillId="7" borderId="8" xfId="0" applyNumberFormat="1" applyFont="1" applyFill="1" applyBorder="1" applyAlignment="1">
      <alignment horizontal="right" vertical="center"/>
    </xf>
    <xf numFmtId="2" fontId="2" fillId="7" borderId="9" xfId="0" applyNumberFormat="1" applyFont="1" applyFill="1" applyBorder="1" applyAlignment="1">
      <alignment horizontal="left" vertical="center" wrapText="1"/>
    </xf>
    <xf numFmtId="2" fontId="2" fillId="7" borderId="10" xfId="0" applyNumberFormat="1" applyFont="1" applyFill="1" applyBorder="1" applyAlignment="1">
      <alignment horizontal="center" vertical="center"/>
    </xf>
    <xf numFmtId="0" fontId="2" fillId="7" borderId="9" xfId="0" applyNumberFormat="1" applyFont="1" applyFill="1" applyBorder="1" applyAlignment="1">
      <alignment horizontal="left" vertical="center" wrapText="1"/>
    </xf>
    <xf numFmtId="2" fontId="2" fillId="7" borderId="8" xfId="0" applyNumberFormat="1" applyFont="1" applyFill="1" applyBorder="1" applyAlignment="1">
      <alignment horizontal="center" vertical="center"/>
    </xf>
    <xf numFmtId="0" fontId="2" fillId="7" borderId="8"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2" xfId="0" applyNumberFormat="1" applyFont="1" applyFill="1" applyBorder="1" applyAlignment="1">
      <alignment horizontal="left" vertical="center" wrapText="1"/>
    </xf>
    <xf numFmtId="0" fontId="2" fillId="7" borderId="8" xfId="0" applyNumberFormat="1" applyFont="1" applyFill="1" applyBorder="1" applyAlignment="1">
      <alignment horizontal="right" vertical="center" wrapText="1"/>
    </xf>
    <xf numFmtId="2"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horizontal="right" vertical="center"/>
    </xf>
    <xf numFmtId="2" fontId="2" fillId="7" borderId="11" xfId="0" applyNumberFormat="1" applyFont="1" applyFill="1" applyBorder="1" applyAlignment="1">
      <alignment horizontal="center" vertical="center"/>
    </xf>
    <xf numFmtId="49" fontId="2" fillId="7" borderId="11" xfId="0" applyNumberFormat="1" applyFont="1" applyFill="1" applyBorder="1" applyAlignment="1">
      <alignment vertical="center"/>
    </xf>
    <xf numFmtId="0" fontId="2" fillId="7" borderId="12" xfId="0" applyNumberFormat="1" applyFont="1" applyFill="1" applyBorder="1" applyAlignment="1">
      <alignment horizontal="left" vertical="center"/>
    </xf>
    <xf numFmtId="1" fontId="2" fillId="7" borderId="16" xfId="0" applyNumberFormat="1" applyFont="1" applyFill="1" applyBorder="1" applyAlignment="1">
      <alignment horizontal="center" vertical="center" wrapText="1"/>
    </xf>
    <xf numFmtId="0" fontId="2" fillId="7" borderId="11" xfId="0" applyNumberFormat="1" applyFont="1" applyFill="1" applyBorder="1" applyAlignment="1">
      <alignment horizontal="center" vertical="center"/>
    </xf>
    <xf numFmtId="2" fontId="2" fillId="7" borderId="5" xfId="0" applyNumberFormat="1" applyFont="1" applyFill="1" applyBorder="1" applyAlignment="1">
      <alignment horizontal="left" vertical="center"/>
    </xf>
    <xf numFmtId="1" fontId="1" fillId="7" borderId="8" xfId="0" applyNumberFormat="1" applyFont="1" applyFill="1" applyBorder="1" applyAlignment="1">
      <alignment horizontal="center" vertical="center"/>
    </xf>
    <xf numFmtId="1" fontId="1" fillId="7" borderId="9" xfId="0" applyNumberFormat="1" applyFont="1" applyFill="1" applyBorder="1" applyAlignment="1">
      <alignment horizontal="center" vertical="center"/>
    </xf>
    <xf numFmtId="0" fontId="1" fillId="7" borderId="5" xfId="0" applyFont="1" applyFill="1" applyBorder="1" applyAlignment="1">
      <alignment horizontal="center" vertical="center"/>
    </xf>
    <xf numFmtId="1" fontId="2" fillId="7" borderId="17" xfId="0" applyNumberFormat="1" applyFont="1" applyFill="1" applyBorder="1" applyAlignment="1">
      <alignment horizontal="center" vertical="center"/>
    </xf>
    <xf numFmtId="2" fontId="1" fillId="7" borderId="12" xfId="0" applyNumberFormat="1" applyFont="1" applyFill="1" applyBorder="1" applyAlignment="1">
      <alignment horizontal="center" vertical="center"/>
    </xf>
    <xf numFmtId="1" fontId="1" fillId="7" borderId="5" xfId="0" applyNumberFormat="1" applyFont="1" applyFill="1" applyBorder="1" applyAlignment="1">
      <alignment horizontal="center" vertical="center"/>
    </xf>
    <xf numFmtId="1" fontId="1" fillId="7" borderId="18" xfId="0" applyNumberFormat="1" applyFont="1" applyFill="1" applyBorder="1" applyAlignment="1">
      <alignment horizontal="center" vertical="center" wrapText="1"/>
    </xf>
    <xf numFmtId="0" fontId="1" fillId="2" borderId="8" xfId="0" applyNumberFormat="1"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0" xfId="0" applyFont="1" applyFill="1" applyAlignment="1">
      <alignment vertical="center"/>
    </xf>
    <xf numFmtId="0" fontId="2" fillId="2" borderId="21" xfId="0" applyFont="1" applyFill="1" applyBorder="1" applyAlignment="1">
      <alignment horizontal="left" vertical="center" wrapText="1"/>
    </xf>
    <xf numFmtId="0" fontId="25" fillId="10" borderId="0" xfId="0" applyFont="1" applyFill="1"/>
    <xf numFmtId="0" fontId="25" fillId="10" borderId="5" xfId="0" applyFont="1" applyFill="1" applyBorder="1" applyAlignment="1">
      <alignment horizontal="center" vertical="center"/>
    </xf>
    <xf numFmtId="0" fontId="25" fillId="10" borderId="5" xfId="0" applyFont="1" applyFill="1" applyBorder="1" applyAlignment="1">
      <alignment horizontal="left" vertical="center"/>
    </xf>
    <xf numFmtId="0" fontId="25" fillId="10" borderId="8" xfId="0" applyFont="1" applyFill="1" applyBorder="1" applyAlignment="1">
      <alignment horizontal="center" vertical="center"/>
    </xf>
    <xf numFmtId="0" fontId="25" fillId="10" borderId="12" xfId="0" applyFont="1" applyFill="1" applyBorder="1" applyAlignment="1">
      <alignment horizontal="center" vertical="center"/>
    </xf>
    <xf numFmtId="0" fontId="25" fillId="10" borderId="11" xfId="0" applyFont="1" applyFill="1" applyBorder="1" applyAlignment="1">
      <alignment horizontal="center" vertical="center"/>
    </xf>
    <xf numFmtId="0" fontId="25" fillId="10" borderId="0" xfId="0" applyFont="1" applyFill="1" applyBorder="1" applyAlignment="1">
      <alignment horizontal="center" vertical="center"/>
    </xf>
    <xf numFmtId="0" fontId="2" fillId="2" borderId="5" xfId="0" applyNumberFormat="1" applyFont="1" applyFill="1" applyBorder="1" applyAlignment="1">
      <alignment horizontal="left" vertical="center" wrapText="1"/>
    </xf>
    <xf numFmtId="0" fontId="2" fillId="0" borderId="9" xfId="0" applyFont="1" applyBorder="1" applyAlignment="1">
      <alignment vertical="center" wrapText="1"/>
    </xf>
    <xf numFmtId="0" fontId="2" fillId="7" borderId="9" xfId="0" applyFont="1" applyFill="1" applyBorder="1" applyAlignment="1">
      <alignment vertical="center" wrapText="1"/>
    </xf>
    <xf numFmtId="0" fontId="44" fillId="9" borderId="0" xfId="0" applyFont="1" applyFill="1" applyBorder="1" applyAlignment="1">
      <alignment horizontal="center" vertical="center"/>
    </xf>
    <xf numFmtId="0" fontId="40" fillId="7" borderId="0" xfId="0" applyNumberFormat="1" applyFont="1" applyFill="1" applyBorder="1" applyAlignment="1">
      <alignment horizontal="center" vertical="center"/>
    </xf>
    <xf numFmtId="2" fontId="39" fillId="7" borderId="0" xfId="0" applyNumberFormat="1" applyFont="1" applyFill="1" applyBorder="1" applyAlignment="1">
      <alignment horizontal="left" vertical="center"/>
    </xf>
    <xf numFmtId="0" fontId="41" fillId="7" borderId="0" xfId="0" applyNumberFormat="1" applyFont="1" applyFill="1" applyBorder="1" applyAlignment="1">
      <alignment horizontal="center" vertical="center" wrapText="1"/>
    </xf>
    <xf numFmtId="1" fontId="41" fillId="7" borderId="0" xfId="0" applyNumberFormat="1" applyFont="1" applyFill="1" applyBorder="1" applyAlignment="1">
      <alignment horizontal="center" vertical="center"/>
    </xf>
    <xf numFmtId="1" fontId="39" fillId="7" borderId="0" xfId="0" applyNumberFormat="1" applyFont="1" applyFill="1" applyBorder="1" applyAlignment="1">
      <alignment horizontal="center" vertical="center" wrapText="1"/>
    </xf>
    <xf numFmtId="0" fontId="41" fillId="7" borderId="0" xfId="0" applyFont="1" applyFill="1" applyBorder="1" applyAlignment="1">
      <alignment horizontal="center" vertical="center"/>
    </xf>
    <xf numFmtId="2" fontId="39" fillId="7" borderId="0" xfId="0" applyNumberFormat="1" applyFont="1" applyFill="1" applyBorder="1" applyAlignment="1">
      <alignment horizontal="center" vertical="center"/>
    </xf>
    <xf numFmtId="1" fontId="35" fillId="2" borderId="0" xfId="0" applyNumberFormat="1" applyFont="1" applyFill="1" applyBorder="1" applyAlignment="1">
      <alignment horizontal="center" vertical="center"/>
    </xf>
    <xf numFmtId="49" fontId="35" fillId="2" borderId="0" xfId="0" applyNumberFormat="1" applyFont="1" applyFill="1" applyBorder="1" applyAlignment="1">
      <alignment horizontal="left" vertical="center"/>
    </xf>
    <xf numFmtId="2" fontId="35" fillId="2" borderId="0" xfId="0" applyNumberFormat="1" applyFont="1" applyFill="1" applyBorder="1" applyAlignment="1">
      <alignment horizontal="left" vertical="center"/>
    </xf>
    <xf numFmtId="0" fontId="34" fillId="2" borderId="0" xfId="0" applyNumberFormat="1" applyFont="1" applyFill="1" applyBorder="1" applyAlignment="1">
      <alignment horizontal="center" vertical="center" wrapText="1"/>
    </xf>
    <xf numFmtId="1" fontId="35" fillId="2" borderId="0" xfId="0" applyNumberFormat="1" applyFont="1" applyFill="1" applyBorder="1" applyAlignment="1">
      <alignment horizontal="center" vertical="center" wrapText="1"/>
    </xf>
    <xf numFmtId="0" fontId="34" fillId="2" borderId="0" xfId="0" applyFont="1" applyFill="1" applyBorder="1" applyAlignment="1">
      <alignment horizontal="center" vertical="center"/>
    </xf>
    <xf numFmtId="2" fontId="35" fillId="2" borderId="0" xfId="0" applyNumberFormat="1" applyFont="1" applyFill="1" applyBorder="1" applyAlignment="1">
      <alignment horizontal="center" vertical="center"/>
    </xf>
    <xf numFmtId="1" fontId="34" fillId="2" borderId="0" xfId="0" applyNumberFormat="1" applyFont="1" applyFill="1" applyBorder="1" applyAlignment="1">
      <alignment horizontal="right" vertical="center"/>
    </xf>
    <xf numFmtId="49" fontId="34" fillId="2" borderId="0" xfId="0" applyNumberFormat="1" applyFont="1" applyFill="1" applyBorder="1" applyAlignment="1">
      <alignment vertical="center"/>
    </xf>
    <xf numFmtId="0" fontId="34" fillId="2" borderId="0" xfId="0" applyFont="1" applyFill="1" applyBorder="1" applyAlignment="1">
      <alignment vertical="center" wrapText="1"/>
    </xf>
    <xf numFmtId="0" fontId="34" fillId="2" borderId="0" xfId="0" applyNumberFormat="1" applyFont="1" applyFill="1" applyBorder="1" applyAlignment="1">
      <alignment horizontal="left" vertical="center"/>
    </xf>
    <xf numFmtId="0" fontId="34" fillId="2" borderId="0" xfId="0" applyNumberFormat="1" applyFont="1" applyFill="1" applyBorder="1" applyAlignment="1">
      <alignment horizontal="center" vertical="center"/>
    </xf>
    <xf numFmtId="0" fontId="34" fillId="2" borderId="0" xfId="0" applyNumberFormat="1" applyFont="1" applyFill="1" applyBorder="1" applyAlignment="1">
      <alignment vertical="center"/>
    </xf>
    <xf numFmtId="0" fontId="34" fillId="2" borderId="0" xfId="0" applyFont="1" applyFill="1" applyBorder="1" applyAlignment="1">
      <alignment vertical="center"/>
    </xf>
    <xf numFmtId="49" fontId="34" fillId="2" borderId="0" xfId="0" applyNumberFormat="1" applyFont="1" applyFill="1" applyBorder="1" applyAlignment="1">
      <alignment horizontal="left" vertical="center"/>
    </xf>
    <xf numFmtId="2" fontId="34" fillId="2" borderId="0" xfId="0" applyNumberFormat="1" applyFont="1" applyFill="1" applyBorder="1" applyAlignment="1">
      <alignment horizontal="left" vertical="center"/>
    </xf>
    <xf numFmtId="1" fontId="34" fillId="2" borderId="0" xfId="0" applyNumberFormat="1" applyFont="1" applyFill="1" applyBorder="1" applyAlignment="1">
      <alignment horizontal="center" vertical="center" wrapText="1"/>
    </xf>
    <xf numFmtId="1" fontId="48" fillId="9" borderId="0" xfId="0" applyNumberFormat="1" applyFont="1" applyFill="1" applyBorder="1" applyAlignment="1">
      <alignment horizontal="center" vertical="center"/>
    </xf>
    <xf numFmtId="49" fontId="48" fillId="9" borderId="0" xfId="0" applyNumberFormat="1" applyFont="1" applyFill="1" applyBorder="1" applyAlignment="1">
      <alignment horizontal="left" vertical="center"/>
    </xf>
    <xf numFmtId="2" fontId="48" fillId="9" borderId="0" xfId="0" applyNumberFormat="1" applyFont="1" applyFill="1" applyBorder="1" applyAlignment="1">
      <alignment horizontal="left" vertical="center"/>
    </xf>
    <xf numFmtId="1" fontId="48" fillId="9" borderId="0" xfId="0" applyNumberFormat="1" applyFont="1" applyFill="1" applyBorder="1" applyAlignment="1">
      <alignment horizontal="center" vertical="center" wrapText="1"/>
    </xf>
    <xf numFmtId="2" fontId="48" fillId="9" borderId="0" xfId="0" applyNumberFormat="1" applyFont="1" applyFill="1" applyBorder="1" applyAlignment="1">
      <alignment horizontal="center" vertical="center"/>
    </xf>
    <xf numFmtId="1" fontId="48" fillId="9" borderId="0" xfId="0" applyNumberFormat="1" applyFont="1" applyFill="1" applyBorder="1" applyAlignment="1">
      <alignment horizontal="right" vertical="center"/>
    </xf>
    <xf numFmtId="2" fontId="39" fillId="2" borderId="0" xfId="0" applyNumberFormat="1" applyFont="1" applyFill="1" applyBorder="1" applyAlignment="1">
      <alignment vertical="center"/>
    </xf>
    <xf numFmtId="2" fontId="37" fillId="0" borderId="0" xfId="0" applyNumberFormat="1" applyFont="1" applyBorder="1" applyAlignment="1"/>
    <xf numFmtId="2" fontId="38" fillId="0" borderId="0" xfId="0" applyNumberFormat="1" applyFont="1" applyBorder="1" applyAlignment="1"/>
    <xf numFmtId="1" fontId="41" fillId="2" borderId="0" xfId="0" applyNumberFormat="1" applyFont="1" applyFill="1" applyBorder="1" applyAlignment="1">
      <alignment horizontal="right" vertical="center"/>
    </xf>
    <xf numFmtId="2" fontId="41" fillId="2" borderId="0" xfId="0" applyNumberFormat="1" applyFont="1" applyFill="1" applyBorder="1" applyAlignment="1">
      <alignment horizontal="center" vertical="center"/>
    </xf>
    <xf numFmtId="0" fontId="49" fillId="2" borderId="0" xfId="0" applyFont="1" applyFill="1" applyBorder="1" applyAlignment="1">
      <alignment vertical="center"/>
    </xf>
    <xf numFmtId="0" fontId="50" fillId="0" borderId="0" xfId="0" applyNumberFormat="1" applyFont="1" applyBorder="1" applyAlignment="1"/>
    <xf numFmtId="0" fontId="25" fillId="0" borderId="22" xfId="0" applyFont="1" applyBorder="1" applyAlignment="1">
      <alignment horizontal="center" vertical="center" wrapText="1"/>
    </xf>
    <xf numFmtId="49" fontId="1" fillId="2" borderId="23" xfId="0" applyNumberFormat="1" applyFont="1" applyFill="1" applyBorder="1" applyAlignment="1">
      <alignment horizontal="center" vertical="center" wrapText="1"/>
    </xf>
    <xf numFmtId="0" fontId="25" fillId="0" borderId="23" xfId="0" applyFont="1" applyBorder="1" applyAlignment="1">
      <alignment horizontal="center" vertical="center" wrapText="1"/>
    </xf>
    <xf numFmtId="0" fontId="1" fillId="2" borderId="23" xfId="0" applyNumberFormat="1" applyFont="1" applyFill="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28" xfId="0" applyFont="1" applyBorder="1" applyAlignment="1">
      <alignment horizontal="center" vertical="center" wrapText="1"/>
    </xf>
    <xf numFmtId="0" fontId="26" fillId="6" borderId="29" xfId="0" applyFont="1" applyFill="1" applyBorder="1" applyAlignment="1">
      <alignment horizontal="center" vertical="center"/>
    </xf>
    <xf numFmtId="0" fontId="26" fillId="6" borderId="30" xfId="0" applyFont="1" applyFill="1" applyBorder="1" applyAlignment="1">
      <alignment horizontal="center" vertical="center"/>
    </xf>
    <xf numFmtId="0" fontId="25" fillId="9" borderId="29" xfId="0" applyFont="1" applyFill="1" applyBorder="1" applyAlignment="1">
      <alignment horizontal="center" vertical="center"/>
    </xf>
    <xf numFmtId="0" fontId="44" fillId="9" borderId="31" xfId="0" applyFont="1" applyFill="1" applyBorder="1" applyAlignment="1">
      <alignment horizontal="center" vertical="center"/>
    </xf>
    <xf numFmtId="0" fontId="2" fillId="2" borderId="29" xfId="0" applyFont="1" applyFill="1" applyBorder="1" applyAlignment="1">
      <alignment horizontal="center" vertical="center"/>
    </xf>
    <xf numFmtId="1" fontId="2" fillId="2" borderId="32" xfId="0" applyNumberFormat="1" applyFont="1" applyFill="1" applyBorder="1" applyAlignment="1">
      <alignment horizontal="center" vertical="center"/>
    </xf>
    <xf numFmtId="0" fontId="2" fillId="7" borderId="29" xfId="0" applyFont="1" applyFill="1" applyBorder="1" applyAlignment="1">
      <alignment horizontal="center" vertical="center"/>
    </xf>
    <xf numFmtId="1" fontId="2" fillId="7" borderId="32" xfId="0" applyNumberFormat="1" applyFont="1" applyFill="1" applyBorder="1" applyAlignment="1">
      <alignment horizontal="center"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wrapText="1"/>
    </xf>
    <xf numFmtId="0" fontId="14" fillId="9" borderId="29" xfId="0" applyFont="1" applyFill="1" applyBorder="1" applyAlignment="1">
      <alignment horizontal="center" vertical="center"/>
    </xf>
    <xf numFmtId="1" fontId="14" fillId="9" borderId="32" xfId="0" applyNumberFormat="1"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4" xfId="0" applyFont="1" applyFill="1" applyBorder="1" applyAlignment="1">
      <alignment horizontal="left" vertical="center" wrapText="1"/>
    </xf>
    <xf numFmtId="49" fontId="2" fillId="2" borderId="35" xfId="0" applyNumberFormat="1" applyFont="1" applyFill="1" applyBorder="1" applyAlignment="1">
      <alignment horizontal="center" vertical="center" wrapText="1"/>
    </xf>
    <xf numFmtId="49" fontId="2" fillId="2" borderId="36"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35" fillId="2" borderId="40" xfId="0" applyFont="1" applyFill="1" applyBorder="1" applyAlignment="1">
      <alignment horizontal="left" vertical="center" wrapText="1"/>
    </xf>
    <xf numFmtId="0" fontId="2" fillId="2" borderId="41" xfId="0" applyNumberFormat="1" applyFont="1" applyFill="1" applyBorder="1" applyAlignment="1">
      <alignment horizontal="left" vertical="center" wrapText="1"/>
    </xf>
    <xf numFmtId="2" fontId="2" fillId="2" borderId="34" xfId="0" applyNumberFormat="1" applyFont="1" applyFill="1" applyBorder="1" applyAlignment="1">
      <alignment horizontal="right" vertical="center"/>
    </xf>
    <xf numFmtId="2" fontId="2" fillId="2" borderId="42" xfId="0" applyNumberFormat="1" applyFont="1" applyFill="1" applyBorder="1" applyAlignment="1">
      <alignment horizontal="right" vertical="center"/>
    </xf>
    <xf numFmtId="2" fontId="2" fillId="2" borderId="38" xfId="0" applyNumberFormat="1" applyFont="1" applyFill="1" applyBorder="1" applyAlignment="1">
      <alignment horizontal="left" vertical="center" wrapText="1"/>
    </xf>
    <xf numFmtId="2" fontId="2" fillId="2" borderId="41" xfId="0" applyNumberFormat="1" applyFont="1" applyFill="1" applyBorder="1" applyAlignment="1">
      <alignment horizontal="center" vertical="center"/>
    </xf>
    <xf numFmtId="0" fontId="2" fillId="2" borderId="38" xfId="0" applyNumberFormat="1" applyFont="1" applyFill="1" applyBorder="1" applyAlignment="1">
      <alignment horizontal="left" vertical="center" wrapText="1"/>
    </xf>
    <xf numFmtId="2" fontId="2" fillId="2" borderId="42" xfId="0" applyNumberFormat="1" applyFont="1" applyFill="1" applyBorder="1" applyAlignment="1">
      <alignment horizontal="center" vertical="center"/>
    </xf>
    <xf numFmtId="0" fontId="2" fillId="2" borderId="42" xfId="0" applyNumberFormat="1" applyFont="1" applyFill="1" applyBorder="1" applyAlignment="1">
      <alignment vertical="center" wrapText="1"/>
    </xf>
    <xf numFmtId="0" fontId="2" fillId="2" borderId="43" xfId="0" applyNumberFormat="1" applyFont="1" applyFill="1" applyBorder="1" applyAlignment="1">
      <alignment vertical="center" wrapText="1"/>
    </xf>
    <xf numFmtId="0" fontId="2" fillId="2" borderId="44" xfId="0" applyNumberFormat="1" applyFont="1" applyFill="1" applyBorder="1" applyAlignment="1">
      <alignment horizontal="left" vertical="center" wrapText="1"/>
    </xf>
    <xf numFmtId="2" fontId="2" fillId="2" borderId="34" xfId="0" applyNumberFormat="1" applyFont="1" applyFill="1" applyBorder="1" applyAlignment="1">
      <alignment horizontal="center" vertical="center" wrapText="1"/>
    </xf>
    <xf numFmtId="0" fontId="2" fillId="2" borderId="42" xfId="0" applyNumberFormat="1" applyFont="1" applyFill="1" applyBorder="1" applyAlignment="1">
      <alignment horizontal="right" vertical="center" wrapText="1"/>
    </xf>
    <xf numFmtId="0" fontId="2" fillId="2" borderId="43" xfId="0" applyNumberFormat="1" applyFont="1" applyFill="1" applyBorder="1" applyAlignment="1">
      <alignment horizontal="left" vertical="center" wrapText="1"/>
    </xf>
    <xf numFmtId="49" fontId="2" fillId="0" borderId="42" xfId="0" applyNumberFormat="1" applyFont="1" applyBorder="1" applyAlignment="1">
      <alignment horizontal="right" vertical="center"/>
    </xf>
    <xf numFmtId="2" fontId="2" fillId="0" borderId="43" xfId="0" applyNumberFormat="1" applyFont="1" applyBorder="1" applyAlignment="1">
      <alignment horizontal="center" vertical="center"/>
    </xf>
    <xf numFmtId="49" fontId="2" fillId="2" borderId="43" xfId="0" applyNumberFormat="1" applyFont="1" applyFill="1" applyBorder="1" applyAlignment="1">
      <alignment horizontal="center" vertical="center"/>
    </xf>
    <xf numFmtId="49" fontId="2" fillId="0" borderId="43" xfId="0" applyNumberFormat="1" applyFont="1" applyBorder="1" applyAlignment="1">
      <alignment vertical="center"/>
    </xf>
    <xf numFmtId="0" fontId="2" fillId="0" borderId="44" xfId="0" applyNumberFormat="1" applyFont="1" applyBorder="1" applyAlignment="1">
      <alignment horizontal="left" vertical="center"/>
    </xf>
    <xf numFmtId="1" fontId="2" fillId="2" borderId="45"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center"/>
    </xf>
    <xf numFmtId="2" fontId="2" fillId="2" borderId="34" xfId="0" applyNumberFormat="1" applyFont="1" applyFill="1" applyBorder="1" applyAlignment="1">
      <alignment horizontal="left" vertical="center"/>
    </xf>
    <xf numFmtId="0" fontId="2" fillId="2" borderId="34" xfId="0" applyNumberFormat="1" applyFont="1" applyFill="1" applyBorder="1" applyAlignment="1">
      <alignment horizontal="center" vertical="center" wrapText="1"/>
    </xf>
    <xf numFmtId="1" fontId="1" fillId="2" borderId="42" xfId="0" applyNumberFormat="1" applyFont="1" applyFill="1" applyBorder="1" applyAlignment="1">
      <alignment horizontal="center" vertical="center"/>
    </xf>
    <xf numFmtId="1" fontId="2" fillId="2" borderId="34" xfId="0" applyNumberFormat="1" applyFont="1" applyFill="1" applyBorder="1" applyAlignment="1">
      <alignment horizontal="center" vertical="center" wrapText="1"/>
    </xf>
    <xf numFmtId="1" fontId="2" fillId="2" borderId="34" xfId="0" applyNumberFormat="1" applyFont="1" applyFill="1" applyBorder="1" applyAlignment="1">
      <alignment horizontal="center" vertical="center"/>
    </xf>
    <xf numFmtId="1" fontId="1" fillId="2" borderId="38" xfId="0" applyNumberFormat="1" applyFont="1" applyFill="1" applyBorder="1" applyAlignment="1">
      <alignment horizontal="center" vertical="center"/>
    </xf>
    <xf numFmtId="0" fontId="1" fillId="2" borderId="34" xfId="0" applyFont="1" applyFill="1" applyBorder="1" applyAlignment="1">
      <alignment horizontal="center" vertical="center"/>
    </xf>
    <xf numFmtId="2" fontId="2" fillId="3" borderId="34" xfId="0" applyNumberFormat="1" applyFont="1" applyFill="1" applyBorder="1" applyAlignment="1">
      <alignment horizontal="center" vertical="center"/>
    </xf>
    <xf numFmtId="1" fontId="2" fillId="2" borderId="46" xfId="0" applyNumberFormat="1" applyFont="1" applyFill="1" applyBorder="1" applyAlignment="1">
      <alignment horizontal="center" vertical="center"/>
    </xf>
    <xf numFmtId="2" fontId="2" fillId="2" borderId="45" xfId="0" applyNumberFormat="1" applyFont="1" applyFill="1" applyBorder="1" applyAlignment="1">
      <alignment horizontal="center" vertical="center"/>
    </xf>
    <xf numFmtId="0" fontId="2" fillId="2" borderId="44" xfId="0" applyFont="1" applyFill="1" applyBorder="1" applyAlignment="1">
      <alignment vertical="center"/>
    </xf>
    <xf numFmtId="0" fontId="2" fillId="2" borderId="34" xfId="0" applyFont="1" applyFill="1" applyBorder="1" applyAlignment="1">
      <alignment vertical="center"/>
    </xf>
    <xf numFmtId="1" fontId="1" fillId="2" borderId="34" xfId="0" applyNumberFormat="1" applyFont="1" applyFill="1" applyBorder="1" applyAlignment="1">
      <alignment horizontal="center" vertical="center"/>
    </xf>
    <xf numFmtId="1" fontId="1" fillId="2" borderId="47" xfId="0" applyNumberFormat="1" applyFont="1" applyFill="1" applyBorder="1" applyAlignment="1">
      <alignment horizontal="center" vertical="center" wrapText="1"/>
    </xf>
    <xf numFmtId="1" fontId="2" fillId="2" borderId="48" xfId="0" applyNumberFormat="1" applyFont="1" applyFill="1" applyBorder="1" applyAlignment="1">
      <alignment horizontal="center" vertical="center"/>
    </xf>
    <xf numFmtId="0" fontId="2" fillId="2" borderId="12" xfId="0" applyFont="1" applyFill="1" applyBorder="1" applyAlignment="1">
      <alignment horizontal="center" vertical="center"/>
    </xf>
    <xf numFmtId="0" fontId="2" fillId="7" borderId="12" xfId="0" applyFont="1" applyFill="1" applyBorder="1" applyAlignment="1">
      <alignment horizontal="center" vertical="center"/>
    </xf>
    <xf numFmtId="0" fontId="51" fillId="10" borderId="0" xfId="0" applyFont="1" applyFill="1" applyBorder="1"/>
    <xf numFmtId="0" fontId="35" fillId="2" borderId="0" xfId="0" applyFont="1" applyFill="1" applyBorder="1" applyAlignment="1">
      <alignment horizontal="right" vertical="center"/>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3" xfId="0" applyFont="1" applyBorder="1" applyAlignment="1">
      <alignment horizontal="center" vertical="center" wrapText="1"/>
    </xf>
    <xf numFmtId="0" fontId="1" fillId="2" borderId="23" xfId="0" applyFont="1" applyFill="1" applyBorder="1" applyAlignment="1">
      <alignment horizontal="center" vertical="center" wrapText="1"/>
    </xf>
    <xf numFmtId="0" fontId="1" fillId="0" borderId="49"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2" fillId="0" borderId="29" xfId="0" applyFont="1" applyBorder="1" applyAlignment="1">
      <alignment horizontal="center" vertical="center"/>
    </xf>
    <xf numFmtId="0" fontId="2" fillId="0" borderId="30" xfId="0" applyFont="1" applyBorder="1" applyAlignment="1">
      <alignment vertical="center"/>
    </xf>
    <xf numFmtId="0" fontId="25" fillId="10" borderId="29" xfId="0" applyFont="1" applyFill="1" applyBorder="1" applyAlignment="1">
      <alignment horizontal="center" vertical="center"/>
    </xf>
    <xf numFmtId="0" fontId="25" fillId="10" borderId="30" xfId="0" applyFont="1" applyFill="1" applyBorder="1" applyAlignment="1">
      <alignment horizontal="center" vertical="center"/>
    </xf>
    <xf numFmtId="0" fontId="2" fillId="2" borderId="30" xfId="0" applyNumberFormat="1" applyFont="1" applyFill="1" applyBorder="1" applyAlignment="1">
      <alignment horizontal="center" vertical="center" wrapText="1"/>
    </xf>
    <xf numFmtId="0" fontId="2" fillId="7" borderId="30" xfId="0" applyNumberFormat="1" applyFont="1" applyFill="1" applyBorder="1" applyAlignment="1">
      <alignment horizontal="center" vertical="center" wrapText="1"/>
    </xf>
    <xf numFmtId="0" fontId="2" fillId="0" borderId="33" xfId="0" applyFont="1" applyBorder="1" applyAlignment="1">
      <alignment horizontal="center" vertical="center"/>
    </xf>
    <xf numFmtId="0" fontId="2" fillId="2" borderId="34" xfId="0" applyNumberFormat="1" applyFont="1" applyFill="1" applyBorder="1" applyAlignment="1">
      <alignment horizontal="left" vertical="center" wrapText="1"/>
    </xf>
    <xf numFmtId="49" fontId="2" fillId="2" borderId="34" xfId="0" applyNumberFormat="1" applyFont="1" applyFill="1" applyBorder="1" applyAlignment="1">
      <alignment horizontal="center" vertical="center" wrapText="1"/>
    </xf>
    <xf numFmtId="0" fontId="2" fillId="2" borderId="34" xfId="0" applyNumberFormat="1" applyFont="1" applyFill="1" applyBorder="1" applyAlignment="1">
      <alignment horizontal="center" vertical="center"/>
    </xf>
    <xf numFmtId="0" fontId="35" fillId="0" borderId="38" xfId="0" applyFont="1" applyBorder="1" applyAlignment="1">
      <alignment vertical="center" wrapText="1"/>
    </xf>
    <xf numFmtId="0" fontId="2" fillId="0" borderId="41" xfId="0" applyFont="1" applyBorder="1" applyAlignment="1">
      <alignment vertical="center" wrapText="1"/>
    </xf>
    <xf numFmtId="0" fontId="2" fillId="0" borderId="38" xfId="0" applyFont="1" applyBorder="1" applyAlignment="1">
      <alignment horizontal="center" vertical="center"/>
    </xf>
    <xf numFmtId="0" fontId="2" fillId="0" borderId="41" xfId="0" applyFont="1" applyBorder="1" applyAlignment="1">
      <alignment horizontal="center" vertical="center"/>
    </xf>
    <xf numFmtId="2" fontId="2" fillId="2" borderId="34" xfId="0" applyNumberFormat="1" applyFont="1" applyFill="1" applyBorder="1" applyAlignment="1">
      <alignment horizontal="center" vertical="center"/>
    </xf>
    <xf numFmtId="0" fontId="2" fillId="0" borderId="34" xfId="0" applyFont="1" applyBorder="1" applyAlignment="1">
      <alignment vertical="center"/>
    </xf>
    <xf numFmtId="0" fontId="2" fillId="2" borderId="42" xfId="0" applyFont="1" applyFill="1" applyBorder="1" applyAlignment="1">
      <alignment horizontal="right" vertical="center" wrapText="1"/>
    </xf>
    <xf numFmtId="0" fontId="2" fillId="2" borderId="44" xfId="0" applyFont="1" applyFill="1" applyBorder="1" applyAlignment="1">
      <alignment horizontal="left" vertical="center" wrapText="1"/>
    </xf>
    <xf numFmtId="0" fontId="2" fillId="0" borderId="44" xfId="0" applyFont="1" applyBorder="1" applyAlignment="1">
      <alignment horizontal="left" vertical="center"/>
    </xf>
    <xf numFmtId="0" fontId="2" fillId="0" borderId="42" xfId="0" applyFont="1" applyBorder="1" applyAlignment="1">
      <alignment horizontal="right" vertical="center"/>
    </xf>
    <xf numFmtId="0" fontId="2" fillId="0" borderId="43" xfId="0" applyFont="1" applyBorder="1" applyAlignment="1">
      <alignment horizontal="left" vertical="center"/>
    </xf>
    <xf numFmtId="0" fontId="2" fillId="0" borderId="50" xfId="0" applyFont="1" applyBorder="1" applyAlignment="1">
      <alignment vertical="center"/>
    </xf>
    <xf numFmtId="0" fontId="1" fillId="2" borderId="34" xfId="0" applyNumberFormat="1" applyFont="1" applyFill="1" applyBorder="1" applyAlignment="1">
      <alignment horizontal="center" vertical="center" wrapText="1"/>
    </xf>
    <xf numFmtId="0" fontId="2" fillId="2" borderId="51" xfId="0" applyNumberFormat="1" applyFont="1" applyFill="1" applyBorder="1" applyAlignment="1">
      <alignment horizontal="center" vertical="center" wrapText="1"/>
    </xf>
  </cellXfs>
  <cellStyles count="1">
    <cellStyle name="Normal" xfId="0" builtinId="0"/>
  </cellStyles>
  <dxfs count="676">
    <dxf>
      <fill>
        <patternFill>
          <bgColor indexed="15"/>
        </patternFill>
      </fill>
    </dxf>
    <dxf>
      <fill>
        <patternFill>
          <bgColor indexed="52"/>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41"/>
        </patternFill>
      </fill>
    </dxf>
    <dxf>
      <fill>
        <patternFill>
          <bgColor indexed="42"/>
        </patternFill>
      </fill>
    </dxf>
    <dxf>
      <fill>
        <patternFill>
          <bgColor indexed="47"/>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ill>
        <patternFill>
          <bgColor indexed="42"/>
        </patternFill>
      </fill>
    </dxf>
    <dxf>
      <fill>
        <patternFill>
          <bgColor indexed="42"/>
        </patternFill>
      </fill>
    </dxf>
    <dxf>
      <fill>
        <patternFill>
          <bgColor indexed="41"/>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ill>
        <patternFill>
          <bgColor indexed="42"/>
        </patternFill>
      </fill>
    </dxf>
    <dxf>
      <fill>
        <patternFill>
          <bgColor indexed="42"/>
        </patternFill>
      </fill>
    </dxf>
    <dxf>
      <fill>
        <patternFill>
          <bgColor indexed="42"/>
        </patternFill>
      </fill>
    </dxf>
    <dxf>
      <fill>
        <patternFill>
          <bgColor indexed="47"/>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ill>
        <patternFill>
          <bgColor indexed="22"/>
        </patternFill>
      </fill>
    </dxf>
    <dxf>
      <fill>
        <patternFill>
          <bgColor indexed="42"/>
        </patternFill>
      </fill>
    </dxf>
    <dxf>
      <fill>
        <patternFill>
          <bgColor indexed="11"/>
        </patternFill>
      </fill>
    </dxf>
    <dxf>
      <font>
        <condense val="0"/>
        <extend val="0"/>
        <color indexed="9"/>
      </font>
      <fill>
        <patternFill>
          <bgColor indexed="17"/>
        </patternFill>
      </fill>
    </dxf>
    <dxf>
      <fill>
        <patternFill>
          <fgColor indexed="46"/>
          <bgColor indexed="42"/>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47"/>
        </patternFill>
      </fill>
    </dxf>
    <dxf>
      <fill>
        <patternFill>
          <bgColor indexed="41"/>
        </patternFill>
      </fill>
    </dxf>
    <dxf>
      <fill>
        <patternFill>
          <bgColor indexed="13"/>
        </patternFill>
      </fill>
    </dxf>
    <dxf>
      <fill>
        <patternFill>
          <bgColor indexed="15"/>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22"/>
        </patternFill>
      </fill>
    </dxf>
    <dxf>
      <fill>
        <patternFill>
          <bgColor indexed="51"/>
        </patternFill>
      </fill>
    </dxf>
    <dxf>
      <font>
        <b val="0"/>
        <i val="0"/>
        <condense val="0"/>
        <extend val="0"/>
      </font>
      <fill>
        <patternFill>
          <bgColor indexed="52"/>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ill>
        <patternFill>
          <bgColor indexed="42"/>
        </patternFill>
      </fill>
    </dxf>
    <dxf>
      <fill>
        <patternFill>
          <bgColor indexed="42"/>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42"/>
        </patternFill>
      </fill>
    </dxf>
    <dxf>
      <fill>
        <patternFill>
          <bgColor indexed="42"/>
        </patternFill>
      </fill>
    </dxf>
    <dxf>
      <fill>
        <patternFill>
          <bgColor indexed="41"/>
        </patternFill>
      </fill>
    </dxf>
    <dxf>
      <fill>
        <patternFill>
          <bgColor indexed="47"/>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ill>
        <patternFill>
          <bgColor indexed="22"/>
        </patternFill>
      </fill>
    </dxf>
    <dxf>
      <fill>
        <patternFill>
          <bgColor indexed="42"/>
        </patternFill>
      </fill>
    </dxf>
    <dxf>
      <fill>
        <patternFill>
          <bgColor indexed="11"/>
        </patternFill>
      </fill>
    </dxf>
    <dxf>
      <font>
        <condense val="0"/>
        <extend val="0"/>
        <color indexed="9"/>
      </font>
      <fill>
        <patternFill>
          <bgColor indexed="17"/>
        </patternFill>
      </fill>
    </dxf>
    <dxf>
      <fill>
        <patternFill>
          <fgColor indexed="46"/>
          <bgColor indexed="42"/>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47"/>
        </patternFill>
      </fill>
    </dxf>
    <dxf>
      <fill>
        <patternFill>
          <bgColor indexed="41"/>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22"/>
        </patternFill>
      </fill>
    </dxf>
    <dxf>
      <fill>
        <patternFill>
          <bgColor indexed="51"/>
        </patternFill>
      </fill>
    </dxf>
    <dxf>
      <font>
        <b val="0"/>
        <i val="0"/>
        <condense val="0"/>
        <extend val="0"/>
      </font>
      <fill>
        <patternFill>
          <bgColor indexed="52"/>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42"/>
        </patternFill>
      </fill>
    </dxf>
    <dxf>
      <fill>
        <patternFill>
          <bgColor indexed="41"/>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ill>
        <patternFill>
          <bgColor indexed="42"/>
        </patternFill>
      </fill>
    </dxf>
    <dxf>
      <fill>
        <patternFill>
          <bgColor indexed="42"/>
        </patternFill>
      </fill>
    </dxf>
    <dxf>
      <fill>
        <patternFill>
          <bgColor indexed="42"/>
        </patternFill>
      </fill>
    </dxf>
    <dxf>
      <fill>
        <patternFill>
          <bgColor indexed="47"/>
        </patternFill>
      </fill>
    </dxf>
    <dxf>
      <fill>
        <patternFill>
          <bgColor indexed="42"/>
        </patternFill>
      </fill>
    </dxf>
    <dxf>
      <fill>
        <patternFill>
          <bgColor indexed="41"/>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ill>
        <patternFill>
          <bgColor indexed="42"/>
        </patternFill>
      </fill>
    </dxf>
    <dxf>
      <fill>
        <patternFill>
          <bgColor indexed="42"/>
        </patternFill>
      </fill>
    </dxf>
    <dxf>
      <fill>
        <patternFill>
          <bgColor indexed="42"/>
        </patternFill>
      </fill>
    </dxf>
    <dxf>
      <fill>
        <patternFill>
          <bgColor indexed="47"/>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42"/>
        </patternFill>
      </fill>
    </dxf>
    <dxf>
      <fill>
        <patternFill>
          <bgColor indexed="42"/>
        </patternFill>
      </fill>
    </dxf>
    <dxf>
      <fill>
        <patternFill>
          <bgColor indexed="42"/>
        </patternFill>
      </fill>
    </dxf>
    <dxf>
      <fill>
        <patternFill>
          <bgColor indexed="42"/>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42"/>
        </patternFill>
      </fill>
    </dxf>
    <dxf>
      <fill>
        <patternFill>
          <bgColor indexed="42"/>
        </patternFill>
      </fill>
    </dxf>
    <dxf>
      <fill>
        <patternFill>
          <bgColor indexed="41"/>
        </patternFill>
      </fill>
    </dxf>
    <dxf>
      <fill>
        <patternFill>
          <bgColor indexed="47"/>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ill>
        <patternFill>
          <bgColor indexed="22"/>
        </patternFill>
      </fill>
    </dxf>
    <dxf>
      <fill>
        <patternFill>
          <bgColor indexed="42"/>
        </patternFill>
      </fill>
    </dxf>
    <dxf>
      <fill>
        <patternFill>
          <bgColor indexed="11"/>
        </patternFill>
      </fill>
    </dxf>
    <dxf>
      <font>
        <condense val="0"/>
        <extend val="0"/>
        <color indexed="9"/>
      </font>
      <fill>
        <patternFill>
          <bgColor indexed="17"/>
        </patternFill>
      </fill>
    </dxf>
    <dxf>
      <fill>
        <patternFill>
          <fgColor indexed="46"/>
          <bgColor indexed="42"/>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47"/>
        </patternFill>
      </fill>
    </dxf>
    <dxf>
      <fill>
        <patternFill>
          <bgColor indexed="41"/>
        </patternFill>
      </fill>
    </dxf>
    <dxf>
      <fill>
        <patternFill>
          <bgColor indexed="13"/>
        </patternFill>
      </fill>
    </dxf>
    <dxf>
      <fill>
        <patternFill>
          <bgColor indexed="15"/>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22"/>
        </patternFill>
      </fill>
    </dxf>
    <dxf>
      <fill>
        <patternFill>
          <bgColor indexed="51"/>
        </patternFill>
      </fill>
    </dxf>
    <dxf>
      <font>
        <b val="0"/>
        <i val="0"/>
        <condense val="0"/>
        <extend val="0"/>
      </font>
      <fill>
        <patternFill>
          <bgColor indexed="52"/>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ill>
        <patternFill>
          <bgColor indexed="42"/>
        </patternFill>
      </fill>
    </dxf>
    <dxf>
      <fill>
        <patternFill>
          <bgColor indexed="42"/>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42"/>
        </patternFill>
      </fill>
    </dxf>
    <dxf>
      <fill>
        <patternFill>
          <bgColor indexed="42"/>
        </patternFill>
      </fill>
    </dxf>
    <dxf>
      <fill>
        <patternFill>
          <bgColor indexed="41"/>
        </patternFill>
      </fill>
    </dxf>
    <dxf>
      <fill>
        <patternFill>
          <bgColor indexed="47"/>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ill>
        <patternFill>
          <bgColor indexed="22"/>
        </patternFill>
      </fill>
    </dxf>
    <dxf>
      <fill>
        <patternFill>
          <bgColor indexed="42"/>
        </patternFill>
      </fill>
    </dxf>
    <dxf>
      <fill>
        <patternFill>
          <bgColor indexed="11"/>
        </patternFill>
      </fill>
    </dxf>
    <dxf>
      <font>
        <condense val="0"/>
        <extend val="0"/>
        <color indexed="9"/>
      </font>
      <fill>
        <patternFill>
          <bgColor indexed="17"/>
        </patternFill>
      </fill>
    </dxf>
    <dxf>
      <fill>
        <patternFill>
          <fgColor indexed="46"/>
          <bgColor indexed="42"/>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47"/>
        </patternFill>
      </fill>
    </dxf>
    <dxf>
      <fill>
        <patternFill>
          <bgColor indexed="41"/>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22"/>
        </patternFill>
      </fill>
    </dxf>
    <dxf>
      <fill>
        <patternFill>
          <bgColor indexed="51"/>
        </patternFill>
      </fill>
    </dxf>
    <dxf>
      <font>
        <b val="0"/>
        <i val="0"/>
        <condense val="0"/>
        <extend val="0"/>
      </font>
      <fill>
        <patternFill>
          <bgColor indexed="52"/>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42"/>
        </patternFill>
      </fill>
    </dxf>
    <dxf>
      <fill>
        <patternFill>
          <bgColor indexed="42"/>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ill>
        <patternFill>
          <bgColor indexed="22"/>
        </patternFill>
      </fill>
    </dxf>
    <dxf>
      <fill>
        <patternFill>
          <bgColor indexed="51"/>
        </patternFill>
      </fill>
    </dxf>
    <dxf>
      <font>
        <b val="0"/>
        <i val="0"/>
        <condense val="0"/>
        <extend val="0"/>
      </font>
      <fill>
        <patternFill>
          <bgColor indexed="5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42"/>
        </patternFill>
      </fill>
    </dxf>
    <dxf>
      <fill>
        <patternFill>
          <bgColor indexed="42"/>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ill>
        <patternFill>
          <bgColor indexed="41"/>
        </patternFill>
      </fill>
    </dxf>
    <dxf>
      <fill>
        <patternFill>
          <bgColor indexed="15"/>
        </patternFill>
      </fill>
    </dxf>
    <dxf>
      <fill>
        <patternFill>
          <bgColor indexed="51"/>
        </patternFill>
      </fill>
    </dxf>
    <dxf>
      <fill>
        <patternFill>
          <bgColor indexed="22"/>
        </patternFill>
      </fill>
    </dxf>
    <dxf>
      <fill>
        <patternFill>
          <bgColor indexed="42"/>
        </patternFill>
      </fill>
    </dxf>
    <dxf>
      <fill>
        <patternFill>
          <bgColor indexed="11"/>
        </patternFill>
      </fill>
    </dxf>
    <dxf>
      <font>
        <condense val="0"/>
        <extend val="0"/>
        <color indexed="9"/>
      </font>
      <fill>
        <patternFill>
          <bgColor indexed="17"/>
        </patternFill>
      </fill>
    </dxf>
    <dxf>
      <fill>
        <patternFill>
          <fgColor indexed="46"/>
          <bgColor indexed="42"/>
        </patternFill>
      </fill>
    </dxf>
    <dxf>
      <fill>
        <patternFill>
          <bgColor indexed="47"/>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ill>
        <patternFill>
          <bgColor indexed="22"/>
        </patternFill>
      </fill>
    </dxf>
    <dxf>
      <fill>
        <patternFill>
          <bgColor indexed="51"/>
        </patternFill>
      </fill>
    </dxf>
    <dxf>
      <font>
        <b val="0"/>
        <i val="0"/>
        <condense val="0"/>
        <extend val="0"/>
      </font>
      <fill>
        <patternFill>
          <bgColor indexed="5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47"/>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41"/>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ill>
        <patternFill>
          <bgColor indexed="22"/>
        </patternFill>
      </fill>
    </dxf>
    <dxf>
      <fill>
        <patternFill>
          <bgColor indexed="51"/>
        </patternFill>
      </fill>
    </dxf>
    <dxf>
      <font>
        <b val="0"/>
        <i val="0"/>
        <condense val="0"/>
        <extend val="0"/>
      </font>
      <fill>
        <patternFill>
          <bgColor indexed="5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42"/>
        </patternFill>
      </fill>
    </dxf>
    <dxf>
      <fill>
        <patternFill>
          <bgColor indexed="42"/>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ill>
        <patternFill>
          <bgColor indexed="42"/>
        </patternFill>
      </fill>
    </dxf>
    <dxf>
      <fill>
        <patternFill>
          <bgColor indexed="42"/>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ill>
        <patternFill>
          <bgColor indexed="22"/>
        </patternFill>
      </fill>
    </dxf>
    <dxf>
      <fill>
        <patternFill>
          <bgColor indexed="51"/>
        </patternFill>
      </fill>
    </dxf>
    <dxf>
      <font>
        <b val="0"/>
        <i val="0"/>
        <condense val="0"/>
        <extend val="0"/>
      </font>
      <fill>
        <patternFill>
          <bgColor indexed="5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ill>
        <patternFill>
          <bgColor indexed="22"/>
        </patternFill>
      </fill>
    </dxf>
    <dxf>
      <fill>
        <patternFill>
          <bgColor indexed="51"/>
        </patternFill>
      </fill>
    </dxf>
    <dxf>
      <font>
        <b val="0"/>
        <i val="0"/>
        <condense val="0"/>
        <extend val="0"/>
      </font>
      <fill>
        <patternFill>
          <bgColor indexed="5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15"/>
        </patternFill>
      </fill>
    </dxf>
    <dxf>
      <fill>
        <patternFill>
          <bgColor indexed="52"/>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ill>
        <patternFill>
          <bgColor indexed="42"/>
        </patternFill>
      </fill>
    </dxf>
    <dxf>
      <fill>
        <patternFill>
          <bgColor indexed="42"/>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41"/>
        </patternFill>
      </fill>
    </dxf>
    <dxf>
      <fill>
        <patternFill>
          <bgColor indexed="42"/>
        </patternFill>
      </fill>
    </dxf>
    <dxf>
      <fill>
        <patternFill>
          <bgColor indexed="47"/>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ill>
        <patternFill>
          <bgColor indexed="42"/>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42"/>
        </patternFill>
      </fill>
    </dxf>
    <dxf>
      <fill>
        <patternFill>
          <bgColor indexed="41"/>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ill>
        <patternFill>
          <bgColor indexed="42"/>
        </patternFill>
      </fill>
    </dxf>
    <dxf>
      <fill>
        <patternFill>
          <bgColor indexed="42"/>
        </patternFill>
      </fill>
    </dxf>
    <dxf>
      <fill>
        <patternFill>
          <bgColor indexed="42"/>
        </patternFill>
      </fill>
    </dxf>
    <dxf>
      <fill>
        <patternFill>
          <bgColor indexed="47"/>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ill>
        <patternFill>
          <bgColor indexed="22"/>
        </patternFill>
      </fill>
    </dxf>
    <dxf>
      <fill>
        <patternFill>
          <bgColor indexed="42"/>
        </patternFill>
      </fill>
    </dxf>
    <dxf>
      <fill>
        <patternFill>
          <bgColor indexed="11"/>
        </patternFill>
      </fill>
    </dxf>
    <dxf>
      <font>
        <condense val="0"/>
        <extend val="0"/>
        <color indexed="9"/>
      </font>
      <fill>
        <patternFill>
          <bgColor indexed="17"/>
        </patternFill>
      </fill>
    </dxf>
    <dxf>
      <fill>
        <patternFill>
          <fgColor indexed="46"/>
          <bgColor indexed="42"/>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47"/>
        </patternFill>
      </fill>
    </dxf>
    <dxf>
      <fill>
        <patternFill>
          <bgColor indexed="41"/>
        </patternFill>
      </fill>
    </dxf>
    <dxf>
      <fill>
        <patternFill>
          <bgColor indexed="13"/>
        </patternFill>
      </fill>
    </dxf>
    <dxf>
      <fill>
        <patternFill>
          <bgColor indexed="15"/>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22"/>
        </patternFill>
      </fill>
    </dxf>
    <dxf>
      <fill>
        <patternFill>
          <bgColor indexed="51"/>
        </patternFill>
      </fill>
    </dxf>
    <dxf>
      <font>
        <b val="0"/>
        <i val="0"/>
        <condense val="0"/>
        <extend val="0"/>
      </font>
      <fill>
        <patternFill>
          <bgColor indexed="52"/>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ill>
        <patternFill>
          <bgColor indexed="42"/>
        </patternFill>
      </fill>
    </dxf>
    <dxf>
      <fill>
        <patternFill>
          <bgColor indexed="42"/>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42"/>
        </patternFill>
      </fill>
    </dxf>
    <dxf>
      <fill>
        <patternFill>
          <bgColor indexed="42"/>
        </patternFill>
      </fill>
    </dxf>
    <dxf>
      <fill>
        <patternFill>
          <bgColor indexed="41"/>
        </patternFill>
      </fill>
    </dxf>
    <dxf>
      <fill>
        <patternFill>
          <bgColor indexed="47"/>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ill>
        <patternFill>
          <bgColor indexed="22"/>
        </patternFill>
      </fill>
    </dxf>
    <dxf>
      <fill>
        <patternFill>
          <bgColor indexed="42"/>
        </patternFill>
      </fill>
    </dxf>
    <dxf>
      <fill>
        <patternFill>
          <bgColor indexed="11"/>
        </patternFill>
      </fill>
    </dxf>
    <dxf>
      <font>
        <condense val="0"/>
        <extend val="0"/>
        <color indexed="9"/>
      </font>
      <fill>
        <patternFill>
          <bgColor indexed="17"/>
        </patternFill>
      </fill>
    </dxf>
    <dxf>
      <fill>
        <patternFill>
          <fgColor indexed="46"/>
          <bgColor indexed="42"/>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47"/>
        </patternFill>
      </fill>
    </dxf>
    <dxf>
      <fill>
        <patternFill>
          <bgColor indexed="41"/>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22"/>
        </patternFill>
      </fill>
    </dxf>
    <dxf>
      <fill>
        <patternFill>
          <bgColor indexed="51"/>
        </patternFill>
      </fill>
    </dxf>
    <dxf>
      <font>
        <b val="0"/>
        <i val="0"/>
        <condense val="0"/>
        <extend val="0"/>
      </font>
      <fill>
        <patternFill>
          <bgColor indexed="52"/>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42"/>
        </patternFill>
      </fill>
    </dxf>
    <dxf>
      <fill>
        <patternFill>
          <bgColor indexed="41"/>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ill>
        <patternFill>
          <bgColor indexed="42"/>
        </patternFill>
      </fill>
    </dxf>
    <dxf>
      <fill>
        <patternFill>
          <bgColor indexed="42"/>
        </patternFill>
      </fill>
    </dxf>
    <dxf>
      <fill>
        <patternFill>
          <bgColor indexed="42"/>
        </patternFill>
      </fill>
    </dxf>
    <dxf>
      <fill>
        <patternFill>
          <bgColor indexed="47"/>
        </patternFill>
      </fill>
    </dxf>
    <dxf>
      <fill>
        <patternFill>
          <bgColor indexed="42"/>
        </patternFill>
      </fill>
    </dxf>
    <dxf>
      <fill>
        <patternFill>
          <bgColor indexed="41"/>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ill>
        <patternFill>
          <bgColor indexed="42"/>
        </patternFill>
      </fill>
    </dxf>
    <dxf>
      <fill>
        <patternFill>
          <bgColor indexed="42"/>
        </patternFill>
      </fill>
    </dxf>
    <dxf>
      <fill>
        <patternFill>
          <bgColor indexed="42"/>
        </patternFill>
      </fill>
    </dxf>
    <dxf>
      <fill>
        <patternFill>
          <bgColor indexed="47"/>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42"/>
        </patternFill>
      </fill>
    </dxf>
    <dxf>
      <fill>
        <patternFill>
          <bgColor indexed="42"/>
        </patternFill>
      </fill>
    </dxf>
    <dxf>
      <fill>
        <patternFill>
          <bgColor indexed="42"/>
        </patternFill>
      </fill>
    </dxf>
    <dxf>
      <fill>
        <patternFill>
          <bgColor indexed="42"/>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42"/>
        </patternFill>
      </fill>
    </dxf>
    <dxf>
      <fill>
        <patternFill>
          <bgColor indexed="42"/>
        </patternFill>
      </fill>
    </dxf>
    <dxf>
      <fill>
        <patternFill>
          <bgColor indexed="41"/>
        </patternFill>
      </fill>
    </dxf>
    <dxf>
      <fill>
        <patternFill>
          <bgColor indexed="47"/>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ill>
        <patternFill>
          <bgColor indexed="22"/>
        </patternFill>
      </fill>
    </dxf>
    <dxf>
      <fill>
        <patternFill>
          <bgColor indexed="42"/>
        </patternFill>
      </fill>
    </dxf>
    <dxf>
      <fill>
        <patternFill>
          <bgColor indexed="11"/>
        </patternFill>
      </fill>
    </dxf>
    <dxf>
      <font>
        <condense val="0"/>
        <extend val="0"/>
        <color indexed="9"/>
      </font>
      <fill>
        <patternFill>
          <bgColor indexed="17"/>
        </patternFill>
      </fill>
    </dxf>
    <dxf>
      <fill>
        <patternFill>
          <fgColor indexed="46"/>
          <bgColor indexed="42"/>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47"/>
        </patternFill>
      </fill>
    </dxf>
    <dxf>
      <fill>
        <patternFill>
          <bgColor indexed="41"/>
        </patternFill>
      </fill>
    </dxf>
    <dxf>
      <fill>
        <patternFill>
          <bgColor indexed="13"/>
        </patternFill>
      </fill>
    </dxf>
    <dxf>
      <fill>
        <patternFill>
          <bgColor indexed="15"/>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22"/>
        </patternFill>
      </fill>
    </dxf>
    <dxf>
      <fill>
        <patternFill>
          <bgColor indexed="51"/>
        </patternFill>
      </fill>
    </dxf>
    <dxf>
      <font>
        <b val="0"/>
        <i val="0"/>
        <condense val="0"/>
        <extend val="0"/>
      </font>
      <fill>
        <patternFill>
          <bgColor indexed="52"/>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400050</xdr:colOff>
      <xdr:row>1</xdr:row>
      <xdr:rowOff>485775</xdr:rowOff>
    </xdr:from>
    <xdr:to>
      <xdr:col>1</xdr:col>
      <xdr:colOff>295275</xdr:colOff>
      <xdr:row>1</xdr:row>
      <xdr:rowOff>485775</xdr:rowOff>
    </xdr:to>
    <xdr:sp macro="" textlink="">
      <xdr:nvSpPr>
        <xdr:cNvPr id="2" name="Line 3"/>
        <xdr:cNvSpPr>
          <a:spLocks noChangeShapeType="1"/>
        </xdr:cNvSpPr>
      </xdr:nvSpPr>
      <xdr:spPr bwMode="auto">
        <a:xfrm>
          <a:off x="295275" y="419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876300</xdr:colOff>
      <xdr:row>2</xdr:row>
      <xdr:rowOff>9525</xdr:rowOff>
    </xdr:from>
    <xdr:to>
      <xdr:col>27</xdr:col>
      <xdr:colOff>47625</xdr:colOff>
      <xdr:row>2</xdr:row>
      <xdr:rowOff>9525</xdr:rowOff>
    </xdr:to>
    <xdr:sp macro="" textlink="">
      <xdr:nvSpPr>
        <xdr:cNvPr id="3" name="Line 4"/>
        <xdr:cNvSpPr>
          <a:spLocks noChangeShapeType="1"/>
        </xdr:cNvSpPr>
      </xdr:nvSpPr>
      <xdr:spPr bwMode="auto">
        <a:xfrm flipV="1">
          <a:off x="5591175" y="428625"/>
          <a:ext cx="1581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828675</xdr:colOff>
      <xdr:row>2</xdr:row>
      <xdr:rowOff>19050</xdr:rowOff>
    </xdr:from>
    <xdr:to>
      <xdr:col>4</xdr:col>
      <xdr:colOff>152400</xdr:colOff>
      <xdr:row>2</xdr:row>
      <xdr:rowOff>19050</xdr:rowOff>
    </xdr:to>
    <xdr:cxnSp macro="">
      <xdr:nvCxnSpPr>
        <xdr:cNvPr id="4" name="Straight Connector 3"/>
        <xdr:cNvCxnSpPr/>
      </xdr:nvCxnSpPr>
      <xdr:spPr>
        <a:xfrm>
          <a:off x="1123950" y="438150"/>
          <a:ext cx="638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533400</xdr:colOff>
      <xdr:row>2</xdr:row>
      <xdr:rowOff>28575</xdr:rowOff>
    </xdr:from>
    <xdr:to>
      <xdr:col>3</xdr:col>
      <xdr:colOff>1390650</xdr:colOff>
      <xdr:row>2</xdr:row>
      <xdr:rowOff>28575</xdr:rowOff>
    </xdr:to>
    <xdr:sp macro="" textlink="">
      <xdr:nvSpPr>
        <xdr:cNvPr id="2" name="Line 33"/>
        <xdr:cNvSpPr>
          <a:spLocks noChangeShapeType="1"/>
        </xdr:cNvSpPr>
      </xdr:nvSpPr>
      <xdr:spPr bwMode="auto">
        <a:xfrm>
          <a:off x="904875" y="447675"/>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419100</xdr:colOff>
      <xdr:row>2</xdr:row>
      <xdr:rowOff>19049</xdr:rowOff>
    </xdr:from>
    <xdr:to>
      <xdr:col>19</xdr:col>
      <xdr:colOff>219075</xdr:colOff>
      <xdr:row>2</xdr:row>
      <xdr:rowOff>19050</xdr:rowOff>
    </xdr:to>
    <xdr:sp macro="" textlink="">
      <xdr:nvSpPr>
        <xdr:cNvPr id="3" name="Line 47"/>
        <xdr:cNvSpPr>
          <a:spLocks noChangeShapeType="1"/>
        </xdr:cNvSpPr>
      </xdr:nvSpPr>
      <xdr:spPr bwMode="auto">
        <a:xfrm>
          <a:off x="4791075" y="438149"/>
          <a:ext cx="1600200"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400050</xdr:colOff>
      <xdr:row>1</xdr:row>
      <xdr:rowOff>485775</xdr:rowOff>
    </xdr:from>
    <xdr:to>
      <xdr:col>1</xdr:col>
      <xdr:colOff>304800</xdr:colOff>
      <xdr:row>1</xdr:row>
      <xdr:rowOff>485775</xdr:rowOff>
    </xdr:to>
    <xdr:sp macro="" textlink="">
      <xdr:nvSpPr>
        <xdr:cNvPr id="4" name="Line 3"/>
        <xdr:cNvSpPr>
          <a:spLocks noChangeShapeType="1"/>
        </xdr:cNvSpPr>
      </xdr:nvSpPr>
      <xdr:spPr bwMode="auto">
        <a:xfrm>
          <a:off x="304800" y="419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uong%20+%20PCTN/1.%20LgTX%20+%20PCTN%2001.2016/Lg%20+PC%2012-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g%20+PC%202-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Luong%20+%20PCTN%20NG\1.%20N&#226;ng%20(Lg%20+%20PC%20NG)\3.%20Lg%20TX%20+%20PC%20NG%202014\9.%20LgTX%20+%20PCNG%2006-9-%202014\@1%20Lg+PC%209-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GiaoQĐ-$"/>
      <sheetName val="Ds QĐ=$"/>
      <sheetName val="TTr=$"/>
      <sheetName val="TB=$ "/>
      <sheetName val="@@ DL"/>
      <sheetName val="TB--%"/>
      <sheetName val="TTr--%"/>
      <sheetName val="Ds QĐ - %"/>
      <sheetName val="Giao QĐ - %"/>
      <sheetName val="Ds Huu+Thoi.."/>
      <sheetName val="TH số liệu"/>
      <sheetName val="- DLiêu Gốc -"/>
      <sheetName val="Sheet2"/>
      <sheetName val="CƠ CẤU"/>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1">
          <cell r="B1" t="str">
            <v>NGẠCH</v>
          </cell>
          <cell r="C1" t="str">
            <v>MÃ SỐ</v>
          </cell>
          <cell r="D1" t="str">
            <v>HS bậc 1</v>
          </cell>
          <cell r="E1" t="str">
            <v>BƯỚC</v>
          </cell>
          <cell r="F1" t="str">
            <v>LOẠI</v>
          </cell>
          <cell r="G1" t="str">
            <v>NHÓM</v>
          </cell>
        </row>
        <row r="2">
          <cell r="B2" t="str">
            <v>Giảng viên cao cấp (hạng I)</v>
          </cell>
          <cell r="C2" t="str">
            <v>V.07.01.01</v>
          </cell>
          <cell r="D2">
            <v>6.2</v>
          </cell>
          <cell r="E2">
            <v>0.36</v>
          </cell>
          <cell r="F2" t="str">
            <v>A3</v>
          </cell>
          <cell r="G2" t="str">
            <v>A3.1</v>
          </cell>
        </row>
        <row r="3">
          <cell r="B3" t="str">
            <v>Giảng viên chính (hạng II)</v>
          </cell>
          <cell r="C3" t="str">
            <v>V.07.01.02</v>
          </cell>
          <cell r="D3">
            <v>4.4000000000000004</v>
          </cell>
          <cell r="E3">
            <v>0.34</v>
          </cell>
          <cell r="F3" t="str">
            <v>A2</v>
          </cell>
          <cell r="G3" t="str">
            <v>A2.1</v>
          </cell>
        </row>
        <row r="4">
          <cell r="B4" t="str">
            <v>Giảng viên (hạng III)</v>
          </cell>
          <cell r="C4" t="str">
            <v>V.07.01.03</v>
          </cell>
          <cell r="D4">
            <v>2.34</v>
          </cell>
          <cell r="E4">
            <v>0.33</v>
          </cell>
          <cell r="F4" t="str">
            <v>A1</v>
          </cell>
          <cell r="G4" t="str">
            <v>- - -</v>
          </cell>
        </row>
        <row r="5">
          <cell r="B5" t="str">
            <v>Giáo viên trung học cao cấp</v>
          </cell>
          <cell r="C5" t="str">
            <v>15.112</v>
          </cell>
          <cell r="D5">
            <v>4</v>
          </cell>
          <cell r="E5">
            <v>0.34</v>
          </cell>
          <cell r="F5" t="str">
            <v>A2</v>
          </cell>
          <cell r="G5" t="str">
            <v>A2.2</v>
          </cell>
        </row>
        <row r="6">
          <cell r="B6" t="str">
            <v>Giáo viên trung học</v>
          </cell>
          <cell r="C6" t="str">
            <v>15.113</v>
          </cell>
          <cell r="D6">
            <v>2.34</v>
          </cell>
          <cell r="E6">
            <v>0.33</v>
          </cell>
          <cell r="F6" t="str">
            <v>A1</v>
          </cell>
          <cell r="G6" t="str">
            <v>- - -</v>
          </cell>
        </row>
        <row r="7">
          <cell r="B7" t="str">
            <v>Giáo viên trung học cơ sở chính</v>
          </cell>
          <cell r="C7" t="str">
            <v>15a.201</v>
          </cell>
          <cell r="D7">
            <v>2.34</v>
          </cell>
          <cell r="E7">
            <v>0.33</v>
          </cell>
          <cell r="F7" t="str">
            <v>A1</v>
          </cell>
          <cell r="G7" t="str">
            <v>- - -</v>
          </cell>
        </row>
        <row r="8">
          <cell r="B8" t="str">
            <v>Giáo viên trung học cơ sở</v>
          </cell>
          <cell r="C8" t="str">
            <v>15a.202</v>
          </cell>
          <cell r="D8">
            <v>2.1</v>
          </cell>
          <cell r="E8">
            <v>0.31</v>
          </cell>
          <cell r="F8" t="str">
            <v>A0</v>
          </cell>
          <cell r="G8" t="str">
            <v>- - -</v>
          </cell>
        </row>
        <row r="9">
          <cell r="B9" t="str">
            <v>Nghiên cứu viên cao cấp (hạng I)</v>
          </cell>
          <cell r="C9" t="str">
            <v>V.05.01.01</v>
          </cell>
          <cell r="D9">
            <v>6.2</v>
          </cell>
          <cell r="E9">
            <v>0.36</v>
          </cell>
          <cell r="F9" t="str">
            <v>A3</v>
          </cell>
          <cell r="G9" t="str">
            <v>A3.1</v>
          </cell>
        </row>
        <row r="10">
          <cell r="B10" t="str">
            <v>Nghiên cứu viên chính (hạng II)</v>
          </cell>
          <cell r="C10" t="str">
            <v>V.05.01.02</v>
          </cell>
          <cell r="D10">
            <v>4.4000000000000004</v>
          </cell>
          <cell r="E10">
            <v>0.34</v>
          </cell>
          <cell r="F10" t="str">
            <v>A2</v>
          </cell>
          <cell r="G10" t="str">
            <v>A2.1</v>
          </cell>
        </row>
        <row r="11">
          <cell r="B11" t="str">
            <v>Nghiên cứu viên (hạng III)</v>
          </cell>
          <cell r="C11" t="str">
            <v>V.05.01.03</v>
          </cell>
          <cell r="D11">
            <v>2.34</v>
          </cell>
          <cell r="E11">
            <v>0.33</v>
          </cell>
          <cell r="F11" t="str">
            <v>A1</v>
          </cell>
          <cell r="G11" t="str">
            <v>- - -</v>
          </cell>
        </row>
        <row r="12">
          <cell r="B12" t="str">
            <v>Chuyên viên cao cấp</v>
          </cell>
          <cell r="C12" t="str">
            <v>01.001</v>
          </cell>
          <cell r="D12">
            <v>6.2</v>
          </cell>
          <cell r="E12">
            <v>0.36</v>
          </cell>
          <cell r="F12" t="str">
            <v>A3</v>
          </cell>
          <cell r="G12" t="str">
            <v>A3.1</v>
          </cell>
        </row>
        <row r="13">
          <cell r="B13" t="str">
            <v>Chuyên viên chính</v>
          </cell>
          <cell r="C13" t="str">
            <v>01.002</v>
          </cell>
          <cell r="D13">
            <v>4.4000000000000004</v>
          </cell>
          <cell r="E13">
            <v>0.34</v>
          </cell>
          <cell r="F13" t="str">
            <v>A2</v>
          </cell>
          <cell r="G13" t="str">
            <v>A2.1</v>
          </cell>
        </row>
        <row r="14">
          <cell r="B14" t="str">
            <v>Chuyên viên</v>
          </cell>
          <cell r="C14" t="str">
            <v>01.003</v>
          </cell>
          <cell r="D14">
            <v>2.34</v>
          </cell>
          <cell r="E14">
            <v>0.33</v>
          </cell>
          <cell r="F14" t="str">
            <v>A1</v>
          </cell>
          <cell r="G14" t="str">
            <v>- - -</v>
          </cell>
        </row>
        <row r="15">
          <cell r="B15" t="str">
            <v>Chuyên viên (cao đẳng)</v>
          </cell>
          <cell r="C15" t="str">
            <v>01a.003</v>
          </cell>
          <cell r="D15">
            <v>2.1</v>
          </cell>
          <cell r="E15">
            <v>0.31</v>
          </cell>
          <cell r="F15" t="str">
            <v>A0</v>
          </cell>
          <cell r="G15" t="str">
            <v>- - -</v>
          </cell>
        </row>
        <row r="16">
          <cell r="B16" t="str">
            <v>Cán sự</v>
          </cell>
          <cell r="C16" t="str">
            <v>01.004</v>
          </cell>
          <cell r="D16">
            <v>1.86</v>
          </cell>
          <cell r="E16">
            <v>0.2</v>
          </cell>
          <cell r="F16" t="str">
            <v>B</v>
          </cell>
          <cell r="G16" t="str">
            <v>- - -</v>
          </cell>
        </row>
        <row r="17">
          <cell r="B17" t="str">
            <v>Thanh tra viên cao cấp</v>
          </cell>
          <cell r="C17" t="str">
            <v>04.023</v>
          </cell>
          <cell r="D17">
            <v>6.2</v>
          </cell>
          <cell r="E17">
            <v>0.36</v>
          </cell>
          <cell r="F17" t="str">
            <v>A3</v>
          </cell>
          <cell r="G17" t="str">
            <v>A3.1</v>
          </cell>
        </row>
        <row r="18">
          <cell r="B18" t="str">
            <v>Thanh tra viên chính</v>
          </cell>
          <cell r="C18" t="str">
            <v>04.024</v>
          </cell>
          <cell r="D18">
            <v>4.4000000000000004</v>
          </cell>
          <cell r="E18">
            <v>0.34</v>
          </cell>
          <cell r="F18" t="str">
            <v>A2</v>
          </cell>
          <cell r="G18" t="str">
            <v>A2.1</v>
          </cell>
        </row>
        <row r="19">
          <cell r="B19" t="str">
            <v>Thanh tra viên</v>
          </cell>
          <cell r="C19" t="str">
            <v>04.025</v>
          </cell>
          <cell r="D19">
            <v>2.34</v>
          </cell>
          <cell r="E19">
            <v>0.33</v>
          </cell>
          <cell r="F19" t="str">
            <v>A1</v>
          </cell>
          <cell r="G19" t="str">
            <v>- - -</v>
          </cell>
        </row>
        <row r="20">
          <cell r="B20" t="str">
            <v>Thẩm tra viên</v>
          </cell>
          <cell r="C20" t="str">
            <v>03.230</v>
          </cell>
          <cell r="D20">
            <v>2.34</v>
          </cell>
          <cell r="E20">
            <v>0.33</v>
          </cell>
          <cell r="F20" t="str">
            <v>A1</v>
          </cell>
          <cell r="G20" t="str">
            <v>- - -</v>
          </cell>
        </row>
        <row r="21">
          <cell r="B21" t="str">
            <v>Thư viện viên cao cấp</v>
          </cell>
          <cell r="C21" t="str">
            <v>17.168</v>
          </cell>
          <cell r="D21">
            <v>5.75</v>
          </cell>
          <cell r="E21">
            <v>0.36</v>
          </cell>
          <cell r="F21" t="str">
            <v>A3</v>
          </cell>
          <cell r="G21" t="str">
            <v>A3.2</v>
          </cell>
        </row>
        <row r="22">
          <cell r="B22" t="str">
            <v>Thư viện viên chính</v>
          </cell>
          <cell r="C22" t="str">
            <v>17.169</v>
          </cell>
          <cell r="D22">
            <v>4</v>
          </cell>
          <cell r="E22">
            <v>0.34</v>
          </cell>
          <cell r="F22" t="str">
            <v>A2</v>
          </cell>
          <cell r="G22" t="str">
            <v>A2.2</v>
          </cell>
        </row>
        <row r="23">
          <cell r="B23" t="str">
            <v>Thư viện viên</v>
          </cell>
          <cell r="C23" t="str">
            <v>17.170</v>
          </cell>
          <cell r="D23">
            <v>2.34</v>
          </cell>
          <cell r="E23">
            <v>0.33</v>
          </cell>
          <cell r="F23" t="str">
            <v>A1</v>
          </cell>
          <cell r="G23" t="str">
            <v>- - -</v>
          </cell>
        </row>
        <row r="24">
          <cell r="B24" t="str">
            <v>Thư viện viên (cao đẳng)</v>
          </cell>
          <cell r="C24" t="str">
            <v>17a.170</v>
          </cell>
          <cell r="D24">
            <v>2.1</v>
          </cell>
          <cell r="E24">
            <v>0.31</v>
          </cell>
          <cell r="F24" t="str">
            <v>A0</v>
          </cell>
          <cell r="G24" t="str">
            <v>- - -</v>
          </cell>
        </row>
        <row r="25">
          <cell r="B25" t="str">
            <v>Thư viện viên trung cấp</v>
          </cell>
          <cell r="C25" t="str">
            <v>17.171</v>
          </cell>
          <cell r="D25">
            <v>1.86</v>
          </cell>
          <cell r="E25">
            <v>0.2</v>
          </cell>
          <cell r="F25" t="str">
            <v>B</v>
          </cell>
          <cell r="G25" t="str">
            <v>- - -</v>
          </cell>
        </row>
        <row r="26">
          <cell r="B26" t="str">
            <v>Kỹ sư cao cấp (hạng I)</v>
          </cell>
          <cell r="C26" t="str">
            <v>V.05.02.05</v>
          </cell>
          <cell r="D26">
            <v>6.2</v>
          </cell>
          <cell r="E26">
            <v>0.36</v>
          </cell>
          <cell r="F26" t="str">
            <v>A3</v>
          </cell>
          <cell r="G26" t="str">
            <v>A3.1</v>
          </cell>
        </row>
        <row r="27">
          <cell r="B27" t="str">
            <v>Kỹ sư chính (hạng II)</v>
          </cell>
          <cell r="C27" t="str">
            <v>V.05.02.06</v>
          </cell>
          <cell r="D27">
            <v>4.4000000000000004</v>
          </cell>
          <cell r="E27">
            <v>0.34</v>
          </cell>
          <cell r="F27" t="str">
            <v>A2</v>
          </cell>
          <cell r="G27" t="str">
            <v>A2.1</v>
          </cell>
        </row>
        <row r="28">
          <cell r="B28" t="str">
            <v>Kỹ sư (hạng III)</v>
          </cell>
          <cell r="C28" t="str">
            <v>V.05.02.07</v>
          </cell>
          <cell r="D28">
            <v>2.34</v>
          </cell>
          <cell r="E28">
            <v>0.33</v>
          </cell>
          <cell r="F28" t="str">
            <v>A1</v>
          </cell>
          <cell r="G28" t="str">
            <v>- - -</v>
          </cell>
        </row>
        <row r="29">
          <cell r="B29" t="str">
            <v>Kỹ thuật viên (hạng IV)</v>
          </cell>
          <cell r="C29" t="str">
            <v>V.05.02.08</v>
          </cell>
          <cell r="D29">
            <v>1.86</v>
          </cell>
          <cell r="E29">
            <v>0.2</v>
          </cell>
          <cell r="F29" t="str">
            <v>B</v>
          </cell>
          <cell r="G29" t="str">
            <v>- - -</v>
          </cell>
        </row>
        <row r="30">
          <cell r="B30" t="str">
            <v>Bác sỹ cao cấp</v>
          </cell>
          <cell r="C30" t="str">
            <v>16.116</v>
          </cell>
          <cell r="D30">
            <v>6.2</v>
          </cell>
          <cell r="E30">
            <v>0.36</v>
          </cell>
          <cell r="F30" t="str">
            <v>A3</v>
          </cell>
          <cell r="G30" t="str">
            <v>A3.1</v>
          </cell>
        </row>
        <row r="31">
          <cell r="B31" t="str">
            <v>Bác sỹ chính</v>
          </cell>
          <cell r="C31" t="str">
            <v>16.117</v>
          </cell>
          <cell r="D31">
            <v>4.4000000000000004</v>
          </cell>
          <cell r="E31">
            <v>0.34</v>
          </cell>
          <cell r="F31" t="str">
            <v>A2</v>
          </cell>
          <cell r="G31" t="str">
            <v>A2.1</v>
          </cell>
        </row>
        <row r="32">
          <cell r="B32" t="str">
            <v>Bác sỹ</v>
          </cell>
          <cell r="C32" t="str">
            <v>16.118</v>
          </cell>
          <cell r="D32">
            <v>2.34</v>
          </cell>
          <cell r="E32">
            <v>0.33</v>
          </cell>
          <cell r="F32" t="str">
            <v>A1</v>
          </cell>
          <cell r="G32" t="str">
            <v>- - -</v>
          </cell>
        </row>
        <row r="33">
          <cell r="B33" t="str">
            <v>Y sỹ</v>
          </cell>
          <cell r="C33" t="str">
            <v>16.119</v>
          </cell>
          <cell r="D33">
            <v>1.86</v>
          </cell>
          <cell r="E33">
            <v>0.2</v>
          </cell>
          <cell r="F33" t="str">
            <v>B</v>
          </cell>
          <cell r="G33" t="str">
            <v>- - -</v>
          </cell>
        </row>
        <row r="34">
          <cell r="B34" t="str">
            <v>Biên tập viên cao cấp</v>
          </cell>
          <cell r="C34" t="str">
            <v>17.139</v>
          </cell>
          <cell r="D34">
            <v>6.2</v>
          </cell>
          <cell r="E34">
            <v>0.36</v>
          </cell>
          <cell r="F34" t="str">
            <v>A3</v>
          </cell>
          <cell r="G34" t="str">
            <v>A3.1</v>
          </cell>
        </row>
        <row r="35">
          <cell r="B35" t="str">
            <v>Biên tập viên chính</v>
          </cell>
          <cell r="C35" t="str">
            <v>17.140</v>
          </cell>
          <cell r="D35">
            <v>4.4000000000000004</v>
          </cell>
          <cell r="E35">
            <v>0.34</v>
          </cell>
          <cell r="F35" t="str">
            <v>A2</v>
          </cell>
          <cell r="G35" t="str">
            <v>A2.1</v>
          </cell>
        </row>
        <row r="36">
          <cell r="B36" t="str">
            <v>Biên tập viên</v>
          </cell>
          <cell r="C36" t="str">
            <v>17.141</v>
          </cell>
          <cell r="D36">
            <v>2.34</v>
          </cell>
          <cell r="E36">
            <v>0.33</v>
          </cell>
          <cell r="F36" t="str">
            <v>A1</v>
          </cell>
          <cell r="G36" t="str">
            <v>- - -</v>
          </cell>
        </row>
        <row r="37">
          <cell r="B37" t="str">
            <v>Phóng viên cao cấp</v>
          </cell>
          <cell r="C37" t="str">
            <v>17.142</v>
          </cell>
          <cell r="D37">
            <v>6.2</v>
          </cell>
          <cell r="E37">
            <v>0.36</v>
          </cell>
          <cell r="F37" t="str">
            <v>A3</v>
          </cell>
          <cell r="G37" t="str">
            <v>A3.1</v>
          </cell>
        </row>
        <row r="38">
          <cell r="B38" t="str">
            <v>Phóng viên chính</v>
          </cell>
          <cell r="C38" t="str">
            <v>17.143</v>
          </cell>
          <cell r="D38">
            <v>4.4000000000000004</v>
          </cell>
          <cell r="E38">
            <v>0.34</v>
          </cell>
          <cell r="F38" t="str">
            <v>A2</v>
          </cell>
          <cell r="G38" t="str">
            <v>A2.1</v>
          </cell>
        </row>
        <row r="39">
          <cell r="B39" t="str">
            <v>Phóng viên</v>
          </cell>
          <cell r="C39" t="str">
            <v>17.144</v>
          </cell>
          <cell r="D39">
            <v>2.34</v>
          </cell>
          <cell r="E39">
            <v>0.33</v>
          </cell>
          <cell r="F39" t="str">
            <v>A1</v>
          </cell>
          <cell r="G39" t="str">
            <v>- - -</v>
          </cell>
        </row>
        <row r="40">
          <cell r="B40" t="str">
            <v>Kế toán viên cao cấp</v>
          </cell>
          <cell r="C40" t="str">
            <v>06.029</v>
          </cell>
          <cell r="D40">
            <v>5.75</v>
          </cell>
          <cell r="E40">
            <v>0.36</v>
          </cell>
          <cell r="F40" t="str">
            <v>A3</v>
          </cell>
          <cell r="G40" t="str">
            <v>A3.2</v>
          </cell>
        </row>
        <row r="41">
          <cell r="B41" t="str">
            <v>Kế toán viên chính</v>
          </cell>
          <cell r="C41" t="str">
            <v>06.030</v>
          </cell>
          <cell r="D41">
            <v>4</v>
          </cell>
          <cell r="E41">
            <v>0.34</v>
          </cell>
          <cell r="F41" t="str">
            <v>A2</v>
          </cell>
          <cell r="G41" t="str">
            <v>A2.2</v>
          </cell>
        </row>
        <row r="42">
          <cell r="B42" t="str">
            <v>Kế toán viên</v>
          </cell>
          <cell r="C42" t="str">
            <v>06.031</v>
          </cell>
          <cell r="D42">
            <v>2.34</v>
          </cell>
          <cell r="E42">
            <v>0.33</v>
          </cell>
          <cell r="F42" t="str">
            <v>A1</v>
          </cell>
          <cell r="G42" t="str">
            <v>- - -</v>
          </cell>
        </row>
        <row r="43">
          <cell r="B43" t="str">
            <v>Kế toán viên (cao đẳng)</v>
          </cell>
          <cell r="C43" t="str">
            <v>06a.031</v>
          </cell>
          <cell r="D43">
            <v>2.1</v>
          </cell>
          <cell r="E43">
            <v>0.31</v>
          </cell>
          <cell r="F43" t="str">
            <v>A0</v>
          </cell>
          <cell r="G43" t="str">
            <v>- - -</v>
          </cell>
        </row>
        <row r="44">
          <cell r="B44" t="str">
            <v>Kế toán viên trung cấp</v>
          </cell>
          <cell r="C44" t="str">
            <v>06.032</v>
          </cell>
          <cell r="D44">
            <v>1.86</v>
          </cell>
          <cell r="E44">
            <v>0.2</v>
          </cell>
          <cell r="F44" t="str">
            <v>B</v>
          </cell>
          <cell r="G44" t="str">
            <v>- - -</v>
          </cell>
        </row>
        <row r="45">
          <cell r="B45" t="str">
            <v>Lưu trữ viên</v>
          </cell>
          <cell r="C45" t="str">
            <v>02.014</v>
          </cell>
          <cell r="D45">
            <v>2.34</v>
          </cell>
          <cell r="E45">
            <v>0.33</v>
          </cell>
          <cell r="F45" t="str">
            <v>A1</v>
          </cell>
          <cell r="G45" t="str">
            <v>- - -</v>
          </cell>
        </row>
        <row r="46">
          <cell r="B46" t="str">
            <v>Lưu trữ viên (cao đẳng)</v>
          </cell>
          <cell r="C46" t="str">
            <v>02a.014</v>
          </cell>
          <cell r="D46">
            <v>2.1</v>
          </cell>
          <cell r="E46">
            <v>0.31</v>
          </cell>
          <cell r="F46" t="str">
            <v>A0</v>
          </cell>
          <cell r="G46" t="str">
            <v>- - -</v>
          </cell>
        </row>
        <row r="47">
          <cell r="B47" t="str">
            <v>Lưu trữ viên trung cấp</v>
          </cell>
          <cell r="C47" t="str">
            <v>02.015</v>
          </cell>
          <cell r="D47">
            <v>1.86</v>
          </cell>
          <cell r="E47">
            <v>0.2</v>
          </cell>
          <cell r="F47" t="str">
            <v>B</v>
          </cell>
          <cell r="G47" t="str">
            <v>- - -</v>
          </cell>
        </row>
        <row r="48">
          <cell r="B48" t="str">
            <v>Kỹ Thuật viên đánh máy</v>
          </cell>
          <cell r="C48" t="str">
            <v>01.005</v>
          </cell>
          <cell r="D48">
            <v>1.5</v>
          </cell>
          <cell r="E48">
            <v>0.18</v>
          </cell>
          <cell r="F48" t="str">
            <v>C</v>
          </cell>
          <cell r="G48" t="str">
            <v>Nhân viên</v>
          </cell>
        </row>
        <row r="49">
          <cell r="B49" t="str">
            <v>Nhân viên đánh máy</v>
          </cell>
          <cell r="C49" t="str">
            <v>01.006</v>
          </cell>
          <cell r="D49">
            <v>1.5</v>
          </cell>
          <cell r="E49">
            <v>0.18</v>
          </cell>
          <cell r="F49" t="str">
            <v>C</v>
          </cell>
          <cell r="G49" t="str">
            <v>Nhân viên</v>
          </cell>
        </row>
        <row r="50">
          <cell r="B50" t="str">
            <v>Nhân viên kỹ thuật</v>
          </cell>
          <cell r="C50" t="str">
            <v>01.007</v>
          </cell>
          <cell r="D50">
            <v>1.65</v>
          </cell>
          <cell r="E50">
            <v>0.18</v>
          </cell>
          <cell r="F50" t="str">
            <v>C</v>
          </cell>
          <cell r="G50" t="str">
            <v>Nhân viên</v>
          </cell>
        </row>
        <row r="51">
          <cell r="B51" t="str">
            <v>Nhân viên văn thư</v>
          </cell>
          <cell r="C51" t="str">
            <v>01.008</v>
          </cell>
          <cell r="D51">
            <v>1.35</v>
          </cell>
          <cell r="E51">
            <v>0.18</v>
          </cell>
          <cell r="F51" t="str">
            <v>C</v>
          </cell>
          <cell r="G51" t="str">
            <v>Nhân viên</v>
          </cell>
        </row>
        <row r="52">
          <cell r="B52" t="str">
            <v>Nhân viên phục vụ</v>
          </cell>
          <cell r="C52" t="str">
            <v>01.009</v>
          </cell>
          <cell r="D52">
            <v>1</v>
          </cell>
          <cell r="E52">
            <v>0.18</v>
          </cell>
          <cell r="F52" t="str">
            <v>C</v>
          </cell>
          <cell r="G52" t="str">
            <v>Nhân viên</v>
          </cell>
        </row>
        <row r="53">
          <cell r="B53" t="str">
            <v>Lái xe cơ quan</v>
          </cell>
          <cell r="C53" t="str">
            <v>01.010</v>
          </cell>
          <cell r="D53">
            <v>2.0499999999999998</v>
          </cell>
          <cell r="E53">
            <v>0.18</v>
          </cell>
          <cell r="F53" t="str">
            <v>C</v>
          </cell>
          <cell r="G53" t="str">
            <v>Nhân viên</v>
          </cell>
        </row>
        <row r="54">
          <cell r="B54" t="str">
            <v>Nhân viên bảo vệ</v>
          </cell>
          <cell r="C54" t="str">
            <v>01.011</v>
          </cell>
          <cell r="D54">
            <v>1.5</v>
          </cell>
          <cell r="E54">
            <v>0.18</v>
          </cell>
          <cell r="F54" t="str">
            <v>C</v>
          </cell>
          <cell r="G54" t="str">
            <v>Nhân viên</v>
          </cell>
        </row>
        <row r="55">
          <cell r="B55" t="str">
            <v>Thủ kho bảo quản</v>
          </cell>
          <cell r="C55" t="str">
            <v>19.185</v>
          </cell>
          <cell r="D55">
            <v>1.65</v>
          </cell>
          <cell r="E55">
            <v>0.18</v>
          </cell>
          <cell r="F55" t="str">
            <v>C</v>
          </cell>
          <cell r="G55" t="str">
            <v>Nhân viên</v>
          </cell>
        </row>
        <row r="56">
          <cell r="B56" t="str">
            <v>Thủ quỹ</v>
          </cell>
          <cell r="C56" t="str">
            <v>06.035</v>
          </cell>
          <cell r="D56">
            <v>1.5</v>
          </cell>
          <cell r="E56">
            <v>0.18</v>
          </cell>
          <cell r="F56" t="str">
            <v>C</v>
          </cell>
          <cell r="G56" t="str">
            <v>Nhân viên</v>
          </cell>
        </row>
        <row r="57">
          <cell r="B57"/>
          <cell r="C57"/>
          <cell r="D57"/>
          <cell r="E57"/>
          <cell r="F57"/>
          <cell r="G57"/>
        </row>
        <row r="58">
          <cell r="B58"/>
          <cell r="C58"/>
          <cell r="D58"/>
          <cell r="E58"/>
          <cell r="F58"/>
          <cell r="G58"/>
        </row>
        <row r="59">
          <cell r="B59"/>
          <cell r="C59"/>
          <cell r="D59"/>
          <cell r="E59"/>
          <cell r="F59"/>
          <cell r="G59"/>
        </row>
        <row r="60">
          <cell r="B60"/>
          <cell r="C60"/>
          <cell r="D60"/>
          <cell r="E60"/>
          <cell r="F60"/>
          <cell r="G60"/>
        </row>
        <row r="61">
          <cell r="B61"/>
          <cell r="C61"/>
          <cell r="D61"/>
          <cell r="E61"/>
          <cell r="F61"/>
          <cell r="G61"/>
        </row>
        <row r="62">
          <cell r="B62"/>
          <cell r="C62"/>
          <cell r="D62"/>
          <cell r="E62"/>
          <cell r="F62"/>
          <cell r="G62"/>
        </row>
        <row r="63">
          <cell r="B63"/>
          <cell r="C63"/>
          <cell r="D63"/>
          <cell r="E63"/>
          <cell r="F63"/>
          <cell r="G63"/>
        </row>
        <row r="64">
          <cell r="B64"/>
          <cell r="C64"/>
          <cell r="D64"/>
          <cell r="E64"/>
          <cell r="F64"/>
          <cell r="G64"/>
        </row>
        <row r="65">
          <cell r="B65"/>
          <cell r="C65"/>
          <cell r="D65"/>
          <cell r="E65"/>
          <cell r="F65"/>
          <cell r="G65"/>
        </row>
        <row r="66">
          <cell r="B66"/>
          <cell r="C66"/>
          <cell r="D66"/>
          <cell r="E66"/>
          <cell r="F66"/>
          <cell r="G66"/>
        </row>
        <row r="67">
          <cell r="B67"/>
          <cell r="C67"/>
          <cell r="D67"/>
          <cell r="E67"/>
          <cell r="F67"/>
          <cell r="G67"/>
        </row>
        <row r="68">
          <cell r="B68"/>
          <cell r="C68"/>
          <cell r="D68"/>
          <cell r="E68"/>
          <cell r="F68"/>
          <cell r="G68"/>
        </row>
        <row r="69">
          <cell r="B69"/>
          <cell r="C69"/>
          <cell r="D69"/>
          <cell r="E69"/>
          <cell r="F69"/>
          <cell r="G69"/>
        </row>
        <row r="70">
          <cell r="B70"/>
          <cell r="C70"/>
          <cell r="D70"/>
          <cell r="E70"/>
          <cell r="F70"/>
          <cell r="G70"/>
        </row>
        <row r="71">
          <cell r="B71" t="str">
            <v>CHỨC VỤ</v>
          </cell>
          <cell r="C71" t="str">
            <v>PC CV</v>
          </cell>
          <cell r="D71"/>
          <cell r="E71"/>
          <cell r="F71"/>
          <cell r="G71"/>
        </row>
        <row r="72">
          <cell r="B72" t="str">
            <v>Giám đốc Học viện</v>
          </cell>
          <cell r="C72">
            <v>1.3</v>
          </cell>
          <cell r="D72"/>
          <cell r="E72"/>
          <cell r="F72"/>
          <cell r="G72"/>
        </row>
        <row r="73">
          <cell r="B73" t="str">
            <v>Nguyên giám đốc Học viện</v>
          </cell>
          <cell r="C73">
            <v>1.3</v>
          </cell>
          <cell r="D73"/>
          <cell r="E73"/>
          <cell r="F73"/>
          <cell r="G73"/>
        </row>
        <row r="74">
          <cell r="B74" t="str">
            <v>Phó Giám đốc Học viện</v>
          </cell>
          <cell r="C74">
            <v>1.1000000000000001</v>
          </cell>
          <cell r="D74"/>
          <cell r="E74"/>
          <cell r="F74"/>
          <cell r="G74"/>
        </row>
        <row r="75">
          <cell r="B75" t="str">
            <v>Nguyên Phó giám đốc Học viện</v>
          </cell>
          <cell r="C75">
            <v>1.1000000000000001</v>
          </cell>
          <cell r="D75"/>
          <cell r="E75"/>
          <cell r="F75"/>
          <cell r="G75"/>
        </row>
        <row r="76">
          <cell r="B76" t="str">
            <v>Giám đốc phân viện</v>
          </cell>
          <cell r="C76" t="str">
            <v>1,2</v>
          </cell>
          <cell r="D76"/>
          <cell r="E76"/>
          <cell r="F76"/>
          <cell r="G76"/>
        </row>
        <row r="77">
          <cell r="B77" t="str">
            <v>Trưởng khoa</v>
          </cell>
          <cell r="C77" t="str">
            <v>1,0</v>
          </cell>
          <cell r="D77"/>
          <cell r="E77"/>
          <cell r="F77"/>
          <cell r="G77"/>
        </row>
        <row r="78">
          <cell r="B78" t="str">
            <v>Nguyên Trưởng khoa</v>
          </cell>
          <cell r="C78" t="str">
            <v>1,0</v>
          </cell>
          <cell r="D78"/>
          <cell r="E78"/>
          <cell r="F78"/>
          <cell r="G78"/>
        </row>
        <row r="79">
          <cell r="B79" t="str">
            <v>Phó Trưởng khoa</v>
          </cell>
          <cell r="C79" t="str">
            <v>0,8</v>
          </cell>
          <cell r="D79"/>
          <cell r="E79"/>
          <cell r="F79"/>
          <cell r="G79"/>
        </row>
        <row r="80">
          <cell r="B80" t="str">
            <v>Nguyên Phó trưởng khoa</v>
          </cell>
          <cell r="C80" t="str">
            <v>0,8</v>
          </cell>
          <cell r="D80"/>
          <cell r="E80"/>
          <cell r="F80"/>
          <cell r="G80"/>
        </row>
        <row r="81">
          <cell r="B81" t="str">
            <v>Trưởng ban</v>
          </cell>
          <cell r="C81" t="str">
            <v>1,0</v>
          </cell>
          <cell r="D81"/>
          <cell r="E81"/>
          <cell r="F81"/>
          <cell r="G81"/>
        </row>
        <row r="82">
          <cell r="B82" t="str">
            <v>Nguyên Trưởng ban</v>
          </cell>
          <cell r="C82" t="str">
            <v>1,0</v>
          </cell>
          <cell r="D82"/>
          <cell r="E82"/>
          <cell r="F82"/>
          <cell r="G82"/>
        </row>
        <row r="83">
          <cell r="B83" t="str">
            <v>Phó Trưởng ban</v>
          </cell>
          <cell r="C83" t="str">
            <v>0,8</v>
          </cell>
          <cell r="D83"/>
          <cell r="E83"/>
          <cell r="F83"/>
          <cell r="G83"/>
        </row>
        <row r="84">
          <cell r="B84" t="str">
            <v>Phó Trưởng ban (PT)</v>
          </cell>
          <cell r="C84" t="str">
            <v>0,8</v>
          </cell>
          <cell r="D84"/>
          <cell r="E84"/>
          <cell r="F84"/>
          <cell r="G84"/>
        </row>
        <row r="85">
          <cell r="B85" t="str">
            <v>Nguyên Phó trưởng ban</v>
          </cell>
          <cell r="C85" t="str">
            <v>0,8</v>
          </cell>
          <cell r="D85"/>
          <cell r="E85"/>
          <cell r="F85"/>
          <cell r="G85"/>
        </row>
        <row r="86">
          <cell r="B86" t="str">
            <v>Trưởng phòng</v>
          </cell>
          <cell r="C86" t="str">
            <v>0,6</v>
          </cell>
          <cell r="D86"/>
          <cell r="E86"/>
          <cell r="F86"/>
          <cell r="G86"/>
        </row>
        <row r="87">
          <cell r="B87" t="str">
            <v>Q. Trưởng phòng</v>
          </cell>
          <cell r="C87" t="str">
            <v>0,6</v>
          </cell>
          <cell r="D87"/>
          <cell r="E87"/>
          <cell r="F87"/>
          <cell r="G87"/>
        </row>
        <row r="88">
          <cell r="B88" t="str">
            <v>Phó Trưởng phòng</v>
          </cell>
          <cell r="C88" t="str">
            <v>0,4</v>
          </cell>
          <cell r="D88"/>
          <cell r="E88"/>
          <cell r="F88"/>
          <cell r="G88"/>
        </row>
        <row r="89">
          <cell r="B89" t="str">
            <v>Phó Trưởng phòng (PT)</v>
          </cell>
          <cell r="C89" t="str">
            <v>0,4</v>
          </cell>
          <cell r="D89"/>
          <cell r="E89"/>
          <cell r="F89"/>
          <cell r="G89"/>
        </row>
        <row r="90">
          <cell r="B90" t="str">
            <v>Trưởng bộ môn</v>
          </cell>
          <cell r="C90" t="str">
            <v>0,6</v>
          </cell>
          <cell r="D90"/>
          <cell r="E90"/>
          <cell r="F90"/>
          <cell r="G90"/>
        </row>
        <row r="91">
          <cell r="B91" t="str">
            <v>Phó Trưởng bộ môn</v>
          </cell>
          <cell r="C91" t="str">
            <v>0,4</v>
          </cell>
          <cell r="D91"/>
          <cell r="E91"/>
          <cell r="F91"/>
          <cell r="G91"/>
        </row>
        <row r="92">
          <cell r="B92" t="str">
            <v>Tổng Biên tập</v>
          </cell>
          <cell r="C92" t="str">
            <v>1,0</v>
          </cell>
          <cell r="D92"/>
          <cell r="E92"/>
          <cell r="F92"/>
          <cell r="G92"/>
        </row>
        <row r="93">
          <cell r="B93" t="str">
            <v>Phó Tổng biên tập</v>
          </cell>
          <cell r="C93" t="str">
            <v>0,8</v>
          </cell>
          <cell r="D93"/>
          <cell r="E93"/>
          <cell r="F93"/>
          <cell r="G93"/>
        </row>
        <row r="94">
          <cell r="B94" t="str">
            <v>Trưởng ban (TC QLNN)</v>
          </cell>
          <cell r="C94" t="str">
            <v>0,6</v>
          </cell>
          <cell r="D94"/>
          <cell r="E94"/>
          <cell r="F94"/>
          <cell r="G94"/>
        </row>
        <row r="95">
          <cell r="B95" t="str">
            <v>Trưởng Ban Biên tập</v>
          </cell>
          <cell r="C95" t="str">
            <v>0,6</v>
          </cell>
          <cell r="D95"/>
          <cell r="E95"/>
          <cell r="F95"/>
          <cell r="G95"/>
        </row>
        <row r="96">
          <cell r="B96" t="str">
            <v>Phó Trưởng ban (TC QLNN)</v>
          </cell>
          <cell r="C96" t="str">
            <v>0,4</v>
          </cell>
          <cell r="D96"/>
          <cell r="E96"/>
          <cell r="F96"/>
          <cell r="G96"/>
        </row>
        <row r="97">
          <cell r="B97" t="str">
            <v>Phó Trưởng ban (TC QLNN)</v>
          </cell>
          <cell r="C97" t="str">
            <v>0,4</v>
          </cell>
          <cell r="D97"/>
          <cell r="E97"/>
          <cell r="F97"/>
          <cell r="G97"/>
        </row>
        <row r="98">
          <cell r="B98" t="str">
            <v>Viện Trưởng</v>
          </cell>
          <cell r="C98" t="str">
            <v>1,0</v>
          </cell>
          <cell r="D98"/>
          <cell r="E98"/>
          <cell r="F98"/>
          <cell r="G98"/>
        </row>
        <row r="99">
          <cell r="B99" t="str">
            <v>Nguyên Viện Trưởng</v>
          </cell>
          <cell r="C99" t="str">
            <v>1,0</v>
          </cell>
          <cell r="D99"/>
          <cell r="E99"/>
          <cell r="F99"/>
          <cell r="G99"/>
        </row>
        <row r="100">
          <cell r="B100" t="str">
            <v>Phó Viện Trưởng</v>
          </cell>
          <cell r="C100" t="str">
            <v>0,8</v>
          </cell>
          <cell r="D100"/>
          <cell r="E100"/>
          <cell r="F100"/>
          <cell r="G100"/>
        </row>
        <row r="101">
          <cell r="B101" t="str">
            <v>Nguyên Phó Viện Trưởng</v>
          </cell>
          <cell r="C101" t="str">
            <v>0,8</v>
          </cell>
          <cell r="D101"/>
          <cell r="E101"/>
          <cell r="F101"/>
          <cell r="G101"/>
        </row>
        <row r="102">
          <cell r="B102" t="str">
            <v>Chủ nhiệm TV</v>
          </cell>
          <cell r="C102" t="str">
            <v>0,6</v>
          </cell>
          <cell r="D102"/>
          <cell r="E102"/>
          <cell r="F102"/>
          <cell r="G102"/>
        </row>
        <row r="103">
          <cell r="B103" t="str">
            <v>Phó Chủ nhiệm TV</v>
          </cell>
          <cell r="C103" t="str">
            <v>0,4</v>
          </cell>
          <cell r="D103"/>
          <cell r="E103"/>
          <cell r="F103"/>
          <cell r="G103"/>
        </row>
        <row r="104">
          <cell r="B104" t="str">
            <v>Giám đốc (cấp vụ)</v>
          </cell>
          <cell r="C104" t="str">
            <v>1,0</v>
          </cell>
          <cell r="D104"/>
          <cell r="E104"/>
          <cell r="F104"/>
          <cell r="G104"/>
        </row>
        <row r="105">
          <cell r="B105" t="str">
            <v>Phó Giám đốc (cấp vụ)</v>
          </cell>
          <cell r="C105" t="str">
            <v>0,8</v>
          </cell>
          <cell r="D105"/>
          <cell r="E105"/>
          <cell r="F105"/>
          <cell r="G105"/>
        </row>
        <row r="106">
          <cell r="B106" t="str">
            <v>Giám đốc (cấp phòng)</v>
          </cell>
          <cell r="C106">
            <v>0.6</v>
          </cell>
          <cell r="D106"/>
          <cell r="E106"/>
          <cell r="F106"/>
          <cell r="G106"/>
        </row>
        <row r="107">
          <cell r="B107" t="str">
            <v>Phó Giám đốc (cấp phòng)</v>
          </cell>
          <cell r="C107" t="str">
            <v>0,4</v>
          </cell>
          <cell r="D107"/>
          <cell r="E107"/>
          <cell r="F107"/>
          <cell r="G107"/>
        </row>
        <row r="108">
          <cell r="B108" t="str">
            <v>Chánh văn phòng</v>
          </cell>
          <cell r="C108" t="str">
            <v>1,0</v>
          </cell>
          <cell r="D108"/>
          <cell r="E108"/>
          <cell r="F108"/>
          <cell r="G108"/>
        </row>
        <row r="109">
          <cell r="B109" t="str">
            <v>Phó Chánh văn phòng</v>
          </cell>
          <cell r="C109" t="str">
            <v>0,8</v>
          </cell>
          <cell r="D109"/>
          <cell r="E109"/>
          <cell r="F109"/>
          <cell r="G109"/>
        </row>
        <row r="110">
          <cell r="B110" t="str">
            <v>Đội Trưởng</v>
          </cell>
          <cell r="C110" t="str">
            <v>0,6</v>
          </cell>
          <cell r="D110"/>
          <cell r="E110"/>
          <cell r="F110"/>
          <cell r="G110"/>
        </row>
        <row r="111">
          <cell r="B111" t="str">
            <v>Đội Phó</v>
          </cell>
          <cell r="C111" t="str">
            <v>0,4</v>
          </cell>
          <cell r="D111"/>
          <cell r="E111"/>
          <cell r="F111"/>
          <cell r="G111"/>
        </row>
        <row r="112">
          <cell r="B112"/>
          <cell r="C112"/>
          <cell r="D112"/>
          <cell r="E112"/>
          <cell r="F112"/>
          <cell r="G112"/>
        </row>
        <row r="113">
          <cell r="B113"/>
          <cell r="C113"/>
          <cell r="D113"/>
          <cell r="E113"/>
          <cell r="F113"/>
          <cell r="G113"/>
        </row>
        <row r="114">
          <cell r="B114"/>
          <cell r="C114"/>
          <cell r="D114"/>
          <cell r="E114"/>
          <cell r="F114"/>
          <cell r="G114"/>
        </row>
        <row r="115">
          <cell r="C115"/>
          <cell r="D115"/>
          <cell r="E115"/>
          <cell r="F115"/>
        </row>
        <row r="116">
          <cell r="C116"/>
          <cell r="D116"/>
          <cell r="E116"/>
          <cell r="F116"/>
        </row>
        <row r="117">
          <cell r="C117"/>
          <cell r="D117"/>
          <cell r="E117"/>
          <cell r="F117"/>
        </row>
        <row r="118">
          <cell r="C118"/>
          <cell r="D118"/>
          <cell r="E118"/>
          <cell r="F118"/>
        </row>
        <row r="119">
          <cell r="C119"/>
          <cell r="D119"/>
          <cell r="E119"/>
          <cell r="F119"/>
        </row>
        <row r="120">
          <cell r="C120"/>
          <cell r="D120"/>
          <cell r="E120"/>
          <cell r="F120"/>
        </row>
        <row r="121">
          <cell r="C121"/>
          <cell r="D121"/>
          <cell r="E121"/>
          <cell r="F121"/>
        </row>
      </sheetData>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GiaoQĐ-$"/>
      <sheetName val="Ds QĐ=$"/>
      <sheetName val="TTr=$"/>
      <sheetName val="TB=$ "/>
      <sheetName val="@@ DL"/>
      <sheetName val="TB--%"/>
      <sheetName val="TTr--%"/>
      <sheetName val="Ds QĐ - %"/>
      <sheetName val="Giao QĐ - %"/>
      <sheetName val="Ds Huu+Thoi.."/>
      <sheetName val="TH số liệu"/>
      <sheetName val="- DLiêu Gốc -"/>
      <sheetName val="Sheet2"/>
      <sheetName val="CƠ CẤU"/>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1">
          <cell r="B1" t="str">
            <v>NGẠCH</v>
          </cell>
          <cell r="C1" t="str">
            <v>MÃ SỐ</v>
          </cell>
          <cell r="D1" t="str">
            <v>HS bậc 1</v>
          </cell>
          <cell r="E1" t="str">
            <v>BƯỚC</v>
          </cell>
          <cell r="F1" t="str">
            <v>LOẠI</v>
          </cell>
          <cell r="G1" t="str">
            <v>NHÓM</v>
          </cell>
        </row>
        <row r="2">
          <cell r="B2" t="str">
            <v>Giảng viên cao cấp (hạng I)</v>
          </cell>
          <cell r="C2" t="str">
            <v>V.07.01.01</v>
          </cell>
          <cell r="D2">
            <v>6.2</v>
          </cell>
          <cell r="E2">
            <v>0.36</v>
          </cell>
          <cell r="F2" t="str">
            <v>A3</v>
          </cell>
          <cell r="G2" t="str">
            <v>A3.1</v>
          </cell>
        </row>
        <row r="3">
          <cell r="B3" t="str">
            <v>Giảng viên chính (hạng II)</v>
          </cell>
          <cell r="C3" t="str">
            <v>V.07.01.02</v>
          </cell>
          <cell r="D3">
            <v>4.4000000000000004</v>
          </cell>
          <cell r="E3">
            <v>0.34</v>
          </cell>
          <cell r="F3" t="str">
            <v>A2</v>
          </cell>
          <cell r="G3" t="str">
            <v>A2.1</v>
          </cell>
        </row>
        <row r="4">
          <cell r="B4" t="str">
            <v>Giảng viên (hạng III)</v>
          </cell>
          <cell r="C4" t="str">
            <v>V.07.01.03</v>
          </cell>
          <cell r="D4">
            <v>2.34</v>
          </cell>
          <cell r="E4">
            <v>0.33</v>
          </cell>
          <cell r="F4" t="str">
            <v>A1</v>
          </cell>
          <cell r="G4" t="str">
            <v>- - -</v>
          </cell>
        </row>
        <row r="5">
          <cell r="B5" t="str">
            <v>Giáo viên trung học cao cấp</v>
          </cell>
          <cell r="C5" t="str">
            <v>15.112</v>
          </cell>
          <cell r="D5">
            <v>4</v>
          </cell>
          <cell r="E5">
            <v>0.34</v>
          </cell>
          <cell r="F5" t="str">
            <v>A2</v>
          </cell>
          <cell r="G5" t="str">
            <v>A2.2</v>
          </cell>
        </row>
        <row r="6">
          <cell r="B6" t="str">
            <v>Giáo viên trung học</v>
          </cell>
          <cell r="C6" t="str">
            <v>15.113</v>
          </cell>
          <cell r="D6">
            <v>2.34</v>
          </cell>
          <cell r="E6">
            <v>0.33</v>
          </cell>
          <cell r="F6" t="str">
            <v>A1</v>
          </cell>
          <cell r="G6" t="str">
            <v>- - -</v>
          </cell>
        </row>
        <row r="7">
          <cell r="B7" t="str">
            <v>Giáo viên trung học cơ sở chính</v>
          </cell>
          <cell r="C7" t="str">
            <v>15a.201</v>
          </cell>
          <cell r="D7">
            <v>2.34</v>
          </cell>
          <cell r="E7">
            <v>0.33</v>
          </cell>
          <cell r="F7" t="str">
            <v>A1</v>
          </cell>
          <cell r="G7" t="str">
            <v>- - -</v>
          </cell>
        </row>
        <row r="8">
          <cell r="B8" t="str">
            <v>Giáo viên trung học cơ sở</v>
          </cell>
          <cell r="C8" t="str">
            <v>15a.202</v>
          </cell>
          <cell r="D8">
            <v>2.1</v>
          </cell>
          <cell r="E8">
            <v>0.31</v>
          </cell>
          <cell r="F8" t="str">
            <v>A0</v>
          </cell>
          <cell r="G8" t="str">
            <v>- - -</v>
          </cell>
        </row>
        <row r="9">
          <cell r="B9" t="str">
            <v>Nghiên cứu viên cao cấp (hạng I)</v>
          </cell>
          <cell r="C9" t="str">
            <v>V.05.01.01</v>
          </cell>
          <cell r="D9">
            <v>6.2</v>
          </cell>
          <cell r="E9">
            <v>0.36</v>
          </cell>
          <cell r="F9" t="str">
            <v>A3</v>
          </cell>
          <cell r="G9" t="str">
            <v>A3.1</v>
          </cell>
        </row>
        <row r="10">
          <cell r="B10" t="str">
            <v>Nghiên cứu viên chính (hạng II)</v>
          </cell>
          <cell r="C10" t="str">
            <v>V.05.01.02</v>
          </cell>
          <cell r="D10">
            <v>4.4000000000000004</v>
          </cell>
          <cell r="E10">
            <v>0.34</v>
          </cell>
          <cell r="F10" t="str">
            <v>A2</v>
          </cell>
          <cell r="G10" t="str">
            <v>A2.1</v>
          </cell>
        </row>
        <row r="11">
          <cell r="B11" t="str">
            <v>Nghiên cứu viên (hạng III)</v>
          </cell>
          <cell r="C11" t="str">
            <v>V.05.01.03</v>
          </cell>
          <cell r="D11">
            <v>2.34</v>
          </cell>
          <cell r="E11">
            <v>0.33</v>
          </cell>
          <cell r="F11" t="str">
            <v>A1</v>
          </cell>
          <cell r="G11" t="str">
            <v>- - -</v>
          </cell>
        </row>
        <row r="12">
          <cell r="B12" t="str">
            <v>Chuyên viên cao cấp</v>
          </cell>
          <cell r="C12" t="str">
            <v>01.001</v>
          </cell>
          <cell r="D12">
            <v>6.2</v>
          </cell>
          <cell r="E12">
            <v>0.36</v>
          </cell>
          <cell r="F12" t="str">
            <v>A3</v>
          </cell>
          <cell r="G12" t="str">
            <v>A3.1</v>
          </cell>
        </row>
        <row r="13">
          <cell r="B13" t="str">
            <v>Chuyên viên chính</v>
          </cell>
          <cell r="C13" t="str">
            <v>01.002</v>
          </cell>
          <cell r="D13">
            <v>4.4000000000000004</v>
          </cell>
          <cell r="E13">
            <v>0.34</v>
          </cell>
          <cell r="F13" t="str">
            <v>A2</v>
          </cell>
          <cell r="G13" t="str">
            <v>A2.1</v>
          </cell>
        </row>
        <row r="14">
          <cell r="B14" t="str">
            <v>Chuyên viên</v>
          </cell>
          <cell r="C14" t="str">
            <v>01.003</v>
          </cell>
          <cell r="D14">
            <v>2.34</v>
          </cell>
          <cell r="E14">
            <v>0.33</v>
          </cell>
          <cell r="F14" t="str">
            <v>A1</v>
          </cell>
          <cell r="G14" t="str">
            <v>- - -</v>
          </cell>
        </row>
        <row r="15">
          <cell r="B15" t="str">
            <v>Chuyên viên (cao đẳng)</v>
          </cell>
          <cell r="C15" t="str">
            <v>01a.003</v>
          </cell>
          <cell r="D15">
            <v>2.1</v>
          </cell>
          <cell r="E15">
            <v>0.31</v>
          </cell>
          <cell r="F15" t="str">
            <v>A0</v>
          </cell>
          <cell r="G15" t="str">
            <v>- - -</v>
          </cell>
        </row>
        <row r="16">
          <cell r="B16" t="str">
            <v>Cán sự</v>
          </cell>
          <cell r="C16" t="str">
            <v>01.004</v>
          </cell>
          <cell r="D16">
            <v>1.86</v>
          </cell>
          <cell r="E16">
            <v>0.2</v>
          </cell>
          <cell r="F16" t="str">
            <v>B</v>
          </cell>
          <cell r="G16" t="str">
            <v>- - -</v>
          </cell>
        </row>
        <row r="17">
          <cell r="B17" t="str">
            <v>Thanh tra viên cao cấp</v>
          </cell>
          <cell r="C17" t="str">
            <v>04.023</v>
          </cell>
          <cell r="D17">
            <v>6.2</v>
          </cell>
          <cell r="E17">
            <v>0.36</v>
          </cell>
          <cell r="F17" t="str">
            <v>A3</v>
          </cell>
          <cell r="G17" t="str">
            <v>A3.1</v>
          </cell>
        </row>
        <row r="18">
          <cell r="B18" t="str">
            <v>Thanh tra viên chính</v>
          </cell>
          <cell r="C18" t="str">
            <v>04.024</v>
          </cell>
          <cell r="D18">
            <v>4.4000000000000004</v>
          </cell>
          <cell r="E18">
            <v>0.34</v>
          </cell>
          <cell r="F18" t="str">
            <v>A2</v>
          </cell>
          <cell r="G18" t="str">
            <v>A2.1</v>
          </cell>
        </row>
        <row r="19">
          <cell r="B19" t="str">
            <v>Thanh tra viên</v>
          </cell>
          <cell r="C19" t="str">
            <v>04.025</v>
          </cell>
          <cell r="D19">
            <v>2.34</v>
          </cell>
          <cell r="E19">
            <v>0.33</v>
          </cell>
          <cell r="F19" t="str">
            <v>A1</v>
          </cell>
          <cell r="G19" t="str">
            <v>- - -</v>
          </cell>
        </row>
        <row r="20">
          <cell r="B20" t="str">
            <v>Thẩm tra viên</v>
          </cell>
          <cell r="C20" t="str">
            <v>03.230</v>
          </cell>
          <cell r="D20">
            <v>2.34</v>
          </cell>
          <cell r="E20">
            <v>0.33</v>
          </cell>
          <cell r="F20" t="str">
            <v>A1</v>
          </cell>
          <cell r="G20" t="str">
            <v>- - -</v>
          </cell>
        </row>
        <row r="21">
          <cell r="B21" t="str">
            <v>Thư viện viên cao cấp</v>
          </cell>
          <cell r="C21" t="str">
            <v>17.168</v>
          </cell>
          <cell r="D21">
            <v>5.75</v>
          </cell>
          <cell r="E21">
            <v>0.36</v>
          </cell>
          <cell r="F21" t="str">
            <v>A3</v>
          </cell>
          <cell r="G21" t="str">
            <v>A3.2</v>
          </cell>
        </row>
        <row r="22">
          <cell r="B22" t="str">
            <v>Thư viện viên chính</v>
          </cell>
          <cell r="C22" t="str">
            <v>17.169</v>
          </cell>
          <cell r="D22">
            <v>4</v>
          </cell>
          <cell r="E22">
            <v>0.34</v>
          </cell>
          <cell r="F22" t="str">
            <v>A2</v>
          </cell>
          <cell r="G22" t="str">
            <v>A2.2</v>
          </cell>
        </row>
        <row r="23">
          <cell r="B23" t="str">
            <v>Thư viện viên</v>
          </cell>
          <cell r="C23" t="str">
            <v>17.170</v>
          </cell>
          <cell r="D23">
            <v>2.34</v>
          </cell>
          <cell r="E23">
            <v>0.33</v>
          </cell>
          <cell r="F23" t="str">
            <v>A1</v>
          </cell>
          <cell r="G23" t="str">
            <v>- - -</v>
          </cell>
        </row>
        <row r="24">
          <cell r="B24" t="str">
            <v>Thư viện viên (cao đẳng)</v>
          </cell>
          <cell r="C24" t="str">
            <v>17a.170</v>
          </cell>
          <cell r="D24">
            <v>2.1</v>
          </cell>
          <cell r="E24">
            <v>0.31</v>
          </cell>
          <cell r="F24" t="str">
            <v>A0</v>
          </cell>
          <cell r="G24" t="str">
            <v>- - -</v>
          </cell>
        </row>
        <row r="25">
          <cell r="B25" t="str">
            <v>Thư viện viên trung cấp</v>
          </cell>
          <cell r="C25" t="str">
            <v>17.171</v>
          </cell>
          <cell r="D25">
            <v>1.86</v>
          </cell>
          <cell r="E25">
            <v>0.2</v>
          </cell>
          <cell r="F25" t="str">
            <v>B</v>
          </cell>
          <cell r="G25" t="str">
            <v>- - -</v>
          </cell>
        </row>
        <row r="26">
          <cell r="B26" t="str">
            <v>Kỹ sư cao cấp (hạng I)</v>
          </cell>
          <cell r="C26" t="str">
            <v>V.05.02.05</v>
          </cell>
          <cell r="D26">
            <v>6.2</v>
          </cell>
          <cell r="E26">
            <v>0.36</v>
          </cell>
          <cell r="F26" t="str">
            <v>A3</v>
          </cell>
          <cell r="G26" t="str">
            <v>A3.1</v>
          </cell>
        </row>
        <row r="27">
          <cell r="B27" t="str">
            <v>Kỹ sư chính (hạng II)</v>
          </cell>
          <cell r="C27" t="str">
            <v>V.05.02.06</v>
          </cell>
          <cell r="D27">
            <v>4.4000000000000004</v>
          </cell>
          <cell r="E27">
            <v>0.34</v>
          </cell>
          <cell r="F27" t="str">
            <v>A2</v>
          </cell>
          <cell r="G27" t="str">
            <v>A2.1</v>
          </cell>
        </row>
        <row r="28">
          <cell r="B28" t="str">
            <v>Kỹ sư (hạng III)</v>
          </cell>
          <cell r="C28" t="str">
            <v>V.05.02.07</v>
          </cell>
          <cell r="D28">
            <v>2.34</v>
          </cell>
          <cell r="E28">
            <v>0.33</v>
          </cell>
          <cell r="F28" t="str">
            <v>A1</v>
          </cell>
          <cell r="G28" t="str">
            <v>- - -</v>
          </cell>
        </row>
        <row r="29">
          <cell r="B29" t="str">
            <v>Kỹ thuật viên (hạng IV)</v>
          </cell>
          <cell r="C29" t="str">
            <v>V.05.02.08</v>
          </cell>
          <cell r="D29">
            <v>1.86</v>
          </cell>
          <cell r="E29">
            <v>0.2</v>
          </cell>
          <cell r="F29" t="str">
            <v>B</v>
          </cell>
          <cell r="G29" t="str">
            <v>- - -</v>
          </cell>
        </row>
        <row r="30">
          <cell r="B30" t="str">
            <v>Bác sỹ cao cấp</v>
          </cell>
          <cell r="C30" t="str">
            <v>16.116</v>
          </cell>
          <cell r="D30">
            <v>6.2</v>
          </cell>
          <cell r="E30">
            <v>0.36</v>
          </cell>
          <cell r="F30" t="str">
            <v>A3</v>
          </cell>
          <cell r="G30" t="str">
            <v>A3.1</v>
          </cell>
        </row>
        <row r="31">
          <cell r="B31" t="str">
            <v>Bác sỹ chính</v>
          </cell>
          <cell r="C31" t="str">
            <v>16.117</v>
          </cell>
          <cell r="D31">
            <v>4.4000000000000004</v>
          </cell>
          <cell r="E31">
            <v>0.34</v>
          </cell>
          <cell r="F31" t="str">
            <v>A2</v>
          </cell>
          <cell r="G31" t="str">
            <v>A2.1</v>
          </cell>
        </row>
        <row r="32">
          <cell r="B32" t="str">
            <v>Bác sỹ</v>
          </cell>
          <cell r="C32" t="str">
            <v>16.118</v>
          </cell>
          <cell r="D32">
            <v>2.34</v>
          </cell>
          <cell r="E32">
            <v>0.33</v>
          </cell>
          <cell r="F32" t="str">
            <v>A1</v>
          </cell>
          <cell r="G32" t="str">
            <v>- - -</v>
          </cell>
        </row>
        <row r="33">
          <cell r="B33" t="str">
            <v>Y sỹ</v>
          </cell>
          <cell r="C33" t="str">
            <v>16.119</v>
          </cell>
          <cell r="D33">
            <v>1.86</v>
          </cell>
          <cell r="E33">
            <v>0.2</v>
          </cell>
          <cell r="F33" t="str">
            <v>B</v>
          </cell>
          <cell r="G33" t="str">
            <v>- - -</v>
          </cell>
        </row>
        <row r="34">
          <cell r="B34" t="str">
            <v>Biên tập viên cao cấp</v>
          </cell>
          <cell r="C34" t="str">
            <v>17.139</v>
          </cell>
          <cell r="D34">
            <v>6.2</v>
          </cell>
          <cell r="E34">
            <v>0.36</v>
          </cell>
          <cell r="F34" t="str">
            <v>A3</v>
          </cell>
          <cell r="G34" t="str">
            <v>A3.1</v>
          </cell>
        </row>
        <row r="35">
          <cell r="B35" t="str">
            <v>Biên tập viên chính</v>
          </cell>
          <cell r="C35" t="str">
            <v>17.140</v>
          </cell>
          <cell r="D35">
            <v>4.4000000000000004</v>
          </cell>
          <cell r="E35">
            <v>0.34</v>
          </cell>
          <cell r="F35" t="str">
            <v>A2</v>
          </cell>
          <cell r="G35" t="str">
            <v>A2.1</v>
          </cell>
        </row>
        <row r="36">
          <cell r="B36" t="str">
            <v>Biên tập viên</v>
          </cell>
          <cell r="C36" t="str">
            <v>17.141</v>
          </cell>
          <cell r="D36">
            <v>2.34</v>
          </cell>
          <cell r="E36">
            <v>0.33</v>
          </cell>
          <cell r="F36" t="str">
            <v>A1</v>
          </cell>
          <cell r="G36" t="str">
            <v>- - -</v>
          </cell>
        </row>
        <row r="37">
          <cell r="B37" t="str">
            <v>Phóng viên cao cấp</v>
          </cell>
          <cell r="C37" t="str">
            <v>17.142</v>
          </cell>
          <cell r="D37">
            <v>6.2</v>
          </cell>
          <cell r="E37">
            <v>0.36</v>
          </cell>
          <cell r="F37" t="str">
            <v>A3</v>
          </cell>
          <cell r="G37" t="str">
            <v>A3.1</v>
          </cell>
        </row>
        <row r="38">
          <cell r="B38" t="str">
            <v>Phóng viên chính</v>
          </cell>
          <cell r="C38" t="str">
            <v>17.143</v>
          </cell>
          <cell r="D38">
            <v>4.4000000000000004</v>
          </cell>
          <cell r="E38">
            <v>0.34</v>
          </cell>
          <cell r="F38" t="str">
            <v>A2</v>
          </cell>
          <cell r="G38" t="str">
            <v>A2.1</v>
          </cell>
        </row>
        <row r="39">
          <cell r="B39" t="str">
            <v>Phóng viên</v>
          </cell>
          <cell r="C39" t="str">
            <v>17.144</v>
          </cell>
          <cell r="D39">
            <v>2.34</v>
          </cell>
          <cell r="E39">
            <v>0.33</v>
          </cell>
          <cell r="F39" t="str">
            <v>A1</v>
          </cell>
          <cell r="G39" t="str">
            <v>- - -</v>
          </cell>
        </row>
        <row r="40">
          <cell r="B40" t="str">
            <v>Kế toán viên cao cấp</v>
          </cell>
          <cell r="C40" t="str">
            <v>06.029</v>
          </cell>
          <cell r="D40">
            <v>5.75</v>
          </cell>
          <cell r="E40">
            <v>0.36</v>
          </cell>
          <cell r="F40" t="str">
            <v>A3</v>
          </cell>
          <cell r="G40" t="str">
            <v>A3.2</v>
          </cell>
        </row>
        <row r="41">
          <cell r="B41" t="str">
            <v>Kế toán viên chính</v>
          </cell>
          <cell r="C41" t="str">
            <v>06.030</v>
          </cell>
          <cell r="D41">
            <v>4</v>
          </cell>
          <cell r="E41">
            <v>0.34</v>
          </cell>
          <cell r="F41" t="str">
            <v>A2</v>
          </cell>
          <cell r="G41" t="str">
            <v>A2.2</v>
          </cell>
        </row>
        <row r="42">
          <cell r="B42" t="str">
            <v>Kế toán viên</v>
          </cell>
          <cell r="C42" t="str">
            <v>06.031</v>
          </cell>
          <cell r="D42">
            <v>2.34</v>
          </cell>
          <cell r="E42">
            <v>0.33</v>
          </cell>
          <cell r="F42" t="str">
            <v>A1</v>
          </cell>
          <cell r="G42" t="str">
            <v>- - -</v>
          </cell>
        </row>
        <row r="43">
          <cell r="B43" t="str">
            <v>Kế toán viên (cao đẳng)</v>
          </cell>
          <cell r="C43" t="str">
            <v>06a.031</v>
          </cell>
          <cell r="D43">
            <v>2.1</v>
          </cell>
          <cell r="E43">
            <v>0.31</v>
          </cell>
          <cell r="F43" t="str">
            <v>A0</v>
          </cell>
          <cell r="G43" t="str">
            <v>- - -</v>
          </cell>
        </row>
        <row r="44">
          <cell r="B44" t="str">
            <v>Kế toán viên trung cấp</v>
          </cell>
          <cell r="C44" t="str">
            <v>06.032</v>
          </cell>
          <cell r="D44">
            <v>1.86</v>
          </cell>
          <cell r="E44">
            <v>0.2</v>
          </cell>
          <cell r="F44" t="str">
            <v>B</v>
          </cell>
          <cell r="G44" t="str">
            <v>- - -</v>
          </cell>
        </row>
        <row r="45">
          <cell r="B45" t="str">
            <v>Lưu trữ viên</v>
          </cell>
          <cell r="C45" t="str">
            <v>02.014</v>
          </cell>
          <cell r="D45">
            <v>2.34</v>
          </cell>
          <cell r="E45">
            <v>0.33</v>
          </cell>
          <cell r="F45" t="str">
            <v>A1</v>
          </cell>
          <cell r="G45" t="str">
            <v>- - -</v>
          </cell>
        </row>
        <row r="46">
          <cell r="B46" t="str">
            <v>Lưu trữ viên (cao đẳng)</v>
          </cell>
          <cell r="C46" t="str">
            <v>02a.014</v>
          </cell>
          <cell r="D46">
            <v>2.1</v>
          </cell>
          <cell r="E46">
            <v>0.31</v>
          </cell>
          <cell r="F46" t="str">
            <v>A0</v>
          </cell>
          <cell r="G46" t="str">
            <v>- - -</v>
          </cell>
        </row>
        <row r="47">
          <cell r="B47" t="str">
            <v>Lưu trữ viên trung cấp</v>
          </cell>
          <cell r="C47" t="str">
            <v>02.015</v>
          </cell>
          <cell r="D47">
            <v>1.86</v>
          </cell>
          <cell r="E47">
            <v>0.2</v>
          </cell>
          <cell r="F47" t="str">
            <v>B</v>
          </cell>
          <cell r="G47" t="str">
            <v>- - -</v>
          </cell>
        </row>
        <row r="48">
          <cell r="B48" t="str">
            <v>Kỹ Thuật viên đánh máy</v>
          </cell>
          <cell r="C48" t="str">
            <v>01.005</v>
          </cell>
          <cell r="D48">
            <v>1.5</v>
          </cell>
          <cell r="E48">
            <v>0.18</v>
          </cell>
          <cell r="F48" t="str">
            <v>C</v>
          </cell>
          <cell r="G48" t="str">
            <v>Nhân viên</v>
          </cell>
        </row>
        <row r="49">
          <cell r="B49" t="str">
            <v>Nhân viên đánh máy</v>
          </cell>
          <cell r="C49" t="str">
            <v>01.006</v>
          </cell>
          <cell r="D49">
            <v>1.5</v>
          </cell>
          <cell r="E49">
            <v>0.18</v>
          </cell>
          <cell r="F49" t="str">
            <v>C</v>
          </cell>
          <cell r="G49" t="str">
            <v>Nhân viên</v>
          </cell>
        </row>
        <row r="50">
          <cell r="B50" t="str">
            <v>Nhân viên kỹ thuật</v>
          </cell>
          <cell r="C50" t="str">
            <v>01.007</v>
          </cell>
          <cell r="D50">
            <v>1.65</v>
          </cell>
          <cell r="E50">
            <v>0.18</v>
          </cell>
          <cell r="F50" t="str">
            <v>C</v>
          </cell>
          <cell r="G50" t="str">
            <v>Nhân viên</v>
          </cell>
        </row>
        <row r="51">
          <cell r="B51" t="str">
            <v>Nhân viên văn thư</v>
          </cell>
          <cell r="C51" t="str">
            <v>01.008</v>
          </cell>
          <cell r="D51">
            <v>1.35</v>
          </cell>
          <cell r="E51">
            <v>0.18</v>
          </cell>
          <cell r="F51" t="str">
            <v>C</v>
          </cell>
          <cell r="G51" t="str">
            <v>Nhân viên</v>
          </cell>
        </row>
        <row r="52">
          <cell r="B52" t="str">
            <v>Nhân viên phục vụ</v>
          </cell>
          <cell r="C52" t="str">
            <v>01.009</v>
          </cell>
          <cell r="D52">
            <v>1</v>
          </cell>
          <cell r="E52">
            <v>0.18</v>
          </cell>
          <cell r="F52" t="str">
            <v>C</v>
          </cell>
          <cell r="G52" t="str">
            <v>Nhân viên</v>
          </cell>
        </row>
        <row r="53">
          <cell r="B53" t="str">
            <v>Lái xe cơ quan</v>
          </cell>
          <cell r="C53" t="str">
            <v>01.010</v>
          </cell>
          <cell r="D53">
            <v>2.0499999999999998</v>
          </cell>
          <cell r="E53">
            <v>0.18</v>
          </cell>
          <cell r="F53" t="str">
            <v>C</v>
          </cell>
          <cell r="G53" t="str">
            <v>Nhân viên</v>
          </cell>
        </row>
        <row r="54">
          <cell r="B54" t="str">
            <v>Nhân viên bảo vệ</v>
          </cell>
          <cell r="C54" t="str">
            <v>01.011</v>
          </cell>
          <cell r="D54">
            <v>1.5</v>
          </cell>
          <cell r="E54">
            <v>0.18</v>
          </cell>
          <cell r="F54" t="str">
            <v>C</v>
          </cell>
          <cell r="G54" t="str">
            <v>Nhân viên</v>
          </cell>
        </row>
        <row r="55">
          <cell r="B55" t="str">
            <v>Thủ kho bảo quản</v>
          </cell>
          <cell r="C55" t="str">
            <v>19.185</v>
          </cell>
          <cell r="D55">
            <v>1.65</v>
          </cell>
          <cell r="E55">
            <v>0.18</v>
          </cell>
          <cell r="F55" t="str">
            <v>C</v>
          </cell>
          <cell r="G55" t="str">
            <v>Nhân viên</v>
          </cell>
        </row>
        <row r="56">
          <cell r="B56" t="str">
            <v>Thủ quỹ</v>
          </cell>
          <cell r="C56" t="str">
            <v>06.035</v>
          </cell>
          <cell r="D56">
            <v>1.5</v>
          </cell>
          <cell r="E56">
            <v>0.18</v>
          </cell>
          <cell r="F56" t="str">
            <v>C</v>
          </cell>
          <cell r="G56" t="str">
            <v>Nhân viên</v>
          </cell>
        </row>
        <row r="71">
          <cell r="B71" t="str">
            <v>CHỨC VỤ</v>
          </cell>
          <cell r="C71" t="str">
            <v>PC CV</v>
          </cell>
        </row>
        <row r="72">
          <cell r="B72" t="str">
            <v>Giám đốc Học viện</v>
          </cell>
          <cell r="C72">
            <v>1.3</v>
          </cell>
        </row>
        <row r="73">
          <cell r="B73" t="str">
            <v>Nguyên giám đốc Học viện</v>
          </cell>
          <cell r="C73">
            <v>1.3</v>
          </cell>
        </row>
        <row r="74">
          <cell r="B74" t="str">
            <v>Phó Giám đốc Học viện</v>
          </cell>
          <cell r="C74">
            <v>1.1000000000000001</v>
          </cell>
        </row>
        <row r="75">
          <cell r="B75" t="str">
            <v>Nguyên Phó giám đốc Học viện</v>
          </cell>
          <cell r="C75">
            <v>1.1000000000000001</v>
          </cell>
        </row>
        <row r="76">
          <cell r="B76" t="str">
            <v>Giám đốc phân viện</v>
          </cell>
          <cell r="C76" t="str">
            <v>1,2</v>
          </cell>
        </row>
        <row r="77">
          <cell r="B77" t="str">
            <v>Trưởng khoa</v>
          </cell>
          <cell r="C77" t="str">
            <v>1,0</v>
          </cell>
        </row>
        <row r="78">
          <cell r="B78" t="str">
            <v>Nguyên Trưởng khoa</v>
          </cell>
          <cell r="C78" t="str">
            <v>1,0</v>
          </cell>
        </row>
        <row r="79">
          <cell r="B79" t="str">
            <v>Phó Trưởng khoa</v>
          </cell>
          <cell r="C79" t="str">
            <v>0,8</v>
          </cell>
        </row>
        <row r="80">
          <cell r="B80" t="str">
            <v>Nguyên Phó trưởng khoa</v>
          </cell>
          <cell r="C80" t="str">
            <v>0,8</v>
          </cell>
        </row>
        <row r="81">
          <cell r="B81" t="str">
            <v>Trưởng ban</v>
          </cell>
          <cell r="C81" t="str">
            <v>1,0</v>
          </cell>
        </row>
        <row r="82">
          <cell r="B82" t="str">
            <v>Nguyên Trưởng ban</v>
          </cell>
          <cell r="C82" t="str">
            <v>1,0</v>
          </cell>
        </row>
        <row r="83">
          <cell r="B83" t="str">
            <v>Phó Trưởng ban</v>
          </cell>
          <cell r="C83" t="str">
            <v>0,8</v>
          </cell>
        </row>
        <row r="84">
          <cell r="B84" t="str">
            <v>Phó Trưởng ban (PT)</v>
          </cell>
          <cell r="C84" t="str">
            <v>0,8</v>
          </cell>
        </row>
        <row r="85">
          <cell r="B85" t="str">
            <v>Nguyên Phó trưởng ban</v>
          </cell>
          <cell r="C85" t="str">
            <v>0,8</v>
          </cell>
        </row>
        <row r="86">
          <cell r="B86" t="str">
            <v>Trưởng phòng</v>
          </cell>
          <cell r="C86" t="str">
            <v>0,6</v>
          </cell>
        </row>
        <row r="87">
          <cell r="B87" t="str">
            <v>Q. Trưởng phòng</v>
          </cell>
          <cell r="C87" t="str">
            <v>0,6</v>
          </cell>
        </row>
        <row r="88">
          <cell r="B88" t="str">
            <v>Phó Trưởng phòng</v>
          </cell>
          <cell r="C88" t="str">
            <v>0,4</v>
          </cell>
        </row>
        <row r="89">
          <cell r="B89" t="str">
            <v>Phó Trưởng phòng (PT)</v>
          </cell>
          <cell r="C89" t="str">
            <v>0,4</v>
          </cell>
        </row>
        <row r="90">
          <cell r="B90" t="str">
            <v>Trưởng bộ môn</v>
          </cell>
          <cell r="C90" t="str">
            <v>0,6</v>
          </cell>
        </row>
        <row r="91">
          <cell r="B91" t="str">
            <v>Phó Trưởng bộ môn</v>
          </cell>
          <cell r="C91" t="str">
            <v>0,4</v>
          </cell>
        </row>
        <row r="92">
          <cell r="B92" t="str">
            <v>Tổng Biên tập</v>
          </cell>
          <cell r="C92" t="str">
            <v>1,0</v>
          </cell>
        </row>
        <row r="93">
          <cell r="B93" t="str">
            <v>Phó Tổng biên tập</v>
          </cell>
          <cell r="C93" t="str">
            <v>0,8</v>
          </cell>
        </row>
        <row r="94">
          <cell r="B94" t="str">
            <v>Trưởng ban (TC QLNN)</v>
          </cell>
          <cell r="C94" t="str">
            <v>0,6</v>
          </cell>
        </row>
        <row r="95">
          <cell r="B95" t="str">
            <v>Trưởng Ban Biên tập</v>
          </cell>
          <cell r="C95" t="str">
            <v>0,6</v>
          </cell>
        </row>
        <row r="96">
          <cell r="B96" t="str">
            <v>Phó Trưởng ban (TC QLNN)</v>
          </cell>
          <cell r="C96" t="str">
            <v>0,4</v>
          </cell>
        </row>
        <row r="97">
          <cell r="B97" t="str">
            <v>Phó Trưởng ban (TC QLNN)</v>
          </cell>
          <cell r="C97" t="str">
            <v>0,4</v>
          </cell>
        </row>
        <row r="98">
          <cell r="B98" t="str">
            <v>Viện Trưởng</v>
          </cell>
          <cell r="C98" t="str">
            <v>1,0</v>
          </cell>
        </row>
        <row r="99">
          <cell r="B99" t="str">
            <v>Nguyên Viện Trưởng</v>
          </cell>
          <cell r="C99" t="str">
            <v>1,0</v>
          </cell>
        </row>
        <row r="100">
          <cell r="B100" t="str">
            <v>Phó Viện Trưởng</v>
          </cell>
          <cell r="C100" t="str">
            <v>0,8</v>
          </cell>
        </row>
        <row r="101">
          <cell r="B101" t="str">
            <v>Nguyên Phó Viện Trưởng</v>
          </cell>
          <cell r="C101" t="str">
            <v>0,8</v>
          </cell>
        </row>
        <row r="102">
          <cell r="B102" t="str">
            <v>Chủ nhiệm TV</v>
          </cell>
          <cell r="C102" t="str">
            <v>0,6</v>
          </cell>
        </row>
        <row r="103">
          <cell r="B103" t="str">
            <v>Phó Chủ nhiệm TV</v>
          </cell>
          <cell r="C103" t="str">
            <v>0,4</v>
          </cell>
        </row>
        <row r="104">
          <cell r="B104" t="str">
            <v>Giám đốc (cấp vụ)</v>
          </cell>
          <cell r="C104" t="str">
            <v>1,0</v>
          </cell>
        </row>
        <row r="105">
          <cell r="B105" t="str">
            <v>Phó Giám đốc (cấp vụ)</v>
          </cell>
          <cell r="C105" t="str">
            <v>0,8</v>
          </cell>
        </row>
        <row r="106">
          <cell r="B106" t="str">
            <v>Giám đốc (cấp phòng)</v>
          </cell>
          <cell r="C106">
            <v>0.6</v>
          </cell>
        </row>
        <row r="107">
          <cell r="B107" t="str">
            <v>Phó Giám đốc (cấp phòng)</v>
          </cell>
          <cell r="C107" t="str">
            <v>0,4</v>
          </cell>
        </row>
        <row r="108">
          <cell r="B108" t="str">
            <v>Chánh văn phòng</v>
          </cell>
          <cell r="C108" t="str">
            <v>1,0</v>
          </cell>
        </row>
        <row r="109">
          <cell r="B109" t="str">
            <v>Phó Chánh văn phòng</v>
          </cell>
          <cell r="C109" t="str">
            <v>0,8</v>
          </cell>
        </row>
        <row r="110">
          <cell r="B110" t="str">
            <v>Đội Trưởng</v>
          </cell>
          <cell r="C110" t="str">
            <v>0,6</v>
          </cell>
        </row>
        <row r="111">
          <cell r="B111" t="str">
            <v>Đội Phó</v>
          </cell>
          <cell r="C111" t="str">
            <v>0,4</v>
          </cell>
        </row>
      </sheetData>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L (2)"/>
      <sheetName val="4.GiaoQĐ-$"/>
      <sheetName val="QĐ=$"/>
      <sheetName val="TTr=$"/>
      <sheetName val="TB=$ "/>
      <sheetName val="@@ DL"/>
      <sheetName val="TB--%"/>
      <sheetName val="TTr--%"/>
      <sheetName val="QĐ - %"/>
      <sheetName val="Giao QĐ - %"/>
      <sheetName val="DS Hưu 2015"/>
      <sheetName val="TH số liệu"/>
      <sheetName val="CƠ CẤU"/>
      <sheetName val="- DLiêu Gốc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B1" t="str">
            <v>NGẠCH</v>
          </cell>
        </row>
        <row r="2">
          <cell r="B2" t="str">
            <v>Giảng viên cao cấp</v>
          </cell>
          <cell r="C2" t="str">
            <v>15.109</v>
          </cell>
          <cell r="D2">
            <v>6.2</v>
          </cell>
          <cell r="E2">
            <v>0.36</v>
          </cell>
          <cell r="F2" t="str">
            <v>A3</v>
          </cell>
          <cell r="G2" t="str">
            <v>A3.1</v>
          </cell>
        </row>
        <row r="3">
          <cell r="B3" t="str">
            <v>Giảng viên chính</v>
          </cell>
          <cell r="C3" t="str">
            <v>15.110</v>
          </cell>
          <cell r="D3">
            <v>4.4000000000000004</v>
          </cell>
          <cell r="E3">
            <v>0.34</v>
          </cell>
          <cell r="F3" t="str">
            <v>A2</v>
          </cell>
          <cell r="G3" t="str">
            <v>A2.1</v>
          </cell>
        </row>
        <row r="4">
          <cell r="B4" t="str">
            <v>Giảng viên</v>
          </cell>
          <cell r="C4" t="str">
            <v>15.111</v>
          </cell>
          <cell r="D4">
            <v>2.34</v>
          </cell>
          <cell r="E4">
            <v>0.33</v>
          </cell>
          <cell r="F4" t="str">
            <v>A1</v>
          </cell>
          <cell r="G4" t="str">
            <v>- - -</v>
          </cell>
        </row>
        <row r="5">
          <cell r="B5" t="str">
            <v>Giáo viên trung học cao cấp</v>
          </cell>
          <cell r="C5" t="str">
            <v>15.112</v>
          </cell>
          <cell r="D5">
            <v>4</v>
          </cell>
          <cell r="E5">
            <v>0.34</v>
          </cell>
          <cell r="F5" t="str">
            <v>A2</v>
          </cell>
          <cell r="G5" t="str">
            <v>A2.2</v>
          </cell>
        </row>
        <row r="6">
          <cell r="B6" t="str">
            <v>Giáo viên trung học</v>
          </cell>
          <cell r="C6" t="str">
            <v>15.113</v>
          </cell>
          <cell r="D6">
            <v>2.34</v>
          </cell>
          <cell r="E6">
            <v>0.33</v>
          </cell>
          <cell r="F6" t="str">
            <v>A1</v>
          </cell>
          <cell r="G6" t="str">
            <v>- - -</v>
          </cell>
        </row>
        <row r="7">
          <cell r="B7" t="str">
            <v>Giáo viên trung học cơ sở chính</v>
          </cell>
          <cell r="C7" t="str">
            <v>15a.201</v>
          </cell>
          <cell r="D7">
            <v>2.34</v>
          </cell>
          <cell r="E7">
            <v>0.33</v>
          </cell>
          <cell r="F7" t="str">
            <v>A1</v>
          </cell>
          <cell r="G7" t="str">
            <v>- - -</v>
          </cell>
        </row>
        <row r="8">
          <cell r="B8" t="str">
            <v>Giáo viên trung học cơ sở</v>
          </cell>
          <cell r="C8" t="str">
            <v>15a.202</v>
          </cell>
          <cell r="D8">
            <v>2.1</v>
          </cell>
          <cell r="E8">
            <v>0.31</v>
          </cell>
          <cell r="F8" t="str">
            <v>A0</v>
          </cell>
          <cell r="G8" t="str">
            <v>- - -</v>
          </cell>
        </row>
        <row r="9">
          <cell r="B9" t="str">
            <v>Nghiên cứu viên cao cấp</v>
          </cell>
          <cell r="C9" t="str">
            <v>13.090</v>
          </cell>
          <cell r="D9">
            <v>6.2</v>
          </cell>
          <cell r="E9">
            <v>0.36</v>
          </cell>
          <cell r="F9" t="str">
            <v>A3</v>
          </cell>
          <cell r="G9" t="str">
            <v>A3.1</v>
          </cell>
        </row>
        <row r="10">
          <cell r="B10" t="str">
            <v>Nghiên cứu viên chính</v>
          </cell>
          <cell r="C10" t="str">
            <v>13.091</v>
          </cell>
          <cell r="D10">
            <v>4.4000000000000004</v>
          </cell>
          <cell r="E10">
            <v>0.34</v>
          </cell>
          <cell r="F10" t="str">
            <v>A2</v>
          </cell>
          <cell r="G10" t="str">
            <v>A2.1</v>
          </cell>
        </row>
        <row r="11">
          <cell r="B11" t="str">
            <v>Nghiên cứu viên</v>
          </cell>
          <cell r="C11" t="str">
            <v>13.092</v>
          </cell>
          <cell r="D11">
            <v>2.34</v>
          </cell>
          <cell r="E11">
            <v>0.33</v>
          </cell>
          <cell r="F11" t="str">
            <v>A1</v>
          </cell>
          <cell r="G11" t="str">
            <v>- - -</v>
          </cell>
        </row>
        <row r="12">
          <cell r="B12" t="str">
            <v>Chuyên viên cao cấp</v>
          </cell>
          <cell r="C12" t="str">
            <v>01.001</v>
          </cell>
          <cell r="D12">
            <v>6.2</v>
          </cell>
          <cell r="E12">
            <v>0.36</v>
          </cell>
          <cell r="F12" t="str">
            <v>A3</v>
          </cell>
          <cell r="G12" t="str">
            <v>A3.1</v>
          </cell>
        </row>
        <row r="13">
          <cell r="B13" t="str">
            <v>Chuyên viên chính</v>
          </cell>
          <cell r="C13" t="str">
            <v>01.002</v>
          </cell>
          <cell r="D13">
            <v>4.4000000000000004</v>
          </cell>
          <cell r="E13">
            <v>0.34</v>
          </cell>
          <cell r="F13" t="str">
            <v>A2</v>
          </cell>
          <cell r="G13" t="str">
            <v>A2.1</v>
          </cell>
        </row>
        <row r="14">
          <cell r="B14" t="str">
            <v>Chuyên viên</v>
          </cell>
          <cell r="C14" t="str">
            <v>01.003</v>
          </cell>
          <cell r="D14">
            <v>2.34</v>
          </cell>
          <cell r="E14">
            <v>0.33</v>
          </cell>
          <cell r="F14" t="str">
            <v>A1</v>
          </cell>
          <cell r="G14" t="str">
            <v>- - -</v>
          </cell>
        </row>
        <row r="15">
          <cell r="B15" t="str">
            <v>Chuyên viên (cao đẳng)</v>
          </cell>
          <cell r="C15" t="str">
            <v>01a.003</v>
          </cell>
          <cell r="D15">
            <v>2.1</v>
          </cell>
          <cell r="E15">
            <v>0.31</v>
          </cell>
          <cell r="F15" t="str">
            <v>A0</v>
          </cell>
          <cell r="G15" t="str">
            <v>- - -</v>
          </cell>
        </row>
        <row r="16">
          <cell r="B16" t="str">
            <v>Cán sự</v>
          </cell>
          <cell r="C16" t="str">
            <v>01.004</v>
          </cell>
          <cell r="D16">
            <v>1.86</v>
          </cell>
          <cell r="E16">
            <v>0.2</v>
          </cell>
          <cell r="F16" t="str">
            <v>B</v>
          </cell>
          <cell r="G16" t="str">
            <v>- - -</v>
          </cell>
        </row>
        <row r="17">
          <cell r="B17" t="str">
            <v>Thanh tra viên cao cấp</v>
          </cell>
          <cell r="C17" t="str">
            <v>04.023</v>
          </cell>
          <cell r="D17">
            <v>6.2</v>
          </cell>
          <cell r="E17">
            <v>0.36</v>
          </cell>
          <cell r="F17" t="str">
            <v>A3</v>
          </cell>
          <cell r="G17" t="str">
            <v>A3.1</v>
          </cell>
        </row>
        <row r="18">
          <cell r="B18" t="str">
            <v>Thanh tra viên chính</v>
          </cell>
          <cell r="C18" t="str">
            <v>04.024</v>
          </cell>
          <cell r="D18">
            <v>4.4000000000000004</v>
          </cell>
          <cell r="E18">
            <v>0.34</v>
          </cell>
          <cell r="F18" t="str">
            <v>A2</v>
          </cell>
          <cell r="G18" t="str">
            <v>A2.1</v>
          </cell>
        </row>
        <row r="19">
          <cell r="B19" t="str">
            <v>Thanh tra viên</v>
          </cell>
          <cell r="C19" t="str">
            <v>04.025</v>
          </cell>
          <cell r="D19">
            <v>2.34</v>
          </cell>
          <cell r="E19">
            <v>0.33</v>
          </cell>
          <cell r="F19" t="str">
            <v>A1</v>
          </cell>
          <cell r="G19" t="str">
            <v>- - -</v>
          </cell>
        </row>
        <row r="20">
          <cell r="B20" t="str">
            <v>Thẩm tra viên</v>
          </cell>
          <cell r="C20" t="str">
            <v>03.230</v>
          </cell>
          <cell r="D20">
            <v>2.34</v>
          </cell>
          <cell r="E20">
            <v>0.33</v>
          </cell>
          <cell r="F20" t="str">
            <v>A1</v>
          </cell>
          <cell r="G20" t="str">
            <v>- - -</v>
          </cell>
        </row>
        <row r="21">
          <cell r="B21" t="str">
            <v>Thư viện viên cao cấp</v>
          </cell>
          <cell r="C21" t="str">
            <v>17.168</v>
          </cell>
          <cell r="D21">
            <v>5.75</v>
          </cell>
          <cell r="E21">
            <v>0.36</v>
          </cell>
          <cell r="F21" t="str">
            <v>A3</v>
          </cell>
          <cell r="G21" t="str">
            <v>A3.2</v>
          </cell>
        </row>
        <row r="22">
          <cell r="B22" t="str">
            <v>Thư viện viên chính</v>
          </cell>
          <cell r="C22" t="str">
            <v>17.169</v>
          </cell>
          <cell r="D22">
            <v>4</v>
          </cell>
          <cell r="E22">
            <v>0.34</v>
          </cell>
          <cell r="F22" t="str">
            <v>A2</v>
          </cell>
          <cell r="G22" t="str">
            <v>A2.2</v>
          </cell>
        </row>
        <row r="23">
          <cell r="B23" t="str">
            <v>Thư viện viên</v>
          </cell>
          <cell r="C23" t="str">
            <v>17.170</v>
          </cell>
          <cell r="D23">
            <v>2.34</v>
          </cell>
          <cell r="E23">
            <v>0.33</v>
          </cell>
          <cell r="F23" t="str">
            <v>A1</v>
          </cell>
          <cell r="G23" t="str">
            <v>- - -</v>
          </cell>
        </row>
        <row r="24">
          <cell r="B24" t="str">
            <v>Thư viện viên (cao đẳng)</v>
          </cell>
          <cell r="C24" t="str">
            <v>17a.170</v>
          </cell>
          <cell r="D24">
            <v>2.1</v>
          </cell>
          <cell r="E24">
            <v>0.31</v>
          </cell>
          <cell r="F24" t="str">
            <v>A0</v>
          </cell>
          <cell r="G24" t="str">
            <v>- - -</v>
          </cell>
        </row>
        <row r="25">
          <cell r="B25" t="str">
            <v>Thư viện viên trung cấp</v>
          </cell>
          <cell r="C25" t="str">
            <v>17.171</v>
          </cell>
          <cell r="D25">
            <v>1.86</v>
          </cell>
          <cell r="E25">
            <v>0.2</v>
          </cell>
          <cell r="F25" t="str">
            <v>B</v>
          </cell>
          <cell r="G25" t="str">
            <v>- - -</v>
          </cell>
        </row>
        <row r="26">
          <cell r="B26" t="str">
            <v>Kỹ sư cao cấp</v>
          </cell>
          <cell r="C26" t="str">
            <v>13.093</v>
          </cell>
          <cell r="D26">
            <v>6.2</v>
          </cell>
          <cell r="E26">
            <v>0.36</v>
          </cell>
          <cell r="F26" t="str">
            <v>A3</v>
          </cell>
          <cell r="G26" t="str">
            <v>A3.1</v>
          </cell>
        </row>
        <row r="27">
          <cell r="B27" t="str">
            <v>Kỹ sư chính</v>
          </cell>
          <cell r="C27" t="str">
            <v>13.094</v>
          </cell>
          <cell r="D27">
            <v>4.4000000000000004</v>
          </cell>
          <cell r="E27">
            <v>0.34</v>
          </cell>
          <cell r="F27" t="str">
            <v>A2</v>
          </cell>
          <cell r="G27" t="str">
            <v>A2.1</v>
          </cell>
        </row>
        <row r="28">
          <cell r="B28" t="str">
            <v>Kỹ sư</v>
          </cell>
          <cell r="C28" t="str">
            <v>13.095</v>
          </cell>
          <cell r="D28">
            <v>2.34</v>
          </cell>
          <cell r="E28">
            <v>0.33</v>
          </cell>
          <cell r="F28" t="str">
            <v>A1</v>
          </cell>
          <cell r="G28" t="str">
            <v>- - -</v>
          </cell>
        </row>
        <row r="29">
          <cell r="B29" t="str">
            <v>Kỹ thuật viên</v>
          </cell>
          <cell r="C29" t="str">
            <v>13.096</v>
          </cell>
          <cell r="D29">
            <v>1.86</v>
          </cell>
          <cell r="E29">
            <v>0.2</v>
          </cell>
          <cell r="F29" t="str">
            <v>B</v>
          </cell>
          <cell r="G29" t="str">
            <v>- - -</v>
          </cell>
        </row>
        <row r="30">
          <cell r="B30" t="str">
            <v>Bác sỹ cao cấp</v>
          </cell>
          <cell r="C30" t="str">
            <v>16.116</v>
          </cell>
          <cell r="D30">
            <v>6.2</v>
          </cell>
          <cell r="E30">
            <v>0.36</v>
          </cell>
          <cell r="F30" t="str">
            <v>A3</v>
          </cell>
          <cell r="G30" t="str">
            <v>A3.1</v>
          </cell>
        </row>
        <row r="31">
          <cell r="B31" t="str">
            <v>Bác sỹ chính</v>
          </cell>
          <cell r="C31" t="str">
            <v>16.117</v>
          </cell>
          <cell r="D31">
            <v>4.4000000000000004</v>
          </cell>
          <cell r="E31">
            <v>0.34</v>
          </cell>
          <cell r="F31" t="str">
            <v>A2</v>
          </cell>
          <cell r="G31" t="str">
            <v>A2.1</v>
          </cell>
        </row>
        <row r="32">
          <cell r="B32" t="str">
            <v>Bác sỹ</v>
          </cell>
          <cell r="C32" t="str">
            <v>16.118</v>
          </cell>
          <cell r="D32">
            <v>2.34</v>
          </cell>
          <cell r="E32">
            <v>0.33</v>
          </cell>
          <cell r="F32" t="str">
            <v>A1</v>
          </cell>
          <cell r="G32" t="str">
            <v>- - -</v>
          </cell>
        </row>
        <row r="33">
          <cell r="B33" t="str">
            <v>Y sỹ</v>
          </cell>
          <cell r="C33" t="str">
            <v>16.119</v>
          </cell>
          <cell r="D33">
            <v>1.86</v>
          </cell>
          <cell r="E33">
            <v>0.2</v>
          </cell>
          <cell r="F33" t="str">
            <v>B</v>
          </cell>
          <cell r="G33" t="str">
            <v>- - -</v>
          </cell>
        </row>
        <row r="34">
          <cell r="B34" t="str">
            <v>Biên tập viên cao cấp</v>
          </cell>
          <cell r="C34" t="str">
            <v>17.139</v>
          </cell>
          <cell r="D34">
            <v>6.2</v>
          </cell>
          <cell r="E34">
            <v>0.36</v>
          </cell>
          <cell r="F34" t="str">
            <v>A3</v>
          </cell>
          <cell r="G34" t="str">
            <v>A3.1</v>
          </cell>
        </row>
        <row r="35">
          <cell r="B35" t="str">
            <v>Biên tập viên chính</v>
          </cell>
          <cell r="C35" t="str">
            <v>17.140</v>
          </cell>
          <cell r="D35">
            <v>4.4000000000000004</v>
          </cell>
          <cell r="E35">
            <v>0.34</v>
          </cell>
          <cell r="F35" t="str">
            <v>A2</v>
          </cell>
          <cell r="G35" t="str">
            <v>A2.1</v>
          </cell>
        </row>
        <row r="36">
          <cell r="B36" t="str">
            <v>Biên tập viên</v>
          </cell>
          <cell r="C36" t="str">
            <v>17.141</v>
          </cell>
          <cell r="D36">
            <v>2.34</v>
          </cell>
          <cell r="E36">
            <v>0.33</v>
          </cell>
          <cell r="F36" t="str">
            <v>A1</v>
          </cell>
          <cell r="G36" t="str">
            <v>- - -</v>
          </cell>
        </row>
        <row r="37">
          <cell r="B37" t="str">
            <v>Phóng viên cao cấp</v>
          </cell>
          <cell r="C37" t="str">
            <v>17.142</v>
          </cell>
          <cell r="D37">
            <v>6.2</v>
          </cell>
          <cell r="E37">
            <v>0.36</v>
          </cell>
          <cell r="F37" t="str">
            <v>A3</v>
          </cell>
          <cell r="G37" t="str">
            <v>A3.1</v>
          </cell>
        </row>
        <row r="38">
          <cell r="B38" t="str">
            <v>Phóng viên chính</v>
          </cell>
          <cell r="C38" t="str">
            <v>17.143</v>
          </cell>
          <cell r="D38">
            <v>4.4000000000000004</v>
          </cell>
          <cell r="E38">
            <v>0.34</v>
          </cell>
          <cell r="F38" t="str">
            <v>A2</v>
          </cell>
          <cell r="G38" t="str">
            <v>A2.1</v>
          </cell>
        </row>
        <row r="39">
          <cell r="B39" t="str">
            <v>Phóng viên</v>
          </cell>
          <cell r="C39" t="str">
            <v>17.144</v>
          </cell>
          <cell r="D39">
            <v>2.34</v>
          </cell>
          <cell r="E39">
            <v>0.33</v>
          </cell>
          <cell r="F39" t="str">
            <v>A1</v>
          </cell>
          <cell r="G39" t="str">
            <v>- - -</v>
          </cell>
        </row>
        <row r="40">
          <cell r="B40" t="str">
            <v>Kế toán viên cao cấp</v>
          </cell>
          <cell r="C40" t="str">
            <v>06.029</v>
          </cell>
          <cell r="D40">
            <v>5.75</v>
          </cell>
          <cell r="E40">
            <v>0.36</v>
          </cell>
          <cell r="F40" t="str">
            <v>A3</v>
          </cell>
          <cell r="G40" t="str">
            <v>A3.2</v>
          </cell>
        </row>
        <row r="41">
          <cell r="B41" t="str">
            <v>Kế toán viên chính</v>
          </cell>
          <cell r="C41" t="str">
            <v>06.030</v>
          </cell>
          <cell r="D41">
            <v>4</v>
          </cell>
          <cell r="E41">
            <v>0.34</v>
          </cell>
          <cell r="F41" t="str">
            <v>A2</v>
          </cell>
          <cell r="G41" t="str">
            <v>A2.2</v>
          </cell>
        </row>
        <row r="42">
          <cell r="B42" t="str">
            <v>Kế toán viên</v>
          </cell>
          <cell r="C42" t="str">
            <v>06.031</v>
          </cell>
          <cell r="D42">
            <v>2.34</v>
          </cell>
          <cell r="E42">
            <v>0.33</v>
          </cell>
          <cell r="F42" t="str">
            <v>A1</v>
          </cell>
          <cell r="G42" t="str">
            <v>- - -</v>
          </cell>
        </row>
        <row r="43">
          <cell r="B43" t="str">
            <v>Kế toán viên (cao đẳng)</v>
          </cell>
          <cell r="C43" t="str">
            <v>06a.031</v>
          </cell>
          <cell r="D43">
            <v>2.1</v>
          </cell>
          <cell r="E43">
            <v>0.31</v>
          </cell>
          <cell r="F43" t="str">
            <v>A0</v>
          </cell>
          <cell r="G43" t="str">
            <v>- - -</v>
          </cell>
        </row>
        <row r="44">
          <cell r="B44" t="str">
            <v>Kế toán viên trung cấp</v>
          </cell>
          <cell r="C44" t="str">
            <v>06.032</v>
          </cell>
          <cell r="D44">
            <v>1.86</v>
          </cell>
          <cell r="E44">
            <v>0.2</v>
          </cell>
          <cell r="F44" t="str">
            <v>B</v>
          </cell>
          <cell r="G44" t="str">
            <v>- - -</v>
          </cell>
        </row>
        <row r="45">
          <cell r="B45" t="str">
            <v>Lưu trữ viên</v>
          </cell>
          <cell r="C45" t="str">
            <v>02.014</v>
          </cell>
          <cell r="D45">
            <v>2.34</v>
          </cell>
          <cell r="E45">
            <v>0.33</v>
          </cell>
          <cell r="F45" t="str">
            <v>A1</v>
          </cell>
          <cell r="G45" t="str">
            <v>- - -</v>
          </cell>
        </row>
        <row r="46">
          <cell r="B46" t="str">
            <v>Lưu trữ viên (cao đẳng)</v>
          </cell>
          <cell r="C46" t="str">
            <v>02a.014</v>
          </cell>
          <cell r="D46">
            <v>2.1</v>
          </cell>
          <cell r="E46">
            <v>0.31</v>
          </cell>
          <cell r="F46" t="str">
            <v>A0</v>
          </cell>
          <cell r="G46" t="str">
            <v>- - -</v>
          </cell>
        </row>
        <row r="47">
          <cell r="B47" t="str">
            <v>Lưu trữ viên trung cấp</v>
          </cell>
          <cell r="C47" t="str">
            <v>02.015</v>
          </cell>
          <cell r="D47">
            <v>1.86</v>
          </cell>
          <cell r="E47">
            <v>0.2</v>
          </cell>
          <cell r="F47" t="str">
            <v>B</v>
          </cell>
          <cell r="G47" t="str">
            <v>- - -</v>
          </cell>
        </row>
        <row r="48">
          <cell r="B48" t="str">
            <v>Lái xe cơ quan</v>
          </cell>
          <cell r="C48" t="str">
            <v>01.010</v>
          </cell>
          <cell r="D48">
            <v>2.0499999999999998</v>
          </cell>
          <cell r="E48">
            <v>0.18</v>
          </cell>
          <cell r="F48" t="str">
            <v>C</v>
          </cell>
          <cell r="G48" t="str">
            <v>Nhân viên</v>
          </cell>
        </row>
        <row r="49">
          <cell r="B49" t="str">
            <v>Nhân viên kỹ thuật</v>
          </cell>
          <cell r="C49" t="str">
            <v>01.007</v>
          </cell>
          <cell r="D49">
            <v>1.65</v>
          </cell>
          <cell r="E49">
            <v>0.18</v>
          </cell>
          <cell r="F49" t="str">
            <v>C</v>
          </cell>
          <cell r="G49" t="str">
            <v>Nhân viên</v>
          </cell>
        </row>
        <row r="50">
          <cell r="B50" t="str">
            <v>Nhân viên bảo vệ</v>
          </cell>
          <cell r="C50" t="str">
            <v>01.011</v>
          </cell>
          <cell r="D50">
            <v>1.5</v>
          </cell>
          <cell r="E50">
            <v>0.18</v>
          </cell>
          <cell r="F50" t="str">
            <v>C</v>
          </cell>
          <cell r="G50" t="str">
            <v>Nhân viên</v>
          </cell>
        </row>
        <row r="51">
          <cell r="B51" t="str">
            <v>Kỹ Thuật viên đánh máy</v>
          </cell>
          <cell r="C51" t="str">
            <v>01.005</v>
          </cell>
          <cell r="D51">
            <v>1.5</v>
          </cell>
          <cell r="E51">
            <v>0.18</v>
          </cell>
          <cell r="F51" t="str">
            <v>C</v>
          </cell>
          <cell r="G51" t="str">
            <v>Nhân viên</v>
          </cell>
        </row>
        <row r="52">
          <cell r="B52" t="str">
            <v>Nhân viên đánh máy</v>
          </cell>
          <cell r="C52" t="str">
            <v>01.005</v>
          </cell>
          <cell r="D52">
            <v>1.5</v>
          </cell>
          <cell r="E52">
            <v>0.18</v>
          </cell>
          <cell r="F52" t="str">
            <v>C</v>
          </cell>
          <cell r="G52" t="str">
            <v>Nhân viên</v>
          </cell>
        </row>
        <row r="53">
          <cell r="B53" t="str">
            <v>Nhân viên phục vụ</v>
          </cell>
          <cell r="C53" t="str">
            <v>01.009</v>
          </cell>
          <cell r="D53">
            <v>1</v>
          </cell>
          <cell r="E53">
            <v>0.18</v>
          </cell>
          <cell r="F53" t="str">
            <v>C</v>
          </cell>
          <cell r="G53" t="str">
            <v>Nhân viên</v>
          </cell>
        </row>
        <row r="54">
          <cell r="B54" t="str">
            <v>Thủ kho bảo quản</v>
          </cell>
          <cell r="C54" t="str">
            <v>19.185</v>
          </cell>
          <cell r="D54">
            <v>1.65</v>
          </cell>
          <cell r="E54">
            <v>0.18</v>
          </cell>
          <cell r="F54" t="str">
            <v>C</v>
          </cell>
          <cell r="G54" t="str">
            <v>Nhân viên</v>
          </cell>
        </row>
        <row r="55">
          <cell r="B55" t="str">
            <v>Thủ quỹ</v>
          </cell>
          <cell r="C55" t="str">
            <v>06.035</v>
          </cell>
          <cell r="D55">
            <v>1.5</v>
          </cell>
          <cell r="E55">
            <v>0.18</v>
          </cell>
          <cell r="F55" t="str">
            <v>C</v>
          </cell>
          <cell r="G55" t="str">
            <v>Nhân viên</v>
          </cell>
        </row>
        <row r="56">
          <cell r="B56">
            <v>0</v>
          </cell>
          <cell r="C56">
            <v>0</v>
          </cell>
          <cell r="D56">
            <v>0</v>
          </cell>
          <cell r="E56">
            <v>0</v>
          </cell>
          <cell r="F56">
            <v>0</v>
          </cell>
          <cell r="G56">
            <v>0</v>
          </cell>
        </row>
        <row r="57">
          <cell r="B57">
            <v>0</v>
          </cell>
          <cell r="C57">
            <v>0</v>
          </cell>
          <cell r="D57">
            <v>0</v>
          </cell>
          <cell r="E57">
            <v>0</v>
          </cell>
          <cell r="F57">
            <v>0</v>
          </cell>
          <cell r="G57">
            <v>0</v>
          </cell>
        </row>
        <row r="58">
          <cell r="B58">
            <v>0</v>
          </cell>
          <cell r="C58">
            <v>0</v>
          </cell>
          <cell r="D58">
            <v>0</v>
          </cell>
          <cell r="E58">
            <v>0</v>
          </cell>
          <cell r="F58">
            <v>0</v>
          </cell>
          <cell r="G58">
            <v>0</v>
          </cell>
        </row>
        <row r="59">
          <cell r="B59">
            <v>0</v>
          </cell>
          <cell r="C59">
            <v>0</v>
          </cell>
          <cell r="D59">
            <v>0</v>
          </cell>
          <cell r="E59">
            <v>0</v>
          </cell>
          <cell r="F59">
            <v>0</v>
          </cell>
          <cell r="G59">
            <v>0</v>
          </cell>
        </row>
        <row r="60">
          <cell r="B60">
            <v>0</v>
          </cell>
          <cell r="C60">
            <v>0</v>
          </cell>
          <cell r="D60">
            <v>0</v>
          </cell>
          <cell r="E60">
            <v>0</v>
          </cell>
          <cell r="F60">
            <v>0</v>
          </cell>
          <cell r="G60">
            <v>0</v>
          </cell>
        </row>
        <row r="61">
          <cell r="B61">
            <v>0</v>
          </cell>
          <cell r="C61">
            <v>0</v>
          </cell>
          <cell r="D61">
            <v>0</v>
          </cell>
          <cell r="E61">
            <v>0</v>
          </cell>
          <cell r="F61">
            <v>0</v>
          </cell>
          <cell r="G61">
            <v>0</v>
          </cell>
        </row>
        <row r="62">
          <cell r="B62">
            <v>0</v>
          </cell>
          <cell r="C62">
            <v>0</v>
          </cell>
          <cell r="D62">
            <v>0</v>
          </cell>
          <cell r="E62">
            <v>0</v>
          </cell>
          <cell r="F62">
            <v>0</v>
          </cell>
          <cell r="G62">
            <v>0</v>
          </cell>
        </row>
        <row r="63">
          <cell r="B63">
            <v>0</v>
          </cell>
          <cell r="C63">
            <v>0</v>
          </cell>
          <cell r="D63">
            <v>0</v>
          </cell>
          <cell r="E63">
            <v>0</v>
          </cell>
          <cell r="F63">
            <v>0</v>
          </cell>
          <cell r="G63">
            <v>0</v>
          </cell>
        </row>
        <row r="64">
          <cell r="B64">
            <v>0</v>
          </cell>
          <cell r="C64">
            <v>0</v>
          </cell>
          <cell r="D64">
            <v>0</v>
          </cell>
          <cell r="E64">
            <v>0</v>
          </cell>
          <cell r="F64">
            <v>0</v>
          </cell>
          <cell r="G64">
            <v>0</v>
          </cell>
        </row>
        <row r="65">
          <cell r="B65">
            <v>0</v>
          </cell>
          <cell r="C65">
            <v>0</v>
          </cell>
          <cell r="D65">
            <v>0</v>
          </cell>
          <cell r="E65">
            <v>0</v>
          </cell>
          <cell r="F65">
            <v>0</v>
          </cell>
          <cell r="G65">
            <v>0</v>
          </cell>
        </row>
        <row r="66">
          <cell r="B66">
            <v>0</v>
          </cell>
          <cell r="C66">
            <v>0</v>
          </cell>
          <cell r="D66">
            <v>0</v>
          </cell>
          <cell r="E66">
            <v>0</v>
          </cell>
          <cell r="F66">
            <v>0</v>
          </cell>
          <cell r="G66">
            <v>0</v>
          </cell>
        </row>
        <row r="67">
          <cell r="B67">
            <v>0</v>
          </cell>
          <cell r="C67">
            <v>0</v>
          </cell>
          <cell r="D67">
            <v>0</v>
          </cell>
          <cell r="E67">
            <v>0</v>
          </cell>
          <cell r="F67">
            <v>0</v>
          </cell>
          <cell r="G67">
            <v>0</v>
          </cell>
        </row>
        <row r="68">
          <cell r="B68">
            <v>0</v>
          </cell>
          <cell r="C68">
            <v>0</v>
          </cell>
          <cell r="D68">
            <v>0</v>
          </cell>
          <cell r="E68">
            <v>0</v>
          </cell>
          <cell r="F68">
            <v>0</v>
          </cell>
          <cell r="G68">
            <v>0</v>
          </cell>
        </row>
        <row r="69">
          <cell r="B69">
            <v>0</v>
          </cell>
          <cell r="C69">
            <v>0</v>
          </cell>
          <cell r="D69">
            <v>0</v>
          </cell>
          <cell r="E69">
            <v>0</v>
          </cell>
          <cell r="F69">
            <v>0</v>
          </cell>
          <cell r="G69">
            <v>0</v>
          </cell>
        </row>
        <row r="70">
          <cell r="B70" t="str">
            <v>CHỨC VỤ</v>
          </cell>
          <cell r="C70" t="str">
            <v>PC CV</v>
          </cell>
          <cell r="D70">
            <v>0</v>
          </cell>
          <cell r="E70">
            <v>0</v>
          </cell>
          <cell r="F70">
            <v>0</v>
          </cell>
          <cell r="G70">
            <v>0</v>
          </cell>
        </row>
        <row r="71">
          <cell r="B71" t="str">
            <v>Giám đốc Học viện</v>
          </cell>
          <cell r="C71">
            <v>1.3</v>
          </cell>
          <cell r="D71">
            <v>0</v>
          </cell>
          <cell r="E71">
            <v>0</v>
          </cell>
          <cell r="F71">
            <v>0</v>
          </cell>
          <cell r="G71">
            <v>0</v>
          </cell>
        </row>
        <row r="72">
          <cell r="B72" t="str">
            <v>Nguyên giám đốc Học viện</v>
          </cell>
          <cell r="C72">
            <v>1.3</v>
          </cell>
          <cell r="D72">
            <v>0</v>
          </cell>
          <cell r="E72">
            <v>0</v>
          </cell>
          <cell r="F72">
            <v>0</v>
          </cell>
          <cell r="G72">
            <v>0</v>
          </cell>
        </row>
        <row r="73">
          <cell r="B73" t="str">
            <v>Phó Giám đốc Học viện</v>
          </cell>
          <cell r="C73">
            <v>1.1000000000000001</v>
          </cell>
          <cell r="D73">
            <v>0</v>
          </cell>
          <cell r="E73">
            <v>0</v>
          </cell>
          <cell r="F73">
            <v>0</v>
          </cell>
          <cell r="G73">
            <v>0</v>
          </cell>
        </row>
        <row r="74">
          <cell r="B74" t="str">
            <v>Nguyên Phó giám đốc Học viện</v>
          </cell>
          <cell r="C74">
            <v>1.1000000000000001</v>
          </cell>
          <cell r="D74">
            <v>0</v>
          </cell>
          <cell r="E74">
            <v>0</v>
          </cell>
          <cell r="F74">
            <v>0</v>
          </cell>
          <cell r="G74">
            <v>0</v>
          </cell>
        </row>
        <row r="75">
          <cell r="B75" t="str">
            <v>Giám đốc phân viện</v>
          </cell>
          <cell r="C75" t="str">
            <v>1,2</v>
          </cell>
          <cell r="D75">
            <v>0</v>
          </cell>
          <cell r="E75">
            <v>0</v>
          </cell>
          <cell r="F75">
            <v>0</v>
          </cell>
          <cell r="G75">
            <v>0</v>
          </cell>
        </row>
        <row r="76">
          <cell r="B76" t="str">
            <v>Trưởng khoa</v>
          </cell>
          <cell r="C76" t="str">
            <v>1,0</v>
          </cell>
          <cell r="D76">
            <v>0</v>
          </cell>
          <cell r="E76">
            <v>0</v>
          </cell>
          <cell r="F76">
            <v>0</v>
          </cell>
          <cell r="G76">
            <v>0</v>
          </cell>
        </row>
        <row r="77">
          <cell r="B77" t="str">
            <v>Nguyên Trưởng khoa</v>
          </cell>
          <cell r="C77" t="str">
            <v>1,0</v>
          </cell>
          <cell r="D77">
            <v>0</v>
          </cell>
          <cell r="E77">
            <v>0</v>
          </cell>
          <cell r="F77">
            <v>0</v>
          </cell>
          <cell r="G77">
            <v>0</v>
          </cell>
        </row>
        <row r="78">
          <cell r="B78" t="str">
            <v>Phó Trưởng khoa</v>
          </cell>
          <cell r="C78" t="str">
            <v>0,8</v>
          </cell>
          <cell r="D78">
            <v>0</v>
          </cell>
          <cell r="E78">
            <v>0</v>
          </cell>
          <cell r="F78">
            <v>0</v>
          </cell>
          <cell r="G78">
            <v>0</v>
          </cell>
        </row>
        <row r="79">
          <cell r="B79" t="str">
            <v>Nguyên Phó trưởng khoa</v>
          </cell>
          <cell r="C79" t="str">
            <v>0,8</v>
          </cell>
          <cell r="D79">
            <v>0</v>
          </cell>
          <cell r="E79">
            <v>0</v>
          </cell>
          <cell r="F79">
            <v>0</v>
          </cell>
          <cell r="G79">
            <v>0</v>
          </cell>
        </row>
        <row r="80">
          <cell r="B80" t="str">
            <v>Trưởng ban</v>
          </cell>
          <cell r="C80" t="str">
            <v>1,0</v>
          </cell>
          <cell r="D80">
            <v>0</v>
          </cell>
          <cell r="E80">
            <v>0</v>
          </cell>
          <cell r="F80">
            <v>0</v>
          </cell>
          <cell r="G80">
            <v>0</v>
          </cell>
        </row>
        <row r="81">
          <cell r="B81" t="str">
            <v>Nguyên Trưởng ban</v>
          </cell>
          <cell r="C81" t="str">
            <v>1,0</v>
          </cell>
          <cell r="D81">
            <v>0</v>
          </cell>
          <cell r="E81">
            <v>0</v>
          </cell>
          <cell r="F81">
            <v>0</v>
          </cell>
          <cell r="G81">
            <v>0</v>
          </cell>
        </row>
        <row r="82">
          <cell r="B82" t="str">
            <v>Phó Trưởng ban</v>
          </cell>
          <cell r="C82" t="str">
            <v>0,8</v>
          </cell>
          <cell r="D82">
            <v>0</v>
          </cell>
          <cell r="E82">
            <v>0</v>
          </cell>
          <cell r="F82">
            <v>0</v>
          </cell>
          <cell r="G82">
            <v>0</v>
          </cell>
        </row>
        <row r="83">
          <cell r="B83" t="str">
            <v>Phó Trưởng ban (PT)</v>
          </cell>
          <cell r="C83" t="str">
            <v>0,8</v>
          </cell>
          <cell r="D83">
            <v>0</v>
          </cell>
          <cell r="E83">
            <v>0</v>
          </cell>
          <cell r="F83">
            <v>0</v>
          </cell>
          <cell r="G83">
            <v>0</v>
          </cell>
        </row>
        <row r="84">
          <cell r="B84" t="str">
            <v>Nguyên Phó trưởng ban</v>
          </cell>
          <cell r="C84" t="str">
            <v>0,8</v>
          </cell>
          <cell r="D84">
            <v>0</v>
          </cell>
          <cell r="E84">
            <v>0</v>
          </cell>
          <cell r="F84">
            <v>0</v>
          </cell>
          <cell r="G84">
            <v>0</v>
          </cell>
        </row>
        <row r="85">
          <cell r="B85" t="str">
            <v>Trưởng phòng</v>
          </cell>
          <cell r="C85" t="str">
            <v>0,6</v>
          </cell>
          <cell r="D85">
            <v>0</v>
          </cell>
          <cell r="E85">
            <v>0</v>
          </cell>
          <cell r="F85">
            <v>0</v>
          </cell>
          <cell r="G85">
            <v>0</v>
          </cell>
        </row>
        <row r="86">
          <cell r="B86" t="str">
            <v>Q. Trưởng phòng</v>
          </cell>
          <cell r="C86" t="str">
            <v>0,6</v>
          </cell>
          <cell r="D86">
            <v>0</v>
          </cell>
          <cell r="E86">
            <v>0</v>
          </cell>
          <cell r="F86">
            <v>0</v>
          </cell>
          <cell r="G86">
            <v>0</v>
          </cell>
        </row>
        <row r="87">
          <cell r="B87" t="str">
            <v>Phó Trưởng phòng</v>
          </cell>
          <cell r="C87" t="str">
            <v>0,4</v>
          </cell>
          <cell r="D87">
            <v>0</v>
          </cell>
          <cell r="E87">
            <v>0</v>
          </cell>
          <cell r="F87">
            <v>0</v>
          </cell>
          <cell r="G87">
            <v>0</v>
          </cell>
        </row>
        <row r="88">
          <cell r="B88" t="str">
            <v>Phó Trưởng phòng (PT)</v>
          </cell>
          <cell r="C88" t="str">
            <v>0,4</v>
          </cell>
          <cell r="D88">
            <v>0</v>
          </cell>
          <cell r="E88">
            <v>0</v>
          </cell>
          <cell r="F88">
            <v>0</v>
          </cell>
          <cell r="G88">
            <v>0</v>
          </cell>
        </row>
        <row r="89">
          <cell r="B89" t="str">
            <v>Trưởng bộ môn</v>
          </cell>
          <cell r="C89" t="str">
            <v>0,6</v>
          </cell>
          <cell r="D89">
            <v>0</v>
          </cell>
          <cell r="E89">
            <v>0</v>
          </cell>
          <cell r="F89">
            <v>0</v>
          </cell>
          <cell r="G89">
            <v>0</v>
          </cell>
        </row>
        <row r="90">
          <cell r="B90" t="str">
            <v>Phó Trưởng bộ môn</v>
          </cell>
          <cell r="C90" t="str">
            <v>0,4</v>
          </cell>
          <cell r="D90">
            <v>0</v>
          </cell>
          <cell r="E90">
            <v>0</v>
          </cell>
          <cell r="F90">
            <v>0</v>
          </cell>
          <cell r="G90">
            <v>0</v>
          </cell>
        </row>
        <row r="91">
          <cell r="B91" t="str">
            <v>Tổng Biên tập</v>
          </cell>
          <cell r="C91" t="str">
            <v>1,0</v>
          </cell>
          <cell r="D91">
            <v>0</v>
          </cell>
          <cell r="E91">
            <v>0</v>
          </cell>
          <cell r="F91">
            <v>0</v>
          </cell>
          <cell r="G91">
            <v>0</v>
          </cell>
        </row>
        <row r="92">
          <cell r="B92" t="str">
            <v>Phó Tổng biên tập</v>
          </cell>
          <cell r="C92" t="str">
            <v>0,8</v>
          </cell>
          <cell r="D92">
            <v>0</v>
          </cell>
          <cell r="E92">
            <v>0</v>
          </cell>
          <cell r="F92">
            <v>0</v>
          </cell>
          <cell r="G92">
            <v>0</v>
          </cell>
        </row>
        <row r="93">
          <cell r="B93" t="str">
            <v>Trưởng ban (TC QLNN)</v>
          </cell>
          <cell r="C93" t="str">
            <v>0,6</v>
          </cell>
          <cell r="D93">
            <v>0</v>
          </cell>
          <cell r="E93">
            <v>0</v>
          </cell>
          <cell r="F93">
            <v>0</v>
          </cell>
          <cell r="G93">
            <v>0</v>
          </cell>
        </row>
        <row r="94">
          <cell r="B94" t="str">
            <v>Trưởng Ban Biên tập</v>
          </cell>
          <cell r="C94" t="str">
            <v>0,6</v>
          </cell>
          <cell r="D94">
            <v>0</v>
          </cell>
          <cell r="E94">
            <v>0</v>
          </cell>
          <cell r="F94">
            <v>0</v>
          </cell>
          <cell r="G94">
            <v>0</v>
          </cell>
        </row>
        <row r="95">
          <cell r="B95" t="str">
            <v>Phó Trưởng ban (TC QLNN)</v>
          </cell>
          <cell r="C95" t="str">
            <v>0,4</v>
          </cell>
          <cell r="D95">
            <v>0</v>
          </cell>
          <cell r="E95">
            <v>0</v>
          </cell>
          <cell r="F95">
            <v>0</v>
          </cell>
          <cell r="G95">
            <v>0</v>
          </cell>
        </row>
        <row r="96">
          <cell r="B96" t="str">
            <v>Phó Trưởng ban (TC QLNN)</v>
          </cell>
          <cell r="C96" t="str">
            <v>0,4</v>
          </cell>
          <cell r="D96">
            <v>0</v>
          </cell>
          <cell r="E96">
            <v>0</v>
          </cell>
          <cell r="F96">
            <v>0</v>
          </cell>
          <cell r="G96">
            <v>0</v>
          </cell>
        </row>
        <row r="97">
          <cell r="B97" t="str">
            <v>Viện Trưởng</v>
          </cell>
          <cell r="C97" t="str">
            <v>1,0</v>
          </cell>
          <cell r="D97">
            <v>0</v>
          </cell>
          <cell r="E97">
            <v>0</v>
          </cell>
          <cell r="F97">
            <v>0</v>
          </cell>
          <cell r="G97">
            <v>0</v>
          </cell>
        </row>
        <row r="98">
          <cell r="B98" t="str">
            <v>Nguyên Viện Trưởng</v>
          </cell>
          <cell r="C98" t="str">
            <v>1,0</v>
          </cell>
          <cell r="D98">
            <v>0</v>
          </cell>
          <cell r="E98">
            <v>0</v>
          </cell>
          <cell r="F98">
            <v>0</v>
          </cell>
          <cell r="G98">
            <v>0</v>
          </cell>
        </row>
        <row r="99">
          <cell r="B99" t="str">
            <v>Phó Viện Trưởng</v>
          </cell>
          <cell r="C99" t="str">
            <v>0,8</v>
          </cell>
          <cell r="D99">
            <v>0</v>
          </cell>
          <cell r="E99">
            <v>0</v>
          </cell>
          <cell r="F99">
            <v>0</v>
          </cell>
          <cell r="G99">
            <v>0</v>
          </cell>
        </row>
        <row r="100">
          <cell r="B100" t="str">
            <v>Nguyên Phó Viện Trưởng</v>
          </cell>
          <cell r="C100" t="str">
            <v>0,8</v>
          </cell>
          <cell r="D100">
            <v>0</v>
          </cell>
          <cell r="E100">
            <v>0</v>
          </cell>
          <cell r="F100">
            <v>0</v>
          </cell>
          <cell r="G100">
            <v>0</v>
          </cell>
        </row>
        <row r="101">
          <cell r="B101" t="str">
            <v>Chủ nhiệm TV</v>
          </cell>
          <cell r="C101" t="str">
            <v>0,6</v>
          </cell>
          <cell r="D101">
            <v>0</v>
          </cell>
          <cell r="E101">
            <v>0</v>
          </cell>
          <cell r="F101">
            <v>0</v>
          </cell>
          <cell r="G101">
            <v>0</v>
          </cell>
        </row>
        <row r="102">
          <cell r="B102" t="str">
            <v>Phó Chủ nhiệm TV</v>
          </cell>
          <cell r="C102" t="str">
            <v>0,4</v>
          </cell>
          <cell r="D102">
            <v>0</v>
          </cell>
          <cell r="E102">
            <v>0</v>
          </cell>
          <cell r="F102">
            <v>0</v>
          </cell>
          <cell r="G102">
            <v>0</v>
          </cell>
        </row>
        <row r="103">
          <cell r="B103" t="str">
            <v>Giám đốc (cấp vụ)</v>
          </cell>
          <cell r="C103" t="str">
            <v>1,0</v>
          </cell>
          <cell r="D103">
            <v>0</v>
          </cell>
          <cell r="E103">
            <v>0</v>
          </cell>
          <cell r="F103">
            <v>0</v>
          </cell>
          <cell r="G103">
            <v>0</v>
          </cell>
        </row>
        <row r="104">
          <cell r="B104" t="str">
            <v>Phó Giám đốc (cấp vụ)</v>
          </cell>
          <cell r="C104" t="str">
            <v>0,8</v>
          </cell>
          <cell r="D104">
            <v>0</v>
          </cell>
          <cell r="E104">
            <v>0</v>
          </cell>
          <cell r="F104">
            <v>0</v>
          </cell>
          <cell r="G104">
            <v>0</v>
          </cell>
        </row>
        <row r="105">
          <cell r="B105" t="str">
            <v>Giám đốc (cấp phòng)</v>
          </cell>
          <cell r="C105">
            <v>0.6</v>
          </cell>
          <cell r="D105">
            <v>0</v>
          </cell>
          <cell r="E105">
            <v>0</v>
          </cell>
          <cell r="F105">
            <v>0</v>
          </cell>
          <cell r="G105">
            <v>0</v>
          </cell>
        </row>
        <row r="106">
          <cell r="B106" t="str">
            <v>Phó Giám đốc (cấp phòng)</v>
          </cell>
          <cell r="C106" t="str">
            <v>0,4</v>
          </cell>
          <cell r="D106">
            <v>0</v>
          </cell>
          <cell r="E106">
            <v>0</v>
          </cell>
          <cell r="F106">
            <v>0</v>
          </cell>
          <cell r="G106">
            <v>0</v>
          </cell>
        </row>
        <row r="107">
          <cell r="B107" t="str">
            <v>Chánh văn phòng</v>
          </cell>
          <cell r="C107" t="str">
            <v>1,0</v>
          </cell>
          <cell r="D107">
            <v>0</v>
          </cell>
          <cell r="E107">
            <v>0</v>
          </cell>
          <cell r="F107">
            <v>0</v>
          </cell>
          <cell r="G107">
            <v>0</v>
          </cell>
        </row>
        <row r="108">
          <cell r="B108" t="str">
            <v>Phó Chánh văn phòng</v>
          </cell>
          <cell r="C108" t="str">
            <v>0,8</v>
          </cell>
          <cell r="D108">
            <v>0</v>
          </cell>
          <cell r="E108">
            <v>0</v>
          </cell>
          <cell r="F108">
            <v>0</v>
          </cell>
          <cell r="G108">
            <v>0</v>
          </cell>
        </row>
        <row r="109">
          <cell r="B109" t="str">
            <v>Đội Trưởng</v>
          </cell>
          <cell r="C109" t="str">
            <v>0,6</v>
          </cell>
          <cell r="D109">
            <v>0</v>
          </cell>
          <cell r="E109">
            <v>0</v>
          </cell>
          <cell r="F109">
            <v>0</v>
          </cell>
          <cell r="G109">
            <v>0</v>
          </cell>
        </row>
        <row r="110">
          <cell r="B110" t="str">
            <v>Đội Phó</v>
          </cell>
          <cell r="C110" t="str">
            <v>0,4</v>
          </cell>
          <cell r="D110">
            <v>0</v>
          </cell>
          <cell r="E110">
            <v>0</v>
          </cell>
          <cell r="F110">
            <v>0</v>
          </cell>
          <cell r="G110">
            <v>0</v>
          </cell>
        </row>
        <row r="111">
          <cell r="B111">
            <v>0</v>
          </cell>
          <cell r="C111">
            <v>0</v>
          </cell>
          <cell r="D111">
            <v>0</v>
          </cell>
          <cell r="E111">
            <v>0</v>
          </cell>
          <cell r="F111">
            <v>0</v>
          </cell>
          <cell r="G111">
            <v>0</v>
          </cell>
        </row>
        <row r="112">
          <cell r="B112">
            <v>0</v>
          </cell>
          <cell r="C112">
            <v>0</v>
          </cell>
          <cell r="D112">
            <v>0</v>
          </cell>
          <cell r="E112">
            <v>0</v>
          </cell>
          <cell r="F112">
            <v>0</v>
          </cell>
          <cell r="G112">
            <v>0</v>
          </cell>
        </row>
        <row r="113">
          <cell r="B113">
            <v>0</v>
          </cell>
          <cell r="C113">
            <v>0</v>
          </cell>
          <cell r="D113">
            <v>0</v>
          </cell>
          <cell r="E113">
            <v>0</v>
          </cell>
          <cell r="F113">
            <v>0</v>
          </cell>
          <cell r="G113">
            <v>0</v>
          </cell>
        </row>
        <row r="114">
          <cell r="C114">
            <v>0</v>
          </cell>
          <cell r="D114">
            <v>0</v>
          </cell>
          <cell r="E114">
            <v>0</v>
          </cell>
          <cell r="F114">
            <v>0</v>
          </cell>
        </row>
        <row r="115">
          <cell r="C115">
            <v>0</v>
          </cell>
          <cell r="D115">
            <v>0</v>
          </cell>
          <cell r="E115">
            <v>0</v>
          </cell>
          <cell r="F115">
            <v>0</v>
          </cell>
        </row>
        <row r="116">
          <cell r="C116">
            <v>0</v>
          </cell>
          <cell r="D116">
            <v>0</v>
          </cell>
          <cell r="E116">
            <v>0</v>
          </cell>
          <cell r="F116">
            <v>0</v>
          </cell>
        </row>
        <row r="117">
          <cell r="C117">
            <v>0</v>
          </cell>
          <cell r="D117">
            <v>0</v>
          </cell>
          <cell r="E117">
            <v>0</v>
          </cell>
          <cell r="F117">
            <v>0</v>
          </cell>
        </row>
        <row r="118">
          <cell r="C118">
            <v>0</v>
          </cell>
          <cell r="D118">
            <v>0</v>
          </cell>
          <cell r="E118">
            <v>0</v>
          </cell>
          <cell r="F118">
            <v>0</v>
          </cell>
        </row>
        <row r="119">
          <cell r="C119">
            <v>0</v>
          </cell>
          <cell r="D119">
            <v>0</v>
          </cell>
          <cell r="E119">
            <v>0</v>
          </cell>
          <cell r="F119">
            <v>0</v>
          </cell>
        </row>
        <row r="120">
          <cell r="C120">
            <v>0</v>
          </cell>
          <cell r="D120">
            <v>0</v>
          </cell>
          <cell r="E120">
            <v>0</v>
          </cell>
          <cell r="F120">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53"/>
  <sheetViews>
    <sheetView topLeftCell="B13" workbookViewId="0">
      <selection activeCell="BJ9" sqref="BJ9"/>
    </sheetView>
  </sheetViews>
  <sheetFormatPr defaultRowHeight="15" x14ac:dyDescent="0.25"/>
  <cols>
    <col min="1" max="1" width="9.140625" hidden="1" customWidth="1"/>
    <col min="2" max="2" width="5" customWidth="1"/>
    <col min="3" max="3" width="9.140625" hidden="1" customWidth="1"/>
    <col min="4" max="4" width="21.28515625" customWidth="1"/>
    <col min="5" max="5" width="6.28515625" customWidth="1"/>
    <col min="6" max="13" width="9.140625" hidden="1" customWidth="1"/>
    <col min="14" max="14" width="16.28515625" customWidth="1"/>
    <col min="15" max="15" width="21.140625" customWidth="1"/>
    <col min="16" max="18" width="9.140625" hidden="1" customWidth="1"/>
    <col min="19" max="19" width="13.7109375" customWidth="1"/>
    <col min="20" max="20" width="9.85546875" customWidth="1"/>
    <col min="21" max="22" width="9.140625" hidden="1" customWidth="1"/>
    <col min="23" max="23" width="1.7109375" hidden="1" customWidth="1"/>
    <col min="24" max="24" width="3.28515625" customWidth="1"/>
    <col min="25" max="25" width="1.28515625" customWidth="1"/>
    <col min="26" max="26" width="3.42578125" customWidth="1"/>
    <col min="27" max="27" width="5.42578125" customWidth="1"/>
    <col min="28" max="28" width="3" customWidth="1"/>
    <col min="29" max="29" width="2.140625" customWidth="1"/>
    <col min="30" max="30" width="3" customWidth="1"/>
    <col min="31" max="31" width="5.85546875" customWidth="1"/>
    <col min="32" max="32" width="3" customWidth="1"/>
    <col min="33" max="33" width="1.7109375" customWidth="1"/>
    <col min="34" max="34" width="3.42578125" customWidth="1"/>
    <col min="35" max="35" width="1" customWidth="1"/>
    <col min="36" max="36" width="4.85546875" customWidth="1"/>
    <col min="37" max="37" width="0.140625" hidden="1" customWidth="1"/>
    <col min="38" max="50" width="9.140625" hidden="1" customWidth="1"/>
    <col min="51" max="51" width="0.140625" hidden="1" customWidth="1"/>
    <col min="52" max="59" width="9.140625" hidden="1" customWidth="1"/>
    <col min="60" max="60" width="6.42578125" customWidth="1"/>
    <col min="61" max="61" width="10.140625" customWidth="1"/>
    <col min="62" max="62" width="7.28515625" customWidth="1"/>
    <col min="63" max="63" width="7.42578125" customWidth="1"/>
    <col min="64" max="64" width="7.85546875" customWidth="1"/>
    <col min="65" max="70" width="9.140625" customWidth="1"/>
    <col min="71" max="71" width="16.42578125" customWidth="1"/>
  </cols>
  <sheetData>
    <row r="1" spans="1:126" s="4" customFormat="1" ht="16.5" x14ac:dyDescent="0.3">
      <c r="A1" s="1"/>
      <c r="B1" s="433" t="s">
        <v>0</v>
      </c>
      <c r="C1" s="433"/>
      <c r="D1" s="433"/>
      <c r="E1" s="433"/>
      <c r="F1" s="433"/>
      <c r="G1" s="433"/>
      <c r="H1" s="433"/>
      <c r="I1" s="433"/>
      <c r="J1" s="433"/>
      <c r="K1" s="433"/>
      <c r="L1" s="433"/>
      <c r="M1" s="433"/>
      <c r="N1" s="433"/>
      <c r="O1" s="2"/>
      <c r="P1" s="3"/>
      <c r="Q1" s="3"/>
      <c r="R1" s="3"/>
      <c r="S1" s="434" t="s">
        <v>1</v>
      </c>
      <c r="T1" s="434"/>
      <c r="U1" s="434"/>
      <c r="V1" s="434"/>
      <c r="W1" s="434"/>
      <c r="X1" s="434"/>
      <c r="Y1" s="434"/>
      <c r="Z1" s="434"/>
      <c r="AA1" s="434"/>
      <c r="AB1" s="434"/>
      <c r="AC1" s="434"/>
      <c r="AD1" s="434"/>
      <c r="AE1" s="434"/>
      <c r="AF1" s="3"/>
      <c r="AG1" s="3"/>
      <c r="AH1" s="3"/>
      <c r="AI1" s="3"/>
      <c r="AJ1" s="3"/>
      <c r="AK1" s="3"/>
    </row>
    <row r="2" spans="1:126" s="4" customFormat="1" ht="16.5" x14ac:dyDescent="0.3">
      <c r="A2" s="1"/>
      <c r="B2" s="434" t="s">
        <v>2</v>
      </c>
      <c r="C2" s="434"/>
      <c r="D2" s="434"/>
      <c r="E2" s="434"/>
      <c r="F2" s="434"/>
      <c r="G2" s="434"/>
      <c r="H2" s="434"/>
      <c r="I2" s="434"/>
      <c r="J2" s="434"/>
      <c r="K2" s="434"/>
      <c r="L2" s="434"/>
      <c r="M2" s="434"/>
      <c r="N2" s="434"/>
      <c r="O2" s="5"/>
      <c r="P2" s="3"/>
      <c r="Q2" s="3"/>
      <c r="R2" s="3"/>
      <c r="S2" s="435" t="s">
        <v>3</v>
      </c>
      <c r="T2" s="435"/>
      <c r="U2" s="435"/>
      <c r="V2" s="435"/>
      <c r="W2" s="435"/>
      <c r="X2" s="435"/>
      <c r="Y2" s="435"/>
      <c r="Z2" s="435"/>
      <c r="AA2" s="435"/>
      <c r="AB2" s="435"/>
      <c r="AC2" s="435"/>
      <c r="AD2" s="435"/>
      <c r="AE2" s="435"/>
      <c r="AF2" s="3"/>
      <c r="AG2" s="3"/>
      <c r="AH2" s="3"/>
      <c r="AI2" s="3"/>
      <c r="AJ2" s="3"/>
      <c r="AK2" s="3"/>
    </row>
    <row r="3" spans="1:126" s="11" customFormat="1" ht="22.5" customHeight="1" x14ac:dyDescent="0.3">
      <c r="A3" s="6"/>
      <c r="B3" s="6"/>
      <c r="C3" s="6"/>
      <c r="D3" s="7"/>
      <c r="E3" s="6"/>
      <c r="F3" s="6"/>
      <c r="G3" s="6"/>
      <c r="H3" s="6"/>
      <c r="I3" s="6"/>
      <c r="J3" s="6"/>
      <c r="K3" s="6"/>
      <c r="L3" s="6"/>
      <c r="M3" s="6"/>
      <c r="N3" s="7"/>
      <c r="O3" s="8"/>
      <c r="P3" s="9"/>
      <c r="Q3" s="9"/>
      <c r="R3" s="9"/>
      <c r="S3" s="436" t="s">
        <v>294</v>
      </c>
      <c r="T3" s="436"/>
      <c r="U3" s="436"/>
      <c r="V3" s="436"/>
      <c r="W3" s="436"/>
      <c r="X3" s="436"/>
      <c r="Y3" s="436"/>
      <c r="Z3" s="436"/>
      <c r="AA3" s="436"/>
      <c r="AB3" s="436"/>
      <c r="AC3" s="436"/>
      <c r="AD3" s="436"/>
      <c r="AE3" s="436"/>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I3" s="10"/>
    </row>
    <row r="4" spans="1:126" s="11" customFormat="1" ht="35.25" customHeight="1" x14ac:dyDescent="0.3">
      <c r="A4" s="432" t="s">
        <v>296</v>
      </c>
      <c r="B4" s="432"/>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2"/>
      <c r="AI4" s="432"/>
      <c r="AJ4" s="432"/>
      <c r="AK4" s="432"/>
      <c r="AL4" s="432"/>
      <c r="AM4" s="432"/>
      <c r="AN4" s="432"/>
      <c r="AO4" s="432"/>
      <c r="AP4" s="432"/>
      <c r="AQ4" s="432"/>
      <c r="AR4" s="432"/>
      <c r="AS4" s="432"/>
      <c r="AT4" s="432"/>
      <c r="AU4" s="432"/>
      <c r="AV4" s="432"/>
      <c r="AW4" s="432"/>
      <c r="AX4" s="432"/>
      <c r="AY4" s="432"/>
      <c r="AZ4" s="432"/>
      <c r="BA4" s="432"/>
      <c r="BB4" s="432"/>
      <c r="BC4" s="432"/>
      <c r="BD4" s="432"/>
      <c r="BE4" s="432"/>
      <c r="BF4" s="432"/>
      <c r="BG4" s="432"/>
      <c r="BH4" s="432"/>
    </row>
    <row r="5" spans="1:126" s="17" customFormat="1" ht="4.5" customHeight="1" x14ac:dyDescent="0.25">
      <c r="A5" s="432"/>
      <c r="B5" s="432"/>
      <c r="C5" s="432"/>
      <c r="D5" s="432"/>
      <c r="E5" s="432"/>
      <c r="F5" s="432"/>
      <c r="G5" s="432"/>
      <c r="H5" s="432"/>
      <c r="I5" s="432"/>
      <c r="J5" s="432"/>
      <c r="K5" s="432"/>
      <c r="L5" s="432"/>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32"/>
      <c r="AL5" s="432"/>
      <c r="AM5" s="432"/>
      <c r="AN5" s="432"/>
      <c r="AO5" s="432"/>
      <c r="AP5" s="432"/>
      <c r="AQ5" s="432"/>
      <c r="AR5" s="432"/>
      <c r="AS5" s="432"/>
      <c r="AT5" s="432"/>
      <c r="AU5" s="432"/>
      <c r="AV5" s="432"/>
      <c r="AW5" s="432"/>
      <c r="AX5" s="432"/>
      <c r="AY5" s="432"/>
      <c r="AZ5" s="432"/>
      <c r="BA5" s="432"/>
      <c r="BB5" s="432"/>
      <c r="BC5" s="432"/>
      <c r="BD5" s="432"/>
      <c r="BE5" s="432"/>
      <c r="BF5" s="432"/>
      <c r="BG5" s="432"/>
      <c r="BH5" s="432"/>
      <c r="BI5" s="12"/>
      <c r="BJ5" s="13"/>
      <c r="BK5" s="14"/>
      <c r="BL5" s="14"/>
      <c r="BM5" s="15"/>
      <c r="BN5" s="16"/>
      <c r="BP5" s="13"/>
      <c r="BQ5" s="13"/>
      <c r="BR5" s="13"/>
      <c r="BS5" s="13"/>
      <c r="BU5" s="18"/>
      <c r="BV5" s="19"/>
      <c r="BW5" s="20"/>
    </row>
    <row r="6" spans="1:126" s="5" customFormat="1" ht="5.25" hidden="1" customHeight="1" x14ac:dyDescent="0.3">
      <c r="A6" s="21"/>
      <c r="B6" s="22"/>
      <c r="C6" s="21"/>
      <c r="D6" s="23" t="s">
        <v>4</v>
      </c>
      <c r="E6" s="22" t="e">
        <f>#REF!+#REF!</f>
        <v>#REF!</v>
      </c>
      <c r="F6" s="23"/>
      <c r="G6" s="24"/>
      <c r="H6" s="24"/>
      <c r="I6" s="24"/>
      <c r="J6" s="25"/>
      <c r="K6" s="25" t="s">
        <v>5</v>
      </c>
      <c r="L6" s="25"/>
      <c r="M6" s="25"/>
      <c r="N6" s="26" t="s">
        <v>5</v>
      </c>
      <c r="O6" s="26"/>
      <c r="P6" s="27"/>
      <c r="Q6" s="27"/>
      <c r="R6" s="27"/>
      <c r="S6" s="28"/>
      <c r="T6" s="29"/>
      <c r="U6" s="30"/>
      <c r="V6" s="31"/>
      <c r="W6" s="31"/>
      <c r="X6" s="32"/>
      <c r="Y6" s="33"/>
      <c r="Z6" s="34"/>
      <c r="AA6" s="35"/>
      <c r="AB6" s="36"/>
      <c r="AC6" s="37"/>
      <c r="AD6" s="34"/>
      <c r="AE6" s="35"/>
      <c r="AF6" s="437"/>
      <c r="AG6" s="437"/>
      <c r="AH6" s="437"/>
      <c r="AI6" s="437"/>
      <c r="AJ6" s="437"/>
      <c r="AK6" s="38"/>
      <c r="AL6" s="39"/>
      <c r="AM6" s="40"/>
      <c r="AN6" s="24"/>
      <c r="AO6" s="33"/>
      <c r="AP6" s="41"/>
      <c r="AQ6" s="42"/>
      <c r="AR6" s="43"/>
      <c r="AS6" s="44"/>
      <c r="AT6" s="45"/>
      <c r="AU6" s="35"/>
      <c r="AV6" s="37"/>
      <c r="AW6" s="43"/>
      <c r="AX6" s="35"/>
      <c r="AY6" s="43"/>
      <c r="AZ6" s="46"/>
      <c r="BA6" s="47"/>
      <c r="BB6" s="48"/>
      <c r="BC6" s="48"/>
      <c r="BD6" s="49"/>
      <c r="BE6" s="49"/>
      <c r="BF6" s="35"/>
      <c r="BG6" s="50"/>
      <c r="BH6" s="51"/>
      <c r="BI6" s="52"/>
      <c r="BJ6" s="53"/>
      <c r="BK6" s="14"/>
      <c r="BL6" s="14"/>
      <c r="BM6" s="15"/>
      <c r="BN6" s="54"/>
      <c r="BP6" s="53"/>
      <c r="BQ6" s="53"/>
      <c r="BR6" s="53"/>
      <c r="BS6" s="53"/>
      <c r="BU6" s="55"/>
      <c r="BV6" s="56"/>
      <c r="BW6" s="57"/>
    </row>
    <row r="7" spans="1:126" s="90" customFormat="1" ht="16.5" x14ac:dyDescent="0.25">
      <c r="A7" s="58"/>
      <c r="B7" s="59" t="s">
        <v>55</v>
      </c>
      <c r="C7" s="58"/>
      <c r="D7" s="60"/>
      <c r="E7" s="61"/>
      <c r="F7" s="62"/>
      <c r="G7" s="60"/>
      <c r="H7" s="60"/>
      <c r="I7" s="60"/>
      <c r="J7" s="63"/>
      <c r="K7" s="63"/>
      <c r="L7" s="63"/>
      <c r="M7" s="63"/>
      <c r="N7" s="59"/>
      <c r="O7" s="59"/>
      <c r="P7" s="64"/>
      <c r="Q7" s="64"/>
      <c r="R7" s="64"/>
      <c r="S7" s="65"/>
      <c r="T7" s="66"/>
      <c r="U7" s="67"/>
      <c r="V7" s="66"/>
      <c r="W7" s="66"/>
      <c r="X7" s="60"/>
      <c r="Y7" s="68"/>
      <c r="Z7" s="69"/>
      <c r="AA7" s="70"/>
      <c r="AB7" s="71"/>
      <c r="AC7" s="68"/>
      <c r="AD7" s="69"/>
      <c r="AE7" s="70"/>
      <c r="AF7" s="72"/>
      <c r="AG7" s="61"/>
      <c r="AH7" s="61"/>
      <c r="AI7" s="73"/>
      <c r="AJ7" s="74"/>
      <c r="AK7" s="75"/>
      <c r="AL7" s="76"/>
      <c r="AM7" s="77"/>
      <c r="AN7" s="60"/>
      <c r="AO7" s="68"/>
      <c r="AP7" s="78"/>
      <c r="AQ7" s="79"/>
      <c r="AR7" s="80"/>
      <c r="AS7" s="60"/>
      <c r="AT7" s="81"/>
      <c r="AU7" s="70"/>
      <c r="AV7" s="68"/>
      <c r="AW7" s="80"/>
      <c r="AX7" s="70"/>
      <c r="AY7" s="82"/>
      <c r="AZ7" s="83"/>
      <c r="BA7" s="84"/>
      <c r="BB7" s="68"/>
      <c r="BC7" s="68"/>
      <c r="BD7" s="85"/>
      <c r="BE7" s="85"/>
      <c r="BF7" s="81"/>
      <c r="BG7" s="71"/>
      <c r="BH7" s="86"/>
      <c r="BI7" s="86"/>
      <c r="BJ7" s="87"/>
      <c r="BK7" s="88"/>
      <c r="BL7" s="88"/>
      <c r="BM7" s="88"/>
      <c r="BN7" s="89"/>
      <c r="BP7" s="87"/>
      <c r="BQ7" s="87"/>
      <c r="BR7" s="87"/>
      <c r="BS7" s="87"/>
      <c r="BV7" s="91"/>
      <c r="BW7" s="86"/>
    </row>
    <row r="8" spans="1:126" s="90" customFormat="1" ht="16.5" x14ac:dyDescent="0.25">
      <c r="A8" s="58"/>
      <c r="B8" s="59"/>
      <c r="C8" s="58"/>
      <c r="D8" s="63" t="s">
        <v>91</v>
      </c>
      <c r="E8" s="61"/>
      <c r="F8" s="62"/>
      <c r="G8" s="60"/>
      <c r="H8" s="60"/>
      <c r="I8" s="60"/>
      <c r="J8" s="63"/>
      <c r="K8" s="63"/>
      <c r="L8" s="63"/>
      <c r="M8" s="63"/>
      <c r="N8" s="59"/>
      <c r="O8" s="59"/>
      <c r="P8" s="64"/>
      <c r="Q8" s="64"/>
      <c r="R8" s="64"/>
      <c r="S8" s="65"/>
      <c r="T8" s="66"/>
      <c r="U8" s="67"/>
      <c r="V8" s="66"/>
      <c r="W8" s="66"/>
      <c r="X8" s="60"/>
      <c r="Y8" s="68"/>
      <c r="Z8" s="69"/>
      <c r="AA8" s="70"/>
      <c r="AB8" s="71"/>
      <c r="AC8" s="68"/>
      <c r="AD8" s="69"/>
      <c r="AE8" s="70"/>
      <c r="AF8" s="72"/>
      <c r="AG8" s="61"/>
      <c r="AH8" s="61"/>
      <c r="AI8" s="73"/>
      <c r="AJ8" s="74"/>
      <c r="AK8" s="75"/>
      <c r="AL8" s="76"/>
      <c r="AM8" s="77"/>
      <c r="AN8" s="60"/>
      <c r="AO8" s="68"/>
      <c r="AP8" s="78"/>
      <c r="AQ8" s="79"/>
      <c r="AR8" s="80"/>
      <c r="AS8" s="60"/>
      <c r="AT8" s="81"/>
      <c r="AU8" s="70"/>
      <c r="AV8" s="68"/>
      <c r="AW8" s="80"/>
      <c r="AX8" s="70"/>
      <c r="AY8" s="82"/>
      <c r="AZ8" s="83"/>
      <c r="BA8" s="84"/>
      <c r="BB8" s="68"/>
      <c r="BC8" s="68"/>
      <c r="BD8" s="85"/>
      <c r="BE8" s="85"/>
      <c r="BF8" s="81"/>
      <c r="BG8" s="71"/>
      <c r="BH8" s="86"/>
      <c r="BI8" s="86"/>
      <c r="BJ8" s="87"/>
      <c r="BK8" s="88"/>
      <c r="BL8" s="88"/>
      <c r="BM8" s="88"/>
      <c r="BN8" s="89"/>
      <c r="BP8" s="87"/>
      <c r="BQ8" s="87"/>
      <c r="BR8" s="87"/>
      <c r="BS8" s="87"/>
      <c r="BV8" s="91"/>
      <c r="BW8" s="86"/>
    </row>
    <row r="9" spans="1:126" s="86" customFormat="1" ht="17.25" thickBot="1" x14ac:dyDescent="0.3">
      <c r="A9" s="92"/>
      <c r="B9" s="61"/>
      <c r="C9" s="58"/>
      <c r="D9" s="59" t="s">
        <v>297</v>
      </c>
      <c r="E9" s="61"/>
      <c r="F9" s="62"/>
      <c r="G9" s="60"/>
      <c r="H9" s="60"/>
      <c r="I9" s="60"/>
      <c r="J9" s="63"/>
      <c r="K9" s="63"/>
      <c r="L9" s="63"/>
      <c r="M9" s="63"/>
      <c r="N9" s="59"/>
      <c r="O9" s="59"/>
      <c r="P9" s="64"/>
      <c r="Q9" s="64"/>
      <c r="R9" s="64"/>
      <c r="S9" s="65"/>
      <c r="T9" s="66"/>
      <c r="U9" s="67"/>
      <c r="V9" s="66"/>
      <c r="W9" s="66"/>
      <c r="X9" s="60"/>
      <c r="Y9" s="68"/>
      <c r="Z9" s="69"/>
      <c r="AA9" s="70"/>
      <c r="AB9" s="71"/>
      <c r="AC9" s="68"/>
      <c r="AD9" s="69"/>
      <c r="AE9" s="70"/>
      <c r="AF9" s="93"/>
      <c r="AG9" s="78"/>
      <c r="AH9" s="94"/>
      <c r="AI9" s="95"/>
      <c r="AJ9" s="96"/>
      <c r="AK9" s="75"/>
      <c r="AL9" s="76"/>
      <c r="AM9" s="77"/>
      <c r="AN9" s="60"/>
      <c r="AO9" s="68"/>
      <c r="AP9" s="61"/>
      <c r="AQ9" s="79"/>
      <c r="AR9" s="80"/>
      <c r="AS9" s="60"/>
      <c r="AT9" s="70"/>
      <c r="AU9" s="70"/>
      <c r="AV9" s="68"/>
      <c r="AW9" s="80"/>
      <c r="AX9" s="70"/>
      <c r="AY9" s="80"/>
      <c r="AZ9" s="83"/>
      <c r="BA9" s="84"/>
      <c r="BB9" s="68"/>
      <c r="BC9" s="68"/>
      <c r="BD9" s="85"/>
      <c r="BE9" s="85"/>
      <c r="BF9" s="70"/>
      <c r="BG9" s="71"/>
      <c r="BI9" s="305"/>
      <c r="BJ9" s="305"/>
      <c r="BK9" s="306"/>
      <c r="BL9" s="306"/>
      <c r="BM9" s="306"/>
      <c r="BN9" s="305"/>
      <c r="BO9" s="305"/>
      <c r="BP9" s="305"/>
      <c r="BQ9" s="305"/>
      <c r="BR9" s="305"/>
      <c r="BS9" s="305"/>
      <c r="BT9" s="305"/>
      <c r="BU9" s="305"/>
      <c r="BV9" s="305"/>
      <c r="BW9" s="305"/>
      <c r="BX9" s="305"/>
      <c r="BY9" s="305"/>
      <c r="BZ9" s="305"/>
      <c r="CA9" s="305"/>
      <c r="CB9" s="305"/>
      <c r="CC9" s="305"/>
      <c r="CD9" s="305"/>
      <c r="CE9" s="305"/>
      <c r="CF9" s="305"/>
      <c r="CG9" s="305"/>
      <c r="CH9" s="305"/>
      <c r="CI9" s="305"/>
      <c r="CJ9" s="305"/>
      <c r="CK9" s="305"/>
      <c r="CL9" s="305"/>
      <c r="CM9" s="305"/>
      <c r="CN9" s="305"/>
      <c r="CO9" s="305"/>
      <c r="CP9" s="305"/>
      <c r="CQ9" s="305"/>
      <c r="CR9" s="305"/>
      <c r="CS9" s="305"/>
      <c r="CT9" s="305"/>
      <c r="CU9" s="305"/>
      <c r="CV9" s="305"/>
      <c r="CW9" s="305"/>
      <c r="CX9" s="305"/>
      <c r="CY9" s="305"/>
      <c r="CZ9" s="305"/>
      <c r="DA9" s="305"/>
      <c r="DB9" s="305"/>
      <c r="DC9" s="305"/>
      <c r="DD9" s="305"/>
      <c r="DE9" s="305"/>
      <c r="DF9" s="305"/>
    </row>
    <row r="10" spans="1:126" s="100" customFormat="1" ht="15" customHeight="1" thickTop="1" x14ac:dyDescent="0.25">
      <c r="A10" s="97"/>
      <c r="B10" s="61" t="s">
        <v>6</v>
      </c>
      <c r="C10" s="58"/>
      <c r="D10" s="59" t="s">
        <v>97</v>
      </c>
      <c r="E10" s="61"/>
      <c r="F10" s="62"/>
      <c r="G10" s="60"/>
      <c r="H10" s="60"/>
      <c r="I10" s="60"/>
      <c r="J10" s="63"/>
      <c r="K10" s="63"/>
      <c r="L10" s="63"/>
      <c r="M10" s="63"/>
      <c r="N10" s="59"/>
      <c r="O10" s="59"/>
      <c r="P10" s="64"/>
      <c r="Q10" s="64"/>
      <c r="R10" s="64"/>
      <c r="S10" s="65"/>
      <c r="T10" s="66"/>
      <c r="U10" s="67"/>
      <c r="V10" s="66"/>
      <c r="W10" s="66"/>
      <c r="X10" s="60"/>
      <c r="Y10" s="68"/>
      <c r="Z10" s="69"/>
      <c r="AA10" s="70"/>
      <c r="AB10" s="71"/>
      <c r="AC10" s="68"/>
      <c r="AD10" s="69"/>
      <c r="AE10" s="70"/>
      <c r="AF10" s="98"/>
      <c r="AG10" s="73"/>
      <c r="AH10" s="73"/>
      <c r="AI10" s="99"/>
      <c r="AJ10" s="74"/>
      <c r="AK10" s="75"/>
      <c r="AL10" s="76"/>
      <c r="AM10" s="77"/>
      <c r="AN10" s="60"/>
      <c r="AO10" s="68"/>
      <c r="AP10" s="78"/>
      <c r="AQ10" s="79"/>
      <c r="AR10" s="80"/>
      <c r="AS10" s="60"/>
      <c r="AT10" s="81"/>
      <c r="AU10" s="70"/>
      <c r="AV10" s="68"/>
      <c r="AW10" s="80"/>
      <c r="AX10" s="70"/>
      <c r="AY10" s="82"/>
      <c r="AZ10" s="83"/>
      <c r="BA10" s="84"/>
      <c r="BB10" s="68"/>
      <c r="BC10" s="68"/>
      <c r="BD10" s="85"/>
      <c r="BE10" s="85"/>
      <c r="BF10" s="81"/>
      <c r="BG10" s="71"/>
      <c r="BH10" s="86"/>
      <c r="BI10" s="304"/>
      <c r="BJ10" s="304"/>
      <c r="BK10" s="304"/>
      <c r="BL10" s="303"/>
      <c r="BM10" s="304"/>
      <c r="BN10" s="303"/>
      <c r="BO10" s="303"/>
      <c r="BP10" s="304"/>
      <c r="BQ10" s="304"/>
      <c r="BR10" s="304"/>
      <c r="BS10" s="304"/>
      <c r="BT10" s="304"/>
      <c r="BU10" s="304"/>
      <c r="BV10" s="304"/>
      <c r="BW10" s="303"/>
      <c r="BX10" s="303"/>
      <c r="BY10" s="304"/>
      <c r="BZ10" s="304"/>
      <c r="CA10" s="304"/>
      <c r="CB10" s="304"/>
      <c r="CC10" s="304"/>
      <c r="CD10" s="304"/>
      <c r="CE10" s="304"/>
      <c r="CF10" s="304"/>
      <c r="CG10" s="304"/>
      <c r="CH10" s="304"/>
      <c r="CI10" s="304"/>
      <c r="CJ10" s="304"/>
      <c r="CK10" s="304"/>
      <c r="CL10" s="304"/>
      <c r="CM10" s="304"/>
      <c r="CN10" s="304"/>
      <c r="CO10" s="304"/>
      <c r="CP10" s="304"/>
      <c r="CQ10" s="304"/>
      <c r="CR10" s="303"/>
      <c r="CS10" s="304"/>
      <c r="CT10" s="303"/>
      <c r="CU10" s="304"/>
      <c r="CV10" s="304"/>
      <c r="CW10" s="304"/>
      <c r="CX10" s="304"/>
      <c r="CY10" s="304"/>
      <c r="CZ10" s="304"/>
      <c r="DA10" s="304"/>
      <c r="DB10" s="304"/>
      <c r="DC10" s="304"/>
      <c r="DD10" s="304"/>
      <c r="DE10" s="304"/>
      <c r="DF10" s="304"/>
    </row>
    <row r="11" spans="1:126" s="114" customFormat="1" ht="12.75" customHeight="1" thickBot="1" x14ac:dyDescent="0.35">
      <c r="A11" s="101"/>
      <c r="B11" s="102"/>
      <c r="C11" s="102"/>
      <c r="D11" s="23" t="s">
        <v>7</v>
      </c>
      <c r="E11" s="103">
        <v>27</v>
      </c>
      <c r="F11" s="104"/>
      <c r="G11" s="104"/>
      <c r="H11" s="104"/>
      <c r="I11" s="105"/>
      <c r="J11" s="106"/>
      <c r="K11" s="106"/>
      <c r="L11" s="106"/>
      <c r="M11" s="106"/>
      <c r="N11" s="106"/>
      <c r="O11" s="25"/>
      <c r="P11" s="25"/>
      <c r="Q11" s="25"/>
      <c r="R11" s="25"/>
      <c r="S11" s="107"/>
      <c r="T11" s="22"/>
      <c r="U11" s="22"/>
      <c r="V11" s="104"/>
      <c r="W11" s="104"/>
      <c r="X11" s="25"/>
      <c r="Y11" s="104"/>
      <c r="Z11" s="25"/>
      <c r="AA11" s="104"/>
      <c r="AB11" s="25"/>
      <c r="AC11" s="25"/>
      <c r="AD11" s="25"/>
      <c r="AE11" s="29"/>
      <c r="AF11" s="108"/>
      <c r="AG11" s="109"/>
      <c r="AH11" s="110"/>
      <c r="AI11" s="111"/>
      <c r="AJ11" s="112"/>
      <c r="AK11" s="106"/>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299"/>
      <c r="BJ11" s="300"/>
      <c r="BK11" s="299"/>
      <c r="BL11" s="299"/>
      <c r="BM11" s="299"/>
      <c r="BN11" s="299"/>
      <c r="BO11" s="299"/>
      <c r="BP11" s="299"/>
      <c r="BQ11" s="299"/>
      <c r="BR11" s="299"/>
      <c r="BS11" s="299"/>
      <c r="BT11" s="299"/>
      <c r="BU11" s="299"/>
      <c r="BV11" s="299"/>
      <c r="BW11" s="299"/>
      <c r="BX11" s="299"/>
      <c r="BY11" s="299"/>
      <c r="BZ11" s="299"/>
      <c r="CA11" s="299"/>
      <c r="CB11" s="299"/>
      <c r="CC11" s="299"/>
      <c r="CD11" s="299"/>
      <c r="CE11" s="299"/>
      <c r="CF11" s="299"/>
      <c r="CG11" s="299"/>
      <c r="CH11" s="299"/>
      <c r="CI11" s="299"/>
      <c r="CJ11" s="299"/>
      <c r="CK11" s="299"/>
      <c r="CL11" s="299"/>
      <c r="CM11" s="299"/>
      <c r="CN11" s="299"/>
      <c r="CO11" s="299"/>
      <c r="CP11" s="299"/>
      <c r="CQ11" s="299"/>
      <c r="CR11" s="299"/>
      <c r="CS11" s="299"/>
      <c r="CT11" s="299"/>
      <c r="CU11" s="299"/>
      <c r="CV11" s="299"/>
      <c r="CW11" s="299"/>
      <c r="CX11" s="299"/>
      <c r="CY11" s="299"/>
      <c r="CZ11" s="299"/>
      <c r="DA11" s="299"/>
      <c r="DB11" s="299"/>
      <c r="DC11" s="299"/>
      <c r="DD11" s="299"/>
      <c r="DE11" s="299"/>
      <c r="DF11" s="299"/>
    </row>
    <row r="12" spans="1:126" s="138" customFormat="1" ht="3" hidden="1" customHeight="1" x14ac:dyDescent="0.25">
      <c r="A12" s="115">
        <v>92</v>
      </c>
      <c r="B12" s="116"/>
      <c r="C12" s="116"/>
      <c r="D12" s="117"/>
      <c r="E12" s="118"/>
      <c r="F12" s="116"/>
      <c r="G12" s="116"/>
      <c r="H12" s="119"/>
      <c r="I12" s="120"/>
      <c r="J12" s="116"/>
      <c r="K12" s="116"/>
      <c r="L12" s="116"/>
      <c r="M12" s="116"/>
      <c r="N12" s="121"/>
      <c r="O12" s="121"/>
      <c r="P12" s="121"/>
      <c r="Q12" s="121"/>
      <c r="R12" s="121"/>
      <c r="S12" s="122"/>
      <c r="T12" s="123"/>
      <c r="U12" s="124"/>
      <c r="V12" s="123"/>
      <c r="W12" s="123"/>
      <c r="X12" s="125"/>
      <c r="Y12" s="126"/>
      <c r="Z12" s="124"/>
      <c r="AA12" s="127"/>
      <c r="AB12" s="128"/>
      <c r="AC12" s="125"/>
      <c r="AD12" s="129"/>
      <c r="AE12" s="125"/>
      <c r="AF12" s="130"/>
      <c r="AG12" s="131"/>
      <c r="AH12" s="132"/>
      <c r="AI12" s="133"/>
      <c r="AJ12" s="134"/>
      <c r="AK12" s="135"/>
      <c r="AL12" s="136"/>
      <c r="AM12" s="116"/>
      <c r="AN12" s="136"/>
      <c r="AO12" s="136"/>
      <c r="AP12" s="136"/>
      <c r="AQ12" s="136"/>
      <c r="AR12" s="136"/>
      <c r="AS12" s="136"/>
      <c r="AT12" s="136"/>
      <c r="AU12" s="136"/>
      <c r="AV12" s="136"/>
      <c r="AW12" s="136"/>
      <c r="AX12" s="137"/>
      <c r="AY12" s="136"/>
      <c r="AZ12" s="136"/>
      <c r="BA12" s="136"/>
      <c r="BB12" s="136"/>
      <c r="BC12" s="136"/>
      <c r="BD12" s="136"/>
      <c r="BE12" s="136"/>
      <c r="BF12" s="136"/>
      <c r="BG12" s="136"/>
      <c r="BH12" s="136"/>
      <c r="BI12" s="222"/>
      <c r="BJ12" s="209"/>
      <c r="BK12" s="210" t="s">
        <v>8</v>
      </c>
      <c r="BL12" s="211" t="e">
        <f>IF(#REF!="Cơ sở Học viện Hành chính khu vực miền Trung","B",IF(#REF!="Phân viện Khu vực Tây Nguyên","C",IF(#REF!="Cơ sở Học viện Hành chính tại thành phố Hồ Chí Minh","D","A")))</f>
        <v>#REF!</v>
      </c>
      <c r="BM12" s="210" t="e">
        <f>IF(AND(#REF!&gt;0,#REF!&lt;(#REF!-1),BN12&gt;0,BN12&lt;13,OR(AND(BT12="Cùg Ng",(#REF!-BP12)&gt;#REF!),BT12="- - -")),"Sớm TT","=&gt; s")</f>
        <v>#REF!</v>
      </c>
      <c r="BN12" s="212" t="e">
        <f>IF(#REF!=3,36-(12*(#REF!-#REF!)+(12-#REF!)-#REF!),IF(#REF!=2,24-(12*(#REF!-#REF!)+(12-#REF!)-#REF!),"---"))</f>
        <v>#REF!</v>
      </c>
      <c r="BO12" s="213" t="str">
        <f>IF(BP12&gt;1,"S","---")</f>
        <v>---</v>
      </c>
      <c r="BP12" s="214"/>
      <c r="BQ12" s="215"/>
      <c r="BR12" s="215"/>
      <c r="BS12" s="215"/>
      <c r="BT12" s="214" t="e">
        <f>IF(#REF!=BQ12,"Cùg Ng","- - -")</f>
        <v>#REF!</v>
      </c>
      <c r="BU12" s="213" t="str">
        <f>IF(BW12&gt;2000,"NN","- - -")</f>
        <v>- - -</v>
      </c>
      <c r="BV12" s="210"/>
      <c r="BW12" s="210"/>
      <c r="BX12" s="216"/>
      <c r="BY12" s="216"/>
      <c r="BZ12" s="216" t="str">
        <f>IF(CB12&gt;2000,"CN","- - -")</f>
        <v>- - -</v>
      </c>
      <c r="CA12" s="216"/>
      <c r="CB12" s="216"/>
      <c r="CC12" s="216"/>
      <c r="CD12" s="216"/>
      <c r="CE12" s="216" t="e">
        <f>IF(AND(CF12="Hưu",#REF!&lt;(#REF!-1),CM12&gt;0,CM12&lt;18,OR(#REF!&lt;4,AND(#REF!&gt;3,OR(#REF!&lt;3,#REF!&gt;5)))),"Lg Sớm",IF(AND(CF12="Hưu",#REF!&gt;(#REF!-2),OR(#REF!=0.33,#REF!=0.34),OR(#REF!&lt;4,AND(#REF!&gt;3,OR(#REF!&lt;3,#REF!&gt;5)))),"Nâng Ngạch",IF(AND(CF12="Hưu",#REF!=1,CM12&gt;2,CM12&lt;6,OR(#REF!&lt;4,AND(#REF!&gt;3,OR(#REF!&lt;3,#REF!&gt;5)))),"Nâng PcVK cùng QĐ",IF(AND(CF12="Hưu",#REF!&gt;3,#REF!&gt;2,#REF!&lt;6,#REF!&lt;(#REF!-1),CM12&gt;17,OR(#REF!&gt;1,AND(#REF!=1,OR(CM12&lt;3,CM12&gt;5)))),"Nâng PcNG cùng QĐ",IF(AND(CF12="Hưu",#REF!&lt;(#REF!-1),CM12&gt;0,CM12&lt;18,#REF!&gt;3,#REF!&gt;2,#REF!&lt;6),"Nâng Lg Sớm +(PcNG cùng QĐ)",IF(AND(CF12="Hưu",#REF!&gt;(#REF!-2),OR(#REF!=0.33,#REF!=0.34),#REF!&gt;3,#REF!&gt;2,#REF!&lt;6),"Nâng Ngạch +(PcNG cùng QĐ)",IF(AND(CF12="Hưu",#REF!=1,CM12&gt;2,CM12&lt;6,#REF!&gt;3,#REF!&gt;2,#REF!&lt;6),"Nâng (PcVK +PcNG) cùng QĐ",("---"))))))))</f>
        <v>#REF!</v>
      </c>
      <c r="CF12" s="216" t="e">
        <f>IF(AND(CQ12&gt;CP12,CQ12&lt;(CP12+13)),"Hưu",IF(AND(CQ12&gt;(CP12+12),CQ12&lt;1000),"Quá","/-/ /-/"))</f>
        <v>#REF!</v>
      </c>
      <c r="CG12" s="216" t="e">
        <f>IF((#REF!+0)&lt;12,(#REF!+0)+1,IF((#REF!+0)=12,1,IF((#REF!+0)&gt;12,(#REF!+0)-12)))</f>
        <v>#REF!</v>
      </c>
      <c r="CH12" s="216" t="e">
        <f>IF(OR((#REF!+0)=12,(#REF!+0)&gt;12),#REF!+CP12/12+1,IF(AND((#REF!+0)&gt;0,(#REF!+0)&lt;12),#REF!+CP12/12,"---"))</f>
        <v>#REF!</v>
      </c>
      <c r="CI12" s="216" t="e">
        <f>IF(AND(CG12&gt;3,CG12&lt;13),CG12-3,IF(CG12&lt;4,CG12-3+12))</f>
        <v>#REF!</v>
      </c>
      <c r="CJ12" s="216" t="e">
        <f>IF(CI12&lt;CG12,CH12,IF(CI12&gt;CG12,CH12-1))</f>
        <v>#REF!</v>
      </c>
      <c r="CK12" s="216" t="e">
        <f>IF(CG12&gt;6,CG12-6,IF(CG12=6,12,IF(CG12&lt;6,CG12+6)))</f>
        <v>#REF!</v>
      </c>
      <c r="CL12" s="216" t="e">
        <f>IF(CG12&gt;6,CH12,IF(CG12&lt;7,CH12-1))</f>
        <v>#REF!</v>
      </c>
      <c r="CM12" s="216" t="e">
        <f>IF(AND(CF12="Hưu",#REF!=3),36+#REF!-(12*(CL12-#REF!)+(CK12-#REF!)),IF(AND(CF12="Hưu",#REF!=2),24+#REF!-(12*(CL12-#REF!)+(CK12-#REF!)),IF(AND(CF12="Hưu",#REF!=1),12+#REF!-(12*(CL12-#REF!)+(CK12-#REF!)),"- - -")))</f>
        <v>#REF!</v>
      </c>
      <c r="CN12" s="217" t="str">
        <f>IF(CO12&gt;0,"K.Dài",". .")</f>
        <v>. .</v>
      </c>
      <c r="CO12" s="214"/>
      <c r="CP12" s="218" t="e">
        <f>IF(#REF!="Nam",(60+CO12)*12,IF(#REF!="Nữ",(55+CO12)*12,))</f>
        <v>#REF!</v>
      </c>
      <c r="CQ12" s="219" t="e">
        <f>12*(#REF!-#REF!)+(12-#REF!)</f>
        <v>#REF!</v>
      </c>
      <c r="CR12" s="220" t="e">
        <f>#REF!-#REF!</f>
        <v>#REF!</v>
      </c>
      <c r="CS12" s="221" t="e">
        <f>IF(AND(CR12&lt;35,#REF!="Nam"),"Nam dưới 35",IF(AND(CR12&lt;30,#REF!="Nữ"),"Nữ dưới 30",IF(AND(CR12&gt;34,CR12&lt;46,#REF!="Nam"),"Nam từ 35 - 45",IF(AND(CR12&gt;29,CR12&lt;41,#REF!="Nữ"),"Nữ từ 30 - 40",IF(AND(CR12&gt;45,CR12&lt;56,#REF!="Nam"),"Nam trên 45 - 55",IF(AND(CR12&gt;40,CR12&lt;51,#REF!="Nữ"),"Nữ trên 40 - 50",IF(AND(CR12&gt;55,#REF!="Nam"),"Nam trên 55","Nữ trên 50")))))))</f>
        <v>#REF!</v>
      </c>
      <c r="CT12" s="222"/>
      <c r="CU12" s="220"/>
      <c r="CV12" s="223" t="e">
        <f>IF(CR12&lt;31,"Đến 30",IF(AND(CR12&gt;30,CR12&lt;46),"31 - 45",IF(AND(CR12&gt;45,CR12&lt;70),"Trên 45")))</f>
        <v>#REF!</v>
      </c>
      <c r="CW12" s="307" t="str">
        <f>IF(CX12&gt;0,"TD","--")</f>
        <v>TD</v>
      </c>
      <c r="CX12" s="307">
        <v>2009</v>
      </c>
      <c r="CY12" s="222"/>
      <c r="CZ12" s="308"/>
      <c r="DA12" s="309"/>
      <c r="DB12" s="216"/>
      <c r="DC12" s="216"/>
      <c r="DD12" s="216"/>
      <c r="DE12" s="216"/>
      <c r="DF12" s="216"/>
      <c r="DH12" s="138" t="s">
        <v>9</v>
      </c>
      <c r="DI12" s="138" t="s">
        <v>10</v>
      </c>
      <c r="DJ12" s="138" t="s">
        <v>11</v>
      </c>
      <c r="DK12" s="138" t="s">
        <v>10</v>
      </c>
      <c r="DL12" s="138">
        <v>2009</v>
      </c>
      <c r="DM12" s="138">
        <f>(DH12+0)-(DO12+0)</f>
        <v>0</v>
      </c>
      <c r="DN12" s="138" t="str">
        <f>IF(DM12&gt;0,"Sửa","- - -")</f>
        <v>- - -</v>
      </c>
      <c r="DO12" s="138" t="s">
        <v>9</v>
      </c>
      <c r="DP12" s="138" t="s">
        <v>10</v>
      </c>
      <c r="DQ12" s="138" t="s">
        <v>11</v>
      </c>
      <c r="DR12" s="138" t="s">
        <v>10</v>
      </c>
      <c r="DS12" s="138">
        <v>2009</v>
      </c>
      <c r="DU12" s="138" t="e">
        <f>IF(AND(#REF!&gt;0.34,#REF!=1,OR(#REF!=6.2,#REF!=5.75)),((#REF!-DT12)-2*0.34),IF(AND(#REF!&gt;0.33,#REF!=1,OR(#REF!=4.4,#REF!=4)),((#REF!-DT12)-2*0.33),"- - -"))</f>
        <v>#REF!</v>
      </c>
      <c r="DV12" s="138" t="e">
        <f>IF(CF12="Hưu",12*(CL12-#REF!)+(CK12-#REF!),"---")</f>
        <v>#REF!</v>
      </c>
    </row>
    <row r="13" spans="1:126" s="144" customFormat="1" ht="24.75" customHeight="1" x14ac:dyDescent="0.25">
      <c r="A13" s="152"/>
      <c r="B13" s="538" t="s">
        <v>12</v>
      </c>
      <c r="C13" s="539"/>
      <c r="D13" s="540" t="s">
        <v>13</v>
      </c>
      <c r="E13" s="540" t="s">
        <v>14</v>
      </c>
      <c r="F13" s="541"/>
      <c r="G13" s="541"/>
      <c r="H13" s="541"/>
      <c r="I13" s="541"/>
      <c r="J13" s="541"/>
      <c r="K13" s="539"/>
      <c r="L13" s="539"/>
      <c r="M13" s="539"/>
      <c r="N13" s="540" t="s">
        <v>15</v>
      </c>
      <c r="O13" s="540"/>
      <c r="P13" s="542"/>
      <c r="Q13" s="542"/>
      <c r="R13" s="542"/>
      <c r="S13" s="543" t="s">
        <v>16</v>
      </c>
      <c r="T13" s="544"/>
      <c r="U13" s="540" t="s">
        <v>17</v>
      </c>
      <c r="V13" s="540" t="s">
        <v>18</v>
      </c>
      <c r="W13" s="539"/>
      <c r="X13" s="540" t="s">
        <v>19</v>
      </c>
      <c r="Y13" s="540"/>
      <c r="Z13" s="540"/>
      <c r="AA13" s="540"/>
      <c r="AB13" s="540"/>
      <c r="AC13" s="540"/>
      <c r="AD13" s="540"/>
      <c r="AE13" s="540"/>
      <c r="AF13" s="540"/>
      <c r="AG13" s="540"/>
      <c r="AH13" s="540"/>
      <c r="AI13" s="540"/>
      <c r="AJ13" s="540"/>
      <c r="AK13" s="540" t="s">
        <v>20</v>
      </c>
      <c r="AL13" s="539"/>
      <c r="AM13" s="540" t="s">
        <v>21</v>
      </c>
      <c r="AN13" s="539"/>
      <c r="AO13" s="539"/>
      <c r="AP13" s="539"/>
      <c r="AQ13" s="539"/>
      <c r="AR13" s="539"/>
      <c r="AS13" s="539"/>
      <c r="AT13" s="539"/>
      <c r="AU13" s="539"/>
      <c r="AV13" s="539"/>
      <c r="AW13" s="539"/>
      <c r="AX13" s="540" t="s">
        <v>22</v>
      </c>
      <c r="AY13" s="539"/>
      <c r="AZ13" s="539"/>
      <c r="BA13" s="539"/>
      <c r="BB13" s="539"/>
      <c r="BC13" s="539"/>
      <c r="BD13" s="539"/>
      <c r="BE13" s="539"/>
      <c r="BF13" s="539"/>
      <c r="BG13" s="539"/>
      <c r="BH13" s="545" t="s">
        <v>22</v>
      </c>
      <c r="BI13" s="222"/>
      <c r="BJ13" s="209"/>
      <c r="BK13" s="210"/>
      <c r="BL13" s="211"/>
      <c r="BM13" s="210"/>
      <c r="BN13" s="212"/>
      <c r="BO13" s="213"/>
      <c r="BP13" s="214"/>
      <c r="BQ13" s="215"/>
      <c r="BR13" s="215"/>
      <c r="BS13" s="215"/>
      <c r="BT13" s="214"/>
      <c r="BU13" s="213"/>
      <c r="BV13" s="210"/>
      <c r="BW13" s="210"/>
      <c r="BX13" s="216"/>
      <c r="BY13" s="216"/>
      <c r="BZ13" s="216"/>
      <c r="CA13" s="216"/>
      <c r="CB13" s="216"/>
      <c r="CC13" s="216"/>
      <c r="CD13" s="216"/>
      <c r="CE13" s="216"/>
      <c r="CF13" s="216"/>
      <c r="CG13" s="216"/>
      <c r="CH13" s="216"/>
      <c r="CI13" s="216"/>
      <c r="CJ13" s="216"/>
      <c r="CK13" s="216"/>
      <c r="CL13" s="216"/>
      <c r="CM13" s="216"/>
      <c r="CN13" s="217"/>
      <c r="CO13" s="214"/>
      <c r="CP13" s="218"/>
      <c r="CQ13" s="219"/>
      <c r="CR13" s="220"/>
      <c r="CS13" s="221"/>
      <c r="CT13" s="222"/>
      <c r="CU13" s="220"/>
      <c r="CV13" s="223"/>
      <c r="CW13" s="307"/>
      <c r="CX13" s="307"/>
      <c r="CY13" s="222"/>
      <c r="CZ13" s="308"/>
      <c r="DA13" s="309"/>
      <c r="DB13" s="216"/>
      <c r="DC13" s="216"/>
      <c r="DD13" s="216"/>
      <c r="DE13" s="216"/>
      <c r="DF13" s="216"/>
      <c r="DG13" s="301"/>
    </row>
    <row r="14" spans="1:126" s="144" customFormat="1" ht="28.5" customHeight="1" x14ac:dyDescent="0.25">
      <c r="A14" s="152">
        <v>163</v>
      </c>
      <c r="B14" s="546"/>
      <c r="C14" s="148"/>
      <c r="D14" s="438"/>
      <c r="E14" s="438"/>
      <c r="F14" s="149"/>
      <c r="G14" s="149"/>
      <c r="H14" s="149"/>
      <c r="I14" s="149"/>
      <c r="J14" s="149"/>
      <c r="K14" s="148"/>
      <c r="L14" s="148"/>
      <c r="M14" s="148"/>
      <c r="N14" s="438"/>
      <c r="O14" s="438"/>
      <c r="P14" s="332"/>
      <c r="Q14" s="332"/>
      <c r="R14" s="332"/>
      <c r="S14" s="439"/>
      <c r="T14" s="440"/>
      <c r="U14" s="438"/>
      <c r="V14" s="438"/>
      <c r="W14" s="148"/>
      <c r="X14" s="441" t="s">
        <v>23</v>
      </c>
      <c r="Y14" s="441"/>
      <c r="Z14" s="441"/>
      <c r="AA14" s="150" t="s">
        <v>24</v>
      </c>
      <c r="AB14" s="441" t="s">
        <v>25</v>
      </c>
      <c r="AC14" s="441"/>
      <c r="AD14" s="441"/>
      <c r="AE14" s="150" t="s">
        <v>26</v>
      </c>
      <c r="AF14" s="441" t="s">
        <v>27</v>
      </c>
      <c r="AG14" s="441"/>
      <c r="AH14" s="441"/>
      <c r="AI14" s="441"/>
      <c r="AJ14" s="441"/>
      <c r="AK14" s="438"/>
      <c r="AL14" s="148"/>
      <c r="AM14" s="438"/>
      <c r="AN14" s="148"/>
      <c r="AO14" s="148"/>
      <c r="AP14" s="148"/>
      <c r="AQ14" s="148"/>
      <c r="AR14" s="148"/>
      <c r="AS14" s="148"/>
      <c r="AT14" s="148"/>
      <c r="AU14" s="148"/>
      <c r="AV14" s="148"/>
      <c r="AW14" s="148"/>
      <c r="AX14" s="438"/>
      <c r="AY14" s="148"/>
      <c r="AZ14" s="148"/>
      <c r="BA14" s="148"/>
      <c r="BB14" s="148"/>
      <c r="BC14" s="148"/>
      <c r="BD14" s="148"/>
      <c r="BE14" s="148"/>
      <c r="BF14" s="148"/>
      <c r="BG14" s="148"/>
      <c r="BH14" s="547"/>
      <c r="BI14" s="222"/>
      <c r="BJ14" s="209"/>
      <c r="BK14" s="210" t="s">
        <v>28</v>
      </c>
      <c r="BL14" s="211" t="e">
        <f>IF(#REF!="Cơ sở Học viện Hành chính khu vực miền Trung","B",IF(#REF!="Phân viện Khu vực Tây Nguyên","C",IF(#REF!="Cơ sở Học viện Hành chính tại thành phố Hồ Chí Minh","D","A")))</f>
        <v>#REF!</v>
      </c>
      <c r="BM14" s="210" t="e">
        <f>IF(AND(#REF!&gt;0,#REF!&lt;(#REF!-1),BN14&gt;0,BN14&lt;13,OR(AND(BT14="Cùg Ng",(#REF!-BP14)&gt;#REF!),BT14="- - -")),"Sớm TT","=&gt; s")</f>
        <v>#REF!</v>
      </c>
      <c r="BN14" s="212" t="e">
        <f>IF(#REF!=3,36-(12*(#REF!-#REF!)+(12-#REF!)-#REF!),IF(#REF!=2,24-(12*(#REF!-#REF!)+(12-#REF!)-#REF!),"---"))</f>
        <v>#REF!</v>
      </c>
      <c r="BO14" s="213" t="str">
        <f>IF(BP14&gt;1,"S","---")</f>
        <v>---</v>
      </c>
      <c r="BP14" s="214"/>
      <c r="BQ14" s="215"/>
      <c r="BR14" s="215"/>
      <c r="BS14" s="215"/>
      <c r="BT14" s="214" t="e">
        <f>IF(#REF!=BQ14,"Cùg Ng","- - -")</f>
        <v>#REF!</v>
      </c>
      <c r="BU14" s="213" t="str">
        <f>IF(BW14&gt;2000,"NN","- - -")</f>
        <v>- - -</v>
      </c>
      <c r="BV14" s="210"/>
      <c r="BW14" s="210"/>
      <c r="BX14" s="216"/>
      <c r="BY14" s="216"/>
      <c r="BZ14" s="216" t="str">
        <f>IF(CB14&gt;2000,"CN","- - -")</f>
        <v>- - -</v>
      </c>
      <c r="CA14" s="216"/>
      <c r="CB14" s="216"/>
      <c r="CC14" s="216"/>
      <c r="CD14" s="216"/>
      <c r="CE14" s="216" t="e">
        <f>IF(AND(CF14="Hưu",#REF!&lt;(#REF!-1),CM14&gt;0,CM14&lt;18,OR(#REF!&lt;4,AND(#REF!&gt;3,OR(#REF!&lt;3,#REF!&gt;5)))),"Lg Sớm",IF(AND(CF14="Hưu",#REF!&gt;(#REF!-2),OR(#REF!=0.33,#REF!=0.34),OR(#REF!&lt;4,AND(#REF!&gt;3,OR(#REF!&lt;3,#REF!&gt;5)))),"Nâng Ngạch",IF(AND(CF14="Hưu",#REF!=1,CM14&gt;2,CM14&lt;6,OR(#REF!&lt;4,AND(#REF!&gt;3,OR(#REF!&lt;3,#REF!&gt;5)))),"Nâng PcVK cùng QĐ",IF(AND(CF14="Hưu",#REF!&gt;3,#REF!&gt;2,#REF!&lt;6,#REF!&lt;(#REF!-1),CM14&gt;17,OR(#REF!&gt;1,AND(#REF!=1,OR(CM14&lt;3,CM14&gt;5)))),"Nâng PcNG cùng QĐ",IF(AND(CF14="Hưu",#REF!&lt;(#REF!-1),CM14&gt;0,CM14&lt;18,#REF!&gt;3,#REF!&gt;2,#REF!&lt;6),"Nâng Lg Sớm +(PcNG cùng QĐ)",IF(AND(CF14="Hưu",#REF!&gt;(#REF!-2),OR(#REF!=0.33,#REF!=0.34),#REF!&gt;3,#REF!&gt;2,#REF!&lt;6),"Nâng Ngạch +(PcNG cùng QĐ)",IF(AND(CF14="Hưu",#REF!=1,CM14&gt;2,CM14&lt;6,#REF!&gt;3,#REF!&gt;2,#REF!&lt;6),"Nâng (PcVK +PcNG) cùng QĐ",("---"))))))))</f>
        <v>#REF!</v>
      </c>
      <c r="CF14" s="216" t="e">
        <f>IF(AND(CQ14&gt;CP14,CQ14&lt;(CP14+13)),"Hưu",IF(AND(CQ14&gt;(CP14+12),CQ14&lt;1000),"Quá","/-/ /-/"))</f>
        <v>#REF!</v>
      </c>
      <c r="CG14" s="216" t="e">
        <f>IF((#REF!+0)&lt;12,(#REF!+0)+1,IF((#REF!+0)=12,1,IF((#REF!+0)&gt;12,(#REF!+0)-12)))</f>
        <v>#REF!</v>
      </c>
      <c r="CH14" s="216" t="e">
        <f>IF(OR((#REF!+0)=12,(#REF!+0)&gt;12),#REF!+CP14/12+1,IF(AND((#REF!+0)&gt;0,(#REF!+0)&lt;12),#REF!+CP14/12,"---"))</f>
        <v>#REF!</v>
      </c>
      <c r="CI14" s="216" t="e">
        <f>IF(AND(CG14&gt;3,CG14&lt;13),CG14-3,IF(CG14&lt;4,CG14-3+12))</f>
        <v>#REF!</v>
      </c>
      <c r="CJ14" s="216" t="e">
        <f>IF(CI14&lt;CG14,CH14,IF(CI14&gt;CG14,CH14-1))</f>
        <v>#REF!</v>
      </c>
      <c r="CK14" s="216" t="e">
        <f>IF(CG14&gt;6,CG14-6,IF(CG14=6,12,IF(CG14&lt;6,CG14+6)))</f>
        <v>#REF!</v>
      </c>
      <c r="CL14" s="216" t="e">
        <f>IF(CG14&gt;6,CH14,IF(CG14&lt;7,CH14-1))</f>
        <v>#REF!</v>
      </c>
      <c r="CM14" s="216" t="e">
        <f>IF(AND(CF14="Hưu",#REF!=3),36+#REF!-(12*(CL14-#REF!)+(CK14-#REF!)),IF(AND(CF14="Hưu",#REF!=2),24+#REF!-(12*(CL14-#REF!)+(CK14-#REF!)),IF(AND(CF14="Hưu",#REF!=1),12+#REF!-(12*(CL14-#REF!)+(CK14-#REF!)),"- - -")))</f>
        <v>#REF!</v>
      </c>
      <c r="CN14" s="217" t="str">
        <f>IF(CO14&gt;0,"K.Dài",". .")</f>
        <v>. .</v>
      </c>
      <c r="CO14" s="214"/>
      <c r="CP14" s="218" t="e">
        <f>IF(#REF!="Nam",(60+CO14)*12,IF(#REF!="Nữ",(55+CO14)*12,))</f>
        <v>#REF!</v>
      </c>
      <c r="CQ14" s="219" t="e">
        <f>12*(#REF!-#REF!)+(12-#REF!)</f>
        <v>#REF!</v>
      </c>
      <c r="CR14" s="220" t="e">
        <f>#REF!-#REF!</f>
        <v>#REF!</v>
      </c>
      <c r="CS14" s="221" t="e">
        <f>IF(AND(CR14&lt;35,#REF!="Nam"),"Nam dưới 35",IF(AND(CR14&lt;30,#REF!="Nữ"),"Nữ dưới 30",IF(AND(CR14&gt;34,CR14&lt;46,#REF!="Nam"),"Nam từ 35 - 45",IF(AND(CR14&gt;29,CR14&lt;41,#REF!="Nữ"),"Nữ từ 30 - 40",IF(AND(CR14&gt;45,CR14&lt;56,#REF!="Nam"),"Nam trên 45 - 55",IF(AND(CR14&gt;40,CR14&lt;51,#REF!="Nữ"),"Nữ trên 40 - 50",IF(AND(CR14&gt;55,#REF!="Nam"),"Nam trên 55","Nữ trên 50")))))))</f>
        <v>#REF!</v>
      </c>
      <c r="CT14" s="222"/>
      <c r="CU14" s="220"/>
      <c r="CV14" s="223" t="e">
        <f>IF(CR14&lt;31,"Đến 30",IF(AND(CR14&gt;30,CR14&lt;46),"31 - 45",IF(AND(CR14&gt;45,CR14&lt;70),"Trên 45")))</f>
        <v>#REF!</v>
      </c>
      <c r="CW14" s="307" t="str">
        <f>IF(CX14&gt;0,"TD","--")</f>
        <v>--</v>
      </c>
      <c r="CX14" s="307"/>
      <c r="CY14" s="222"/>
      <c r="CZ14" s="308"/>
      <c r="DA14" s="309"/>
      <c r="DB14" s="216"/>
      <c r="DC14" s="216"/>
      <c r="DD14" s="216"/>
      <c r="DE14" s="216"/>
      <c r="DF14" s="216"/>
      <c r="DG14" s="301" t="s">
        <v>29</v>
      </c>
      <c r="DH14" s="144" t="s">
        <v>9</v>
      </c>
      <c r="DI14" s="144" t="s">
        <v>10</v>
      </c>
      <c r="DJ14" s="144" t="s">
        <v>30</v>
      </c>
      <c r="DK14" s="144" t="s">
        <v>10</v>
      </c>
      <c r="DL14" s="144" t="s">
        <v>31</v>
      </c>
      <c r="DM14" s="144">
        <f>(DH14+0)-(DO14+0)</f>
        <v>0</v>
      </c>
      <c r="DN14" s="144" t="str">
        <f>IF(DM14&gt;0,"Sửa","- - -")</f>
        <v>- - -</v>
      </c>
      <c r="DO14" s="144" t="s">
        <v>9</v>
      </c>
      <c r="DP14" s="144" t="s">
        <v>10</v>
      </c>
      <c r="DQ14" s="144" t="s">
        <v>30</v>
      </c>
      <c r="DR14" s="144" t="s">
        <v>10</v>
      </c>
      <c r="DS14" s="144" t="s">
        <v>31</v>
      </c>
      <c r="DU14" s="144" t="e">
        <f>IF(AND(#REF!&gt;0.34,#REF!=1,OR(#REF!=6.2,#REF!=5.75)),((#REF!-DT14)-2*0.34),IF(AND(#REF!&gt;0.33,#REF!=1,OR(#REF!=4.4,#REF!=4)),((#REF!-DT14)-2*0.33),"- - -"))</f>
        <v>#REF!</v>
      </c>
      <c r="DV14" s="144" t="e">
        <f>IF(CF14="Hưu",12*(CL14-#REF!)+(CK14-#REF!),"---")</f>
        <v>#REF!</v>
      </c>
    </row>
    <row r="15" spans="1:126" s="151" customFormat="1" ht="12.75" x14ac:dyDescent="0.25">
      <c r="B15" s="548">
        <v>1</v>
      </c>
      <c r="C15" s="331"/>
      <c r="D15" s="331">
        <v>2</v>
      </c>
      <c r="E15" s="331">
        <v>3</v>
      </c>
      <c r="F15" s="331"/>
      <c r="G15" s="331"/>
      <c r="H15" s="331"/>
      <c r="I15" s="331"/>
      <c r="J15" s="331"/>
      <c r="K15" s="331"/>
      <c r="L15" s="331"/>
      <c r="M15" s="331"/>
      <c r="N15" s="445">
        <v>4</v>
      </c>
      <c r="O15" s="445"/>
      <c r="P15" s="331"/>
      <c r="Q15" s="331"/>
      <c r="R15" s="331"/>
      <c r="S15" s="445">
        <v>5</v>
      </c>
      <c r="T15" s="445"/>
      <c r="U15" s="331">
        <v>5</v>
      </c>
      <c r="V15" s="331">
        <v>6</v>
      </c>
      <c r="W15" s="331"/>
      <c r="X15" s="445">
        <v>6</v>
      </c>
      <c r="Y15" s="445"/>
      <c r="Z15" s="445"/>
      <c r="AA15" s="331">
        <v>7</v>
      </c>
      <c r="AB15" s="445">
        <v>8</v>
      </c>
      <c r="AC15" s="445"/>
      <c r="AD15" s="445"/>
      <c r="AE15" s="331">
        <v>9</v>
      </c>
      <c r="AF15" s="445">
        <v>10</v>
      </c>
      <c r="AG15" s="445"/>
      <c r="AH15" s="445"/>
      <c r="AI15" s="445"/>
      <c r="AJ15" s="445"/>
      <c r="AK15" s="331">
        <v>12</v>
      </c>
      <c r="AL15" s="331"/>
      <c r="AM15" s="331"/>
      <c r="AN15" s="331"/>
      <c r="AO15" s="331"/>
      <c r="AP15" s="331"/>
      <c r="AQ15" s="331"/>
      <c r="AR15" s="331"/>
      <c r="AS15" s="331"/>
      <c r="AT15" s="331"/>
      <c r="AU15" s="331"/>
      <c r="AV15" s="331"/>
      <c r="AW15" s="331"/>
      <c r="AX15" s="331">
        <v>12</v>
      </c>
      <c r="AY15" s="331"/>
      <c r="AZ15" s="331"/>
      <c r="BA15" s="331"/>
      <c r="BB15" s="331"/>
      <c r="BC15" s="331"/>
      <c r="BD15" s="331"/>
      <c r="BE15" s="331"/>
      <c r="BF15" s="331"/>
      <c r="BG15" s="331"/>
      <c r="BH15" s="549">
        <v>11</v>
      </c>
      <c r="BI15" s="224"/>
      <c r="BJ15" s="224"/>
      <c r="BK15" s="224"/>
      <c r="BL15" s="224"/>
      <c r="BM15" s="224"/>
      <c r="BN15" s="224"/>
      <c r="BO15" s="224"/>
      <c r="BP15" s="224"/>
      <c r="BQ15" s="224"/>
      <c r="BR15" s="224"/>
      <c r="BS15" s="224"/>
      <c r="BT15" s="224"/>
      <c r="BU15" s="224"/>
      <c r="BV15" s="224"/>
      <c r="BW15" s="224"/>
      <c r="BX15" s="224"/>
      <c r="BY15" s="224"/>
      <c r="BZ15" s="224"/>
      <c r="CA15" s="224"/>
      <c r="CB15" s="224"/>
      <c r="CC15" s="224"/>
      <c r="CD15" s="224"/>
      <c r="CE15" s="224"/>
      <c r="CF15" s="224"/>
      <c r="CG15" s="224"/>
      <c r="CH15" s="224"/>
      <c r="CI15" s="224"/>
      <c r="CJ15" s="224"/>
      <c r="CK15" s="224"/>
      <c r="CL15" s="224"/>
      <c r="CM15" s="224"/>
      <c r="CN15" s="224"/>
      <c r="CO15" s="224"/>
      <c r="CP15" s="224"/>
      <c r="CQ15" s="224"/>
      <c r="CR15" s="224"/>
      <c r="CS15" s="224"/>
      <c r="CT15" s="224"/>
      <c r="CU15" s="224"/>
      <c r="CV15" s="224"/>
      <c r="CW15" s="224"/>
      <c r="CX15" s="224"/>
      <c r="CY15" s="224"/>
      <c r="CZ15" s="224"/>
      <c r="DA15" s="224"/>
      <c r="DB15" s="224"/>
      <c r="DC15" s="224"/>
      <c r="DD15" s="224"/>
      <c r="DE15" s="224"/>
      <c r="DF15" s="224"/>
    </row>
    <row r="16" spans="1:126" s="334" customFormat="1" ht="27.75" customHeight="1" x14ac:dyDescent="0.25">
      <c r="B16" s="550" t="s">
        <v>124</v>
      </c>
      <c r="C16" s="335"/>
      <c r="D16" s="336" t="s">
        <v>125</v>
      </c>
      <c r="E16" s="337"/>
      <c r="F16" s="337"/>
      <c r="G16" s="337"/>
      <c r="H16" s="337"/>
      <c r="I16" s="337"/>
      <c r="J16" s="337"/>
      <c r="K16" s="337"/>
      <c r="L16" s="337"/>
      <c r="M16" s="337"/>
      <c r="N16" s="337"/>
      <c r="O16" s="338"/>
      <c r="P16" s="335"/>
      <c r="Q16" s="335"/>
      <c r="R16" s="339"/>
      <c r="S16" s="339"/>
      <c r="T16" s="340"/>
      <c r="U16" s="339"/>
      <c r="V16" s="340"/>
      <c r="W16" s="339"/>
      <c r="X16" s="339"/>
      <c r="Y16" s="341"/>
      <c r="Z16" s="340"/>
      <c r="AA16" s="335"/>
      <c r="AB16" s="339"/>
      <c r="AC16" s="341"/>
      <c r="AD16" s="340"/>
      <c r="AE16" s="339"/>
      <c r="AF16" s="339"/>
      <c r="AG16" s="341"/>
      <c r="AH16" s="341"/>
      <c r="AI16" s="341"/>
      <c r="AJ16" s="340"/>
      <c r="AK16" s="341"/>
      <c r="AL16" s="341"/>
      <c r="AM16" s="335"/>
      <c r="AN16" s="335"/>
      <c r="AO16" s="335"/>
      <c r="AP16" s="339"/>
      <c r="AQ16" s="335"/>
      <c r="AR16" s="335"/>
      <c r="AS16" s="339"/>
      <c r="AT16" s="335"/>
      <c r="AU16" s="335"/>
      <c r="AV16" s="335"/>
      <c r="AW16" s="335"/>
      <c r="AX16" s="339"/>
      <c r="AY16" s="340"/>
      <c r="AZ16" s="335"/>
      <c r="BA16" s="335"/>
      <c r="BB16" s="335"/>
      <c r="BC16" s="335"/>
      <c r="BD16" s="335"/>
      <c r="BE16" s="335"/>
      <c r="BF16" s="335"/>
      <c r="BG16" s="341"/>
      <c r="BH16" s="551"/>
      <c r="BI16" s="500"/>
      <c r="BJ16" s="411"/>
      <c r="BK16" s="411"/>
      <c r="BL16" s="411"/>
      <c r="BM16" s="411"/>
      <c r="BN16" s="411"/>
      <c r="BO16" s="411"/>
      <c r="BP16" s="411"/>
      <c r="BQ16" s="411"/>
      <c r="BR16" s="411"/>
      <c r="BS16" s="411"/>
      <c r="BT16" s="411"/>
      <c r="BU16" s="411"/>
      <c r="BV16" s="411"/>
      <c r="BW16" s="411"/>
      <c r="BX16" s="411"/>
      <c r="BY16" s="411"/>
      <c r="BZ16" s="411"/>
      <c r="CA16" s="411"/>
      <c r="CB16" s="411"/>
      <c r="CC16" s="411"/>
      <c r="CD16" s="411"/>
      <c r="CE16" s="411"/>
      <c r="CF16" s="411"/>
      <c r="CG16" s="411"/>
      <c r="CH16" s="411"/>
      <c r="CI16" s="411"/>
      <c r="CJ16" s="411"/>
      <c r="CK16" s="411"/>
      <c r="CL16" s="411"/>
      <c r="CM16" s="411"/>
    </row>
    <row r="17" spans="1:126" s="334" customFormat="1" ht="21" customHeight="1" x14ac:dyDescent="0.25">
      <c r="B17" s="550" t="s">
        <v>124</v>
      </c>
      <c r="C17" s="335"/>
      <c r="D17" s="336" t="s">
        <v>163</v>
      </c>
      <c r="E17" s="337"/>
      <c r="F17" s="337"/>
      <c r="G17" s="337"/>
      <c r="H17" s="337"/>
      <c r="I17" s="337"/>
      <c r="J17" s="337"/>
      <c r="K17" s="337"/>
      <c r="L17" s="337"/>
      <c r="M17" s="337"/>
      <c r="N17" s="337"/>
      <c r="O17" s="338"/>
      <c r="P17" s="335"/>
      <c r="Q17" s="335"/>
      <c r="R17" s="339"/>
      <c r="S17" s="339"/>
      <c r="T17" s="340"/>
      <c r="U17" s="339"/>
      <c r="V17" s="340"/>
      <c r="W17" s="339"/>
      <c r="X17" s="339"/>
      <c r="Y17" s="341"/>
      <c r="Z17" s="340"/>
      <c r="AA17" s="335"/>
      <c r="AB17" s="339"/>
      <c r="AC17" s="341"/>
      <c r="AD17" s="340"/>
      <c r="AE17" s="339"/>
      <c r="AF17" s="339"/>
      <c r="AG17" s="341"/>
      <c r="AH17" s="341"/>
      <c r="AI17" s="341"/>
      <c r="AJ17" s="340"/>
      <c r="AK17" s="341"/>
      <c r="AL17" s="341"/>
      <c r="AM17" s="335"/>
      <c r="AN17" s="335"/>
      <c r="AO17" s="335"/>
      <c r="AP17" s="339"/>
      <c r="AQ17" s="335"/>
      <c r="AR17" s="335"/>
      <c r="AS17" s="339"/>
      <c r="AT17" s="335"/>
      <c r="AU17" s="335"/>
      <c r="AV17" s="335"/>
      <c r="AW17" s="335"/>
      <c r="AX17" s="339"/>
      <c r="AY17" s="340"/>
      <c r="AZ17" s="335"/>
      <c r="BA17" s="335"/>
      <c r="BB17" s="335"/>
      <c r="BC17" s="335"/>
      <c r="BD17" s="335"/>
      <c r="BE17" s="335"/>
      <c r="BF17" s="335"/>
      <c r="BG17" s="341"/>
      <c r="BH17" s="551"/>
      <c r="BI17" s="411"/>
      <c r="BJ17" s="411"/>
      <c r="BK17" s="411"/>
      <c r="BL17" s="411"/>
      <c r="BM17" s="411"/>
      <c r="BN17" s="411"/>
      <c r="BO17" s="411"/>
      <c r="BP17" s="411"/>
      <c r="BQ17" s="411"/>
      <c r="BR17" s="411"/>
      <c r="BS17" s="411"/>
      <c r="BT17" s="411"/>
      <c r="BU17" s="411"/>
      <c r="BV17" s="411"/>
      <c r="BW17" s="411"/>
      <c r="BX17" s="411"/>
      <c r="BY17" s="411"/>
      <c r="BZ17" s="411"/>
      <c r="CA17" s="411"/>
      <c r="CB17" s="411"/>
      <c r="CC17" s="411"/>
      <c r="CD17" s="411"/>
      <c r="CE17" s="411"/>
      <c r="CF17" s="411"/>
      <c r="CG17" s="411"/>
      <c r="CH17" s="411"/>
      <c r="CI17" s="411"/>
      <c r="CJ17" s="411"/>
      <c r="CK17" s="411"/>
      <c r="CL17" s="411"/>
      <c r="CM17" s="411"/>
      <c r="CN17" s="411"/>
      <c r="CO17" s="411"/>
      <c r="CP17" s="411"/>
      <c r="CQ17" s="411"/>
      <c r="CR17" s="411"/>
      <c r="CS17" s="411"/>
      <c r="CT17" s="411"/>
      <c r="CU17" s="411"/>
      <c r="CV17" s="411"/>
      <c r="CW17" s="411"/>
      <c r="CX17" s="411"/>
      <c r="CY17" s="411"/>
      <c r="CZ17" s="411"/>
      <c r="DA17" s="411"/>
      <c r="DB17" s="411"/>
      <c r="DC17" s="411"/>
      <c r="DD17" s="411"/>
      <c r="DE17" s="411"/>
      <c r="DF17" s="411"/>
      <c r="DG17" s="411"/>
      <c r="DH17" s="411"/>
      <c r="DI17" s="411"/>
      <c r="DJ17" s="411"/>
      <c r="DK17" s="411"/>
      <c r="DL17" s="411"/>
      <c r="DM17" s="411"/>
      <c r="DN17" s="411"/>
      <c r="DO17" s="411"/>
      <c r="DP17" s="411"/>
      <c r="DQ17" s="411"/>
      <c r="DR17" s="411"/>
      <c r="DS17" s="411"/>
    </row>
    <row r="18" spans="1:126" s="138" customFormat="1" ht="24" customHeight="1" x14ac:dyDescent="0.25">
      <c r="A18" s="152">
        <v>12</v>
      </c>
      <c r="B18" s="552">
        <v>1</v>
      </c>
      <c r="C18" s="142" t="str">
        <f t="shared" ref="C18:C34" si="0">IF(E18="Nam","Ông","Bà")</f>
        <v>Ông</v>
      </c>
      <c r="D18" s="153" t="s">
        <v>164</v>
      </c>
      <c r="E18" s="142" t="s">
        <v>39</v>
      </c>
      <c r="F18" s="154" t="s">
        <v>126</v>
      </c>
      <c r="G18" s="155" t="s">
        <v>10</v>
      </c>
      <c r="H18" s="155" t="s">
        <v>94</v>
      </c>
      <c r="I18" s="155" t="s">
        <v>10</v>
      </c>
      <c r="J18" s="156">
        <v>1980</v>
      </c>
      <c r="K18" s="316"/>
      <c r="L18" s="316"/>
      <c r="M18" s="316" t="e">
        <f>VLOOKUP(L18,'[1]- DLiêu Gốc -'!$B$2:$G$121,2,0)</f>
        <v>#N/A</v>
      </c>
      <c r="N18" s="317" t="s">
        <v>165</v>
      </c>
      <c r="O18" s="297" t="s">
        <v>166</v>
      </c>
      <c r="P18" s="157" t="str">
        <f>VLOOKUP(U18,'[1]- DLiêu Gốc -'!$B$2:$G$56,5,0)</f>
        <v>A1</v>
      </c>
      <c r="Q18" s="157" t="str">
        <f>VLOOKUP(U18,'[1]- DLiêu Gốc -'!$B$2:$G$56,6,0)</f>
        <v>- - -</v>
      </c>
      <c r="R18" s="158" t="s">
        <v>41</v>
      </c>
      <c r="S18" s="298" t="str">
        <f t="shared" ref="S18:S34" si="1">IF(OR(U18="Kỹ thuật viên đánh máy",U18="Nhân viên đánh máy",U18="Nhân viên kỹ thuật",U18="Nhân viên văn thư",U18="Nhân viên phục vụ",U18="Lái xe cơ quan",U18="Nhân viên bảo vệ"),"Nhân viên",U18)</f>
        <v>Chuyên viên</v>
      </c>
      <c r="T18" s="159" t="str">
        <f t="shared" ref="T18:T34" si="2">IF(S18="Nhân viên","01.005",V18)</f>
        <v>01.003</v>
      </c>
      <c r="U18" s="160" t="s">
        <v>103</v>
      </c>
      <c r="V18" s="159" t="str">
        <f>VLOOKUP(U18,'[1]- DLiêu Gốc -'!$B$1:$G$121,2,0)</f>
        <v>01.003</v>
      </c>
      <c r="W18" s="161" t="str">
        <f t="shared" ref="W18:W34" si="3">IF(OR(AND(AN18=36,AM18=3),AND(AN18=24,AM18=2),AND(AN18=12,AM18=1)),"Đến $",IF(AND(AN18&lt;12*10,OR(AND(AN18&gt;36,AM18=3),AND(AN18&gt;24,AN18&lt;120,AM18=2),AND(AN18&gt;12,AM18=1))),"Dừng $","Lương"))</f>
        <v>Lương</v>
      </c>
      <c r="X18" s="162">
        <v>4</v>
      </c>
      <c r="Y18" s="163" t="str">
        <f t="shared" ref="Y18:Y34" si="4">IF(Z18&gt;0,"/")</f>
        <v>/</v>
      </c>
      <c r="Z18" s="164">
        <f t="shared" ref="Z18:Z22" si="5">IF(OR(AR18=0.18,AR18=0.2),12,IF(AR18=0.31,10,IF(AR18=0.33,9,IF(AR18=0.34,8,IF(AR18=0.36,6)))))</f>
        <v>9</v>
      </c>
      <c r="AA18" s="165">
        <f t="shared" ref="AA18:AA34" si="6">AQ18+(X18-1)*AR18</f>
        <v>3.33</v>
      </c>
      <c r="AB18" s="166">
        <f t="shared" ref="AB18:AB34" si="7">X18+1</f>
        <v>5</v>
      </c>
      <c r="AC18" s="316" t="str">
        <f t="shared" ref="AC18:AC34" si="8">IF(Z18=X18,"%",IF(Z18&gt;X18,"/"))</f>
        <v>/</v>
      </c>
      <c r="AD18" s="164">
        <f t="shared" ref="AD18:AD34" si="9">IF(AND(Z18=X18,AB18=4),5,IF(AND(Z18=X18,AB18&gt;4),AB18+1,IF(Z18&gt;X18,Z18)))</f>
        <v>9</v>
      </c>
      <c r="AE18" s="318">
        <f t="shared" ref="AE18:AE34" si="10">IF(Z18=X18,"%",IF(Z18&gt;X18,AA18+AR18))</f>
        <v>3.66</v>
      </c>
      <c r="AF18" s="167" t="s">
        <v>9</v>
      </c>
      <c r="AG18" s="168" t="s">
        <v>10</v>
      </c>
      <c r="AH18" s="169" t="s">
        <v>9</v>
      </c>
      <c r="AI18" s="170" t="s">
        <v>10</v>
      </c>
      <c r="AJ18" s="171">
        <v>2016</v>
      </c>
      <c r="AK18" s="172"/>
      <c r="AL18" s="173"/>
      <c r="AM18" s="145">
        <f t="shared" ref="AM18:AM34" si="11">IF(AND(Z18&gt;X18,OR(AR18=0.18,AR18=0.2)),2,IF(AND(Z18&gt;X18,OR(AR18=0.31,AR18=0.33,AR18=0.34,AR18=0.36)),3,IF(Z18=X18,1)))</f>
        <v>3</v>
      </c>
      <c r="AN18" s="145">
        <f t="shared" ref="AN18:AN34" si="12">12*($W$2-AJ18)+($W$4-AH18)-AO18</f>
        <v>-24193</v>
      </c>
      <c r="AO18" s="139"/>
      <c r="AP18" s="174"/>
      <c r="AQ18" s="147">
        <f>VLOOKUP(U18,'[1]- DLiêu Gốc -'!$B$1:$E$56,3,0)</f>
        <v>2.34</v>
      </c>
      <c r="AR18" s="141">
        <f>VLOOKUP(U18,'[1]- DLiêu Gốc -'!$B$1:$E$56,4,0)</f>
        <v>0.33</v>
      </c>
      <c r="AS18" s="175"/>
      <c r="AT18" s="176" t="str">
        <f t="shared" ref="AT18:AT34" si="13">IF(AND(AU18&gt;3,BF18=12),"Đến %",IF(AND(AU18&gt;3,BF18&gt;12,BF18&lt;120),"Dừng %",IF(AND(AU18&gt;3,BF18&lt;12),"PCTN","o-o-o")))</f>
        <v>o-o-o</v>
      </c>
      <c r="AU18" s="177"/>
      <c r="AV18" s="177"/>
      <c r="AW18" s="141">
        <f t="shared" ref="AW18:AW34" si="14">IF(AU18&gt;3,AU18+1,0)</f>
        <v>0</v>
      </c>
      <c r="AX18" s="178"/>
      <c r="AY18" s="319"/>
      <c r="AZ18" s="144"/>
      <c r="BA18" s="144"/>
      <c r="BB18" s="144"/>
      <c r="BC18" s="144"/>
      <c r="BD18" s="144"/>
      <c r="BE18" s="144"/>
      <c r="BF18" s="146" t="str">
        <f t="shared" ref="BF18:BF34" si="15">IF(AU18&gt;3,(($AT$2-BA18)*12+($AT$4-AY18)-BC18),"- - -")</f>
        <v>- - -</v>
      </c>
      <c r="BG18" s="179" t="str">
        <f t="shared" ref="BG18:BG34" si="16">IF(AND(CF18="Hưu",AU18&gt;3),12-(12*(CL18-BA18)+(CK18-AY18))-BC18,"- - -")</f>
        <v>- - -</v>
      </c>
      <c r="BH18" s="553" t="str">
        <f t="shared" ref="BH18:BH34" si="17">IF(BK18="công chức","CC",IF(BK18="viên chức","VC",IF(BK18="người lao động","NLĐ","- - -")))</f>
        <v>NLĐ</v>
      </c>
      <c r="BI18" s="508"/>
      <c r="BJ18" s="412"/>
      <c r="BK18" s="413" t="s">
        <v>43</v>
      </c>
      <c r="BL18" s="414" t="str">
        <f t="shared" ref="BL18:BL34" si="18">IF(O18="Cơ sở Học viện Hành chính khu vực miền Trung","B",IF(O18="Phân viện Khu vực Tây Nguyên","C",IF(O18="Cơ sở Học viện Hành chính tại thành phố Hồ Chí Minh","D","A")))</f>
        <v>A</v>
      </c>
      <c r="BM18" s="413" t="str">
        <f t="shared" ref="BM18:BM34" si="19">IF(AND(AB18&gt;0,X18&lt;(Z18-1),BN18&gt;0,BN18&lt;13,OR(AND(BT18="Cùg Ng",($BM$2-BP18)&gt;AM18),BT18="- - -")),"Sớm TT","=&gt; s")</f>
        <v>=&gt; s</v>
      </c>
      <c r="BN18" s="415">
        <f t="shared" ref="BN18:BN34" si="20">IF(AM18=3,36-(12*($BM$2-AJ18)+(12-AH18)-AO18),IF(AM18=2,24-(12*($BM$2-AJ18)+(12-AH18)-AO18),"---"))</f>
        <v>24217</v>
      </c>
      <c r="BO18" s="416" t="str">
        <f t="shared" ref="BO18:BO34" si="21">IF(BP18&gt;1,"S","---")</f>
        <v>---</v>
      </c>
      <c r="BP18" s="417"/>
      <c r="BQ18" s="418"/>
      <c r="BR18" s="418"/>
      <c r="BS18" s="418"/>
      <c r="BT18" s="417" t="str">
        <f t="shared" ref="BT18:BT34" si="22">IF(T18=BQ18,"Cùg Ng","- - -")</f>
        <v>- - -</v>
      </c>
      <c r="BU18" s="416" t="str">
        <f t="shared" ref="BU18:BU34" si="23">IF(BW18&gt;2000,"NN","- - -")</f>
        <v>- - -</v>
      </c>
      <c r="BV18" s="413" t="s">
        <v>9</v>
      </c>
      <c r="BW18" s="413"/>
      <c r="BX18" s="419"/>
      <c r="BY18" s="419"/>
      <c r="BZ18" s="419" t="str">
        <f t="shared" ref="BZ18:BZ34" si="24">IF(CB18&gt;2000,"CN","- - -")</f>
        <v>- - -</v>
      </c>
      <c r="CA18" s="419"/>
      <c r="CB18" s="419"/>
      <c r="CC18" s="419"/>
      <c r="CD18" s="419"/>
      <c r="CE18" s="419" t="str">
        <f t="shared" ref="CE18:CE34" si="25">IF(AND(CF18="Hưu",X18&lt;(Z18-1),CM18&gt;0,CM18&lt;18,OR(AU18&lt;4,AND(AU18&gt;3,OR(BG18&lt;3,BG18&gt;5)))),"Lg Sớm",IF(AND(CF18="Hưu",X18&gt;(Z18-2),OR(AR18=0.33,AR18=0.34),OR(AU18&lt;4,AND(AU18&gt;3,OR(BG18&lt;3,BG18&gt;5)))),"Nâng Ngạch",IF(AND(CF18="Hưu",AM18=1,CM18&gt;2,CM18&lt;6,OR(AU18&lt;4,AND(AU18&gt;3,OR(BG18&lt;3,BG18&gt;5)))),"Nâng PcVK cùng QĐ",IF(AND(CF18="Hưu",AU18&gt;3,BG18&gt;2,BG18&lt;6,X18&lt;(Z18-1),CM18&gt;17,OR(AM18&gt;1,AND(AM18=1,OR(CM18&lt;3,CM18&gt;5)))),"Nâng PcNG cùng QĐ",IF(AND(CF18="Hưu",X18&lt;(Z18-1),CM18&gt;0,CM18&lt;18,AU18&gt;3,BG18&gt;2,BG18&lt;6),"Nâng Lg Sớm +(PcNG cùng QĐ)",IF(AND(CF18="Hưu",X18&gt;(Z18-2),OR(AR18=0.33,AR18=0.34),AU18&gt;3,BG18&gt;2,BG18&lt;6),"Nâng Ngạch +(PcNG cùng QĐ)",IF(AND(CF18="Hưu",AM18=1,CM18&gt;2,CM18&lt;6,AU18&gt;3,BG18&gt;2,BG18&lt;6),"Nâng (PcVK +PcNG) cùng QĐ",("---"))))))))</f>
        <v>---</v>
      </c>
      <c r="CF18" s="419" t="str">
        <f t="shared" ref="CF18:CF34" si="26">IF(AND(CQ18&gt;CP18,CQ18&lt;(CP18+13)),"Hưu",IF(AND(CQ18&gt;(CP18+12),CQ18&lt;1000),"Quá","/-/ /-/"))</f>
        <v>/-/ /-/</v>
      </c>
      <c r="CG18" s="419">
        <f t="shared" ref="CG18:CG34" si="27">IF((H18+0)&lt;12,(H18+0)+1,IF((H18+0)=12,1,IF((H18+0)&gt;12,(H18+0)-12)))</f>
        <v>10</v>
      </c>
      <c r="CH18" s="419">
        <f t="shared" ref="CH18:CH34" si="28">IF(OR((H18+0)=12,(H18+0)&gt;12),J18+CP18/12+1,IF(AND((H18+0)&gt;0,(H18+0)&lt;12),J18+CP18/12,"---"))</f>
        <v>2040</v>
      </c>
      <c r="CI18" s="419">
        <f t="shared" ref="CI18:CI34" si="29">IF(AND(CG18&gt;3,CG18&lt;13),CG18-3,IF(CG18&lt;4,CG18-3+12))</f>
        <v>7</v>
      </c>
      <c r="CJ18" s="419">
        <f t="shared" ref="CJ18:CJ34" si="30">IF(CI18&lt;CG18,CH18,IF(CI18&gt;CG18,CH18-1))</f>
        <v>2040</v>
      </c>
      <c r="CK18" s="419">
        <f t="shared" ref="CK18:CK34" si="31">IF(CG18&gt;6,CG18-6,IF(CG18=6,12,IF(CG18&lt;6,CG18+6)))</f>
        <v>4</v>
      </c>
      <c r="CL18" s="419">
        <f t="shared" ref="CL18:CL34" si="32">IF(CG18&gt;6,CH18,IF(CG18&lt;7,CH18-1))</f>
        <v>2040</v>
      </c>
      <c r="CM18" s="419" t="str">
        <f t="shared" ref="CM18:CM34" si="33">IF(AND(CF18="Hưu",AM18=3),36+AO18-(12*(CL18-AJ18)+(CK18-AH18)),IF(AND(CF18="Hưu",AM18=2),24+AO18-(12*(CL18-AJ18)+(CK18-AH18)),IF(AND(CF18="Hưu",AM18=1),12+AO18-(12*(CL18-AJ18)+(CK18-AH18)),"- - -")))</f>
        <v>- - -</v>
      </c>
      <c r="CN18" s="509" t="str">
        <f t="shared" ref="CN18:CN34" si="34">IF(CO18&gt;0,"K.Dài",". .")</f>
        <v>. .</v>
      </c>
      <c r="CO18" s="417"/>
      <c r="CP18" s="510">
        <f t="shared" ref="CP18:CP34" si="35">IF(E18="Nam",(60+CO18)*12,IF(E18="Nữ",(55+CO18)*12,))</f>
        <v>720</v>
      </c>
      <c r="CQ18" s="511">
        <f t="shared" ref="CQ18:CQ34" si="36">12*($CF$4-J18)+(12-H18)</f>
        <v>-23757</v>
      </c>
      <c r="CR18" s="429">
        <f t="shared" ref="CR18:CR34" si="37">$CV$4-J18</f>
        <v>-1980</v>
      </c>
      <c r="CS18" s="512" t="str">
        <f t="shared" ref="CS18:CS34" si="38">IF(AND(CR18&lt;35,E18="Nam"),"Nam dưới 35",IF(AND(CR18&lt;30,E18="Nữ"),"Nữ dưới 30",IF(AND(CR18&gt;34,CR18&lt;46,E18="Nam"),"Nam từ 35 - 45",IF(AND(CR18&gt;29,CR18&lt;41,E18="Nữ"),"Nữ từ 30 - 40",IF(AND(CR18&gt;45,CR18&lt;56,E18="Nam"),"Nam trên 45 - 55",IF(AND(CR18&gt;40,CR18&lt;51,E18="Nữ"),"Nữ trên 40 - 50",IF(AND(CR18&gt;55,E18="Nam"),"Nam trên 55","Nữ trên 50")))))))</f>
        <v>Nam dưới 35</v>
      </c>
      <c r="CT18" s="508"/>
      <c r="CU18" s="429"/>
      <c r="CV18" s="513" t="str">
        <f t="shared" ref="CV18:CV34" si="39">IF(CR18&lt;31,"Đến 30",IF(AND(CR18&gt;30,CR18&lt;46),"31 - 45",IF(AND(CR18&gt;45,CR18&lt;70),"Trên 45")))</f>
        <v>Đến 30</v>
      </c>
      <c r="CW18" s="514" t="str">
        <f t="shared" ref="CW18:CW22" si="40">IF(CX18&gt;0,"TD","--")</f>
        <v>--</v>
      </c>
      <c r="CX18" s="514"/>
      <c r="CY18" s="508"/>
      <c r="CZ18" s="515"/>
      <c r="DA18" s="430"/>
      <c r="DB18" s="419"/>
      <c r="DC18" s="419"/>
      <c r="DD18" s="419"/>
      <c r="DE18" s="419"/>
      <c r="DF18" s="419"/>
      <c r="DG18" s="419" t="s">
        <v>165</v>
      </c>
      <c r="DH18" s="419" t="s">
        <v>9</v>
      </c>
      <c r="DI18" s="419" t="s">
        <v>10</v>
      </c>
      <c r="DJ18" s="419" t="s">
        <v>9</v>
      </c>
      <c r="DK18" s="419" t="s">
        <v>10</v>
      </c>
      <c r="DL18" s="419">
        <v>2013</v>
      </c>
      <c r="DM18" s="419">
        <f t="shared" ref="DM18:DM34" si="41">(DH18+0)-(DO18+0)</f>
        <v>0</v>
      </c>
      <c r="DN18" s="419" t="str">
        <f t="shared" ref="DN18:DN34" si="42">IF(DM18&gt;0,"Sửa","- - -")</f>
        <v>- - -</v>
      </c>
      <c r="DO18" s="419" t="s">
        <v>9</v>
      </c>
      <c r="DP18" s="419" t="s">
        <v>10</v>
      </c>
      <c r="DQ18" s="419" t="s">
        <v>9</v>
      </c>
      <c r="DR18" s="419" t="s">
        <v>10</v>
      </c>
      <c r="DS18" s="419">
        <v>2013</v>
      </c>
      <c r="DU18" s="138" t="str">
        <f t="shared" ref="DU18:DU34" si="43">IF(AND(AR18&gt;0.34,AB18=1,OR(AQ18=6.2,AQ18=5.75)),((AQ18-DT18)-2*0.34),IF(AND(AR18&gt;0.33,AB18=1,OR(AQ18=4.4,AQ18=4)),((AQ18-DT18)-2*0.33),"- - -"))</f>
        <v>- - -</v>
      </c>
      <c r="DV18" s="138" t="str">
        <f t="shared" ref="DV18:DV34" si="44">IF(CF18="Hưu",12*(CL18-AJ18)+(CK18-AH18),"---")</f>
        <v>---</v>
      </c>
    </row>
    <row r="19" spans="1:126" s="403" customFormat="1" ht="30.75" customHeight="1" x14ac:dyDescent="0.25">
      <c r="A19" s="453">
        <v>18</v>
      </c>
      <c r="B19" s="554">
        <v>2</v>
      </c>
      <c r="C19" s="385" t="str">
        <f t="shared" si="0"/>
        <v>Bà</v>
      </c>
      <c r="D19" s="342" t="s">
        <v>167</v>
      </c>
      <c r="E19" s="385" t="s">
        <v>32</v>
      </c>
      <c r="F19" s="454" t="s">
        <v>141</v>
      </c>
      <c r="G19" s="455" t="s">
        <v>10</v>
      </c>
      <c r="H19" s="455" t="s">
        <v>94</v>
      </c>
      <c r="I19" s="455" t="s">
        <v>10</v>
      </c>
      <c r="J19" s="456">
        <v>1966</v>
      </c>
      <c r="K19" s="457" t="str">
        <f>IF(AND((M19+0)&gt;0.3,(M19+0)&lt;1.5),"CVụ","- -")</f>
        <v>CVụ</v>
      </c>
      <c r="L19" s="457" t="s">
        <v>168</v>
      </c>
      <c r="M19" s="457" t="str">
        <f>VLOOKUP(L19,'[1]- DLiêu Gốc -'!$B$2:$G$121,2,0)</f>
        <v>0,6</v>
      </c>
      <c r="N19" s="458" t="s">
        <v>165</v>
      </c>
      <c r="O19" s="459" t="s">
        <v>166</v>
      </c>
      <c r="P19" s="460" t="str">
        <f>VLOOKUP(U19,'[1]- DLiêu Gốc -'!$B$2:$G$56,5,0)</f>
        <v>A2</v>
      </c>
      <c r="Q19" s="460" t="str">
        <f>VLOOKUP(U19,'[1]- DLiêu Gốc -'!$B$2:$G$56,6,0)</f>
        <v>A2.1</v>
      </c>
      <c r="R19" s="461" t="s">
        <v>41</v>
      </c>
      <c r="S19" s="462" t="str">
        <f t="shared" si="1"/>
        <v>Chuyên viên chính</v>
      </c>
      <c r="T19" s="463" t="str">
        <f t="shared" si="2"/>
        <v>01.002</v>
      </c>
      <c r="U19" s="464" t="s">
        <v>169</v>
      </c>
      <c r="V19" s="463" t="str">
        <f>VLOOKUP(U19,'[1]- DLiêu Gốc -'!$B$1:$G$121,2,0)</f>
        <v>01.002</v>
      </c>
      <c r="W19" s="465" t="str">
        <f t="shared" si="3"/>
        <v>Lương</v>
      </c>
      <c r="X19" s="466">
        <v>3</v>
      </c>
      <c r="Y19" s="467" t="str">
        <f t="shared" si="4"/>
        <v>/</v>
      </c>
      <c r="Z19" s="468">
        <f t="shared" si="5"/>
        <v>8</v>
      </c>
      <c r="AA19" s="390">
        <f t="shared" si="6"/>
        <v>5.08</v>
      </c>
      <c r="AB19" s="469">
        <f t="shared" si="7"/>
        <v>4</v>
      </c>
      <c r="AC19" s="457" t="str">
        <f t="shared" si="8"/>
        <v>/</v>
      </c>
      <c r="AD19" s="468">
        <f t="shared" si="9"/>
        <v>8</v>
      </c>
      <c r="AE19" s="470">
        <f t="shared" si="10"/>
        <v>5.42</v>
      </c>
      <c r="AF19" s="471" t="s">
        <v>9</v>
      </c>
      <c r="AG19" s="472" t="s">
        <v>10</v>
      </c>
      <c r="AH19" s="401" t="s">
        <v>9</v>
      </c>
      <c r="AI19" s="473" t="s">
        <v>10</v>
      </c>
      <c r="AJ19" s="474">
        <v>2016</v>
      </c>
      <c r="AK19" s="475" t="s">
        <v>170</v>
      </c>
      <c r="AL19" s="476"/>
      <c r="AM19" s="477">
        <f t="shared" si="11"/>
        <v>3</v>
      </c>
      <c r="AN19" s="477">
        <f t="shared" si="12"/>
        <v>-24193</v>
      </c>
      <c r="AO19" s="384"/>
      <c r="AP19" s="478"/>
      <c r="AQ19" s="396">
        <f>VLOOKUP(U19,'[1]- DLiêu Gốc -'!$B$1:$E$56,3,0)</f>
        <v>4.4000000000000004</v>
      </c>
      <c r="AR19" s="394">
        <f>VLOOKUP(U19,'[1]- DLiêu Gốc -'!$B$1:$E$56,4,0)</f>
        <v>0.34</v>
      </c>
      <c r="AS19" s="479"/>
      <c r="AT19" s="480" t="str">
        <f t="shared" si="13"/>
        <v>o-o-o</v>
      </c>
      <c r="AU19" s="393"/>
      <c r="AV19" s="393"/>
      <c r="AW19" s="394">
        <f t="shared" si="14"/>
        <v>0</v>
      </c>
      <c r="AX19" s="481"/>
      <c r="AY19" s="482"/>
      <c r="AZ19" s="395"/>
      <c r="BA19" s="395"/>
      <c r="BB19" s="395"/>
      <c r="BC19" s="395"/>
      <c r="BD19" s="395"/>
      <c r="BE19" s="395"/>
      <c r="BF19" s="483" t="str">
        <f t="shared" si="15"/>
        <v>- - -</v>
      </c>
      <c r="BG19" s="484" t="str">
        <f t="shared" si="16"/>
        <v>- - -</v>
      </c>
      <c r="BH19" s="555" t="str">
        <f t="shared" si="17"/>
        <v>VC</v>
      </c>
      <c r="BI19" s="222"/>
      <c r="BJ19" s="209"/>
      <c r="BK19" s="210" t="s">
        <v>101</v>
      </c>
      <c r="BL19" s="211" t="str">
        <f t="shared" si="18"/>
        <v>A</v>
      </c>
      <c r="BM19" s="210" t="str">
        <f t="shared" si="19"/>
        <v>=&gt; s</v>
      </c>
      <c r="BN19" s="212">
        <f t="shared" si="20"/>
        <v>24217</v>
      </c>
      <c r="BO19" s="213" t="str">
        <f t="shared" si="21"/>
        <v>---</v>
      </c>
      <c r="BP19" s="214"/>
      <c r="BQ19" s="215"/>
      <c r="BR19" s="215"/>
      <c r="BS19" s="215"/>
      <c r="BT19" s="214" t="str">
        <f t="shared" si="22"/>
        <v>- - -</v>
      </c>
      <c r="BU19" s="213" t="str">
        <f t="shared" si="23"/>
        <v>NN</v>
      </c>
      <c r="BV19" s="210">
        <v>11</v>
      </c>
      <c r="BW19" s="210">
        <v>2012</v>
      </c>
      <c r="BX19" s="216"/>
      <c r="BY19" s="216"/>
      <c r="BZ19" s="216" t="str">
        <f t="shared" si="24"/>
        <v>- - -</v>
      </c>
      <c r="CA19" s="216"/>
      <c r="CB19" s="216"/>
      <c r="CC19" s="216"/>
      <c r="CD19" s="216"/>
      <c r="CE19" s="216" t="str">
        <f t="shared" si="25"/>
        <v>---</v>
      </c>
      <c r="CF19" s="216" t="str">
        <f t="shared" si="26"/>
        <v>/-/ /-/</v>
      </c>
      <c r="CG19" s="216">
        <f t="shared" si="27"/>
        <v>10</v>
      </c>
      <c r="CH19" s="216">
        <f t="shared" si="28"/>
        <v>2021</v>
      </c>
      <c r="CI19" s="216">
        <f t="shared" si="29"/>
        <v>7</v>
      </c>
      <c r="CJ19" s="216">
        <f t="shared" si="30"/>
        <v>2021</v>
      </c>
      <c r="CK19" s="216">
        <f t="shared" si="31"/>
        <v>4</v>
      </c>
      <c r="CL19" s="216">
        <f t="shared" si="32"/>
        <v>2021</v>
      </c>
      <c r="CM19" s="216" t="str">
        <f t="shared" si="33"/>
        <v>- - -</v>
      </c>
      <c r="CN19" s="217" t="str">
        <f t="shared" si="34"/>
        <v>. .</v>
      </c>
      <c r="CO19" s="214"/>
      <c r="CP19" s="218">
        <f t="shared" si="35"/>
        <v>660</v>
      </c>
      <c r="CQ19" s="219">
        <f t="shared" si="36"/>
        <v>-23589</v>
      </c>
      <c r="CR19" s="220">
        <f t="shared" si="37"/>
        <v>-1966</v>
      </c>
      <c r="CS19" s="221" t="str">
        <f t="shared" si="38"/>
        <v>Nữ dưới 30</v>
      </c>
      <c r="CT19" s="222"/>
      <c r="CU19" s="220"/>
      <c r="CV19" s="223" t="str">
        <f t="shared" si="39"/>
        <v>Đến 30</v>
      </c>
      <c r="CW19" s="307" t="str">
        <f t="shared" si="40"/>
        <v>--</v>
      </c>
      <c r="CX19" s="307"/>
      <c r="CY19" s="222"/>
      <c r="CZ19" s="308"/>
      <c r="DA19" s="309"/>
      <c r="DB19" s="216"/>
      <c r="DC19" s="216"/>
      <c r="DD19" s="216"/>
      <c r="DE19" s="216"/>
      <c r="DF19" s="216"/>
      <c r="DG19" s="216" t="s">
        <v>165</v>
      </c>
      <c r="DH19" s="216" t="s">
        <v>9</v>
      </c>
      <c r="DI19" s="216" t="s">
        <v>10</v>
      </c>
      <c r="DJ19" s="216" t="s">
        <v>9</v>
      </c>
      <c r="DK19" s="216" t="s">
        <v>10</v>
      </c>
      <c r="DL19" s="216">
        <v>2013</v>
      </c>
      <c r="DM19" s="216">
        <f t="shared" si="41"/>
        <v>0</v>
      </c>
      <c r="DN19" s="216" t="str">
        <f t="shared" si="42"/>
        <v>- - -</v>
      </c>
      <c r="DO19" s="216" t="s">
        <v>9</v>
      </c>
      <c r="DP19" s="216" t="s">
        <v>10</v>
      </c>
      <c r="DQ19" s="216" t="s">
        <v>9</v>
      </c>
      <c r="DR19" s="216" t="s">
        <v>10</v>
      </c>
      <c r="DS19" s="216">
        <v>2013</v>
      </c>
      <c r="DT19" s="403">
        <v>4.6500000000000004</v>
      </c>
      <c r="DU19" s="403" t="str">
        <f t="shared" si="43"/>
        <v>- - -</v>
      </c>
      <c r="DV19" s="403" t="str">
        <f t="shared" si="44"/>
        <v>---</v>
      </c>
    </row>
    <row r="20" spans="1:126" s="138" customFormat="1" ht="36" customHeight="1" x14ac:dyDescent="0.25">
      <c r="A20" s="152">
        <v>115</v>
      </c>
      <c r="B20" s="552">
        <v>3</v>
      </c>
      <c r="C20" s="142" t="str">
        <f t="shared" si="0"/>
        <v>Bà</v>
      </c>
      <c r="D20" s="153" t="s">
        <v>171</v>
      </c>
      <c r="E20" s="142" t="s">
        <v>32</v>
      </c>
      <c r="F20" s="154" t="s">
        <v>42</v>
      </c>
      <c r="G20" s="155" t="s">
        <v>10</v>
      </c>
      <c r="H20" s="155" t="s">
        <v>94</v>
      </c>
      <c r="I20" s="155" t="s">
        <v>10</v>
      </c>
      <c r="J20" s="156" t="s">
        <v>172</v>
      </c>
      <c r="K20" s="316"/>
      <c r="L20" s="316"/>
      <c r="M20" s="316" t="e">
        <f>VLOOKUP(L20,'[1]- DLiêu Gốc -'!$B$2:$G$121,2,0)</f>
        <v>#N/A</v>
      </c>
      <c r="N20" s="317" t="s">
        <v>173</v>
      </c>
      <c r="O20" s="297" t="s">
        <v>140</v>
      </c>
      <c r="P20" s="157" t="str">
        <f>VLOOKUP(U20,'[1]- DLiêu Gốc -'!$B$2:$G$56,5,0)</f>
        <v>A1</v>
      </c>
      <c r="Q20" s="157" t="str">
        <f>VLOOKUP(U20,'[1]- DLiêu Gốc -'!$B$2:$G$56,6,0)</f>
        <v>- - -</v>
      </c>
      <c r="R20" s="158" t="s">
        <v>41</v>
      </c>
      <c r="S20" s="298" t="str">
        <f t="shared" si="1"/>
        <v>Chuyên viên</v>
      </c>
      <c r="T20" s="159" t="str">
        <f t="shared" si="2"/>
        <v>01.003</v>
      </c>
      <c r="U20" s="160" t="s">
        <v>103</v>
      </c>
      <c r="V20" s="159" t="str">
        <f>VLOOKUP(U20,'[1]- DLiêu Gốc -'!$B$1:$G$121,2,0)</f>
        <v>01.003</v>
      </c>
      <c r="W20" s="161" t="str">
        <f t="shared" si="3"/>
        <v>Lương</v>
      </c>
      <c r="X20" s="162">
        <v>3</v>
      </c>
      <c r="Y20" s="163" t="str">
        <f t="shared" si="4"/>
        <v>/</v>
      </c>
      <c r="Z20" s="164">
        <f t="shared" si="5"/>
        <v>9</v>
      </c>
      <c r="AA20" s="165">
        <f t="shared" si="6"/>
        <v>3</v>
      </c>
      <c r="AB20" s="166">
        <f t="shared" si="7"/>
        <v>4</v>
      </c>
      <c r="AC20" s="316" t="str">
        <f t="shared" si="8"/>
        <v>/</v>
      </c>
      <c r="AD20" s="164">
        <f t="shared" si="9"/>
        <v>9</v>
      </c>
      <c r="AE20" s="318">
        <f t="shared" si="10"/>
        <v>3.33</v>
      </c>
      <c r="AF20" s="167" t="s">
        <v>9</v>
      </c>
      <c r="AG20" s="168" t="s">
        <v>10</v>
      </c>
      <c r="AH20" s="169" t="s">
        <v>9</v>
      </c>
      <c r="AI20" s="170" t="s">
        <v>10</v>
      </c>
      <c r="AJ20" s="171">
        <v>2016</v>
      </c>
      <c r="AK20" s="172"/>
      <c r="AL20" s="173"/>
      <c r="AM20" s="145">
        <f t="shared" si="11"/>
        <v>3</v>
      </c>
      <c r="AN20" s="145">
        <f t="shared" si="12"/>
        <v>-24193</v>
      </c>
      <c r="AO20" s="139"/>
      <c r="AP20" s="174"/>
      <c r="AQ20" s="147">
        <f>VLOOKUP(U20,'[1]- DLiêu Gốc -'!$B$1:$E$56,3,0)</f>
        <v>2.34</v>
      </c>
      <c r="AR20" s="141">
        <f>VLOOKUP(U20,'[1]- DLiêu Gốc -'!$B$1:$E$56,4,0)</f>
        <v>0.33</v>
      </c>
      <c r="AS20" s="175"/>
      <c r="AT20" s="176" t="str">
        <f t="shared" si="13"/>
        <v>o-o-o</v>
      </c>
      <c r="AU20" s="177"/>
      <c r="AV20" s="177"/>
      <c r="AW20" s="141">
        <f t="shared" si="14"/>
        <v>0</v>
      </c>
      <c r="AX20" s="178"/>
      <c r="AY20" s="319"/>
      <c r="AZ20" s="144"/>
      <c r="BA20" s="144"/>
      <c r="BB20" s="144"/>
      <c r="BC20" s="144"/>
      <c r="BD20" s="144"/>
      <c r="BE20" s="144"/>
      <c r="BF20" s="146" t="str">
        <f t="shared" si="15"/>
        <v>- - -</v>
      </c>
      <c r="BG20" s="179" t="str">
        <f t="shared" si="16"/>
        <v>- - -</v>
      </c>
      <c r="BH20" s="553" t="str">
        <f t="shared" si="17"/>
        <v>NLĐ</v>
      </c>
      <c r="BI20" s="508"/>
      <c r="BJ20" s="412"/>
      <c r="BK20" s="413" t="s">
        <v>43</v>
      </c>
      <c r="BL20" s="414" t="str">
        <f t="shared" si="18"/>
        <v>A</v>
      </c>
      <c r="BM20" s="413" t="str">
        <f t="shared" si="19"/>
        <v>=&gt; s</v>
      </c>
      <c r="BN20" s="415">
        <f t="shared" si="20"/>
        <v>24217</v>
      </c>
      <c r="BO20" s="416" t="str">
        <f t="shared" si="21"/>
        <v>---</v>
      </c>
      <c r="BP20" s="417"/>
      <c r="BQ20" s="418"/>
      <c r="BR20" s="418"/>
      <c r="BS20" s="418"/>
      <c r="BT20" s="417" t="str">
        <f t="shared" si="22"/>
        <v>- - -</v>
      </c>
      <c r="BU20" s="416" t="str">
        <f t="shared" si="23"/>
        <v>- - -</v>
      </c>
      <c r="BV20" s="413"/>
      <c r="BW20" s="413"/>
      <c r="BX20" s="419"/>
      <c r="BY20" s="419"/>
      <c r="BZ20" s="419" t="str">
        <f t="shared" si="24"/>
        <v>- - -</v>
      </c>
      <c r="CA20" s="419"/>
      <c r="CB20" s="419"/>
      <c r="CC20" s="419"/>
      <c r="CD20" s="419"/>
      <c r="CE20" s="419" t="str">
        <f t="shared" si="25"/>
        <v>---</v>
      </c>
      <c r="CF20" s="419" t="str">
        <f t="shared" si="26"/>
        <v>/-/ /-/</v>
      </c>
      <c r="CG20" s="419">
        <f t="shared" si="27"/>
        <v>10</v>
      </c>
      <c r="CH20" s="419">
        <f t="shared" si="28"/>
        <v>2032</v>
      </c>
      <c r="CI20" s="419">
        <f t="shared" si="29"/>
        <v>7</v>
      </c>
      <c r="CJ20" s="419">
        <f t="shared" si="30"/>
        <v>2032</v>
      </c>
      <c r="CK20" s="419">
        <f t="shared" si="31"/>
        <v>4</v>
      </c>
      <c r="CL20" s="419">
        <f t="shared" si="32"/>
        <v>2032</v>
      </c>
      <c r="CM20" s="419" t="str">
        <f t="shared" si="33"/>
        <v>- - -</v>
      </c>
      <c r="CN20" s="509" t="str">
        <f t="shared" si="34"/>
        <v>. .</v>
      </c>
      <c r="CO20" s="417"/>
      <c r="CP20" s="510">
        <f t="shared" si="35"/>
        <v>660</v>
      </c>
      <c r="CQ20" s="511">
        <f t="shared" si="36"/>
        <v>-23721</v>
      </c>
      <c r="CR20" s="429">
        <f t="shared" si="37"/>
        <v>-1977</v>
      </c>
      <c r="CS20" s="512" t="str">
        <f t="shared" si="38"/>
        <v>Nữ dưới 30</v>
      </c>
      <c r="CT20" s="508"/>
      <c r="CU20" s="429"/>
      <c r="CV20" s="513" t="str">
        <f t="shared" si="39"/>
        <v>Đến 30</v>
      </c>
      <c r="CW20" s="514" t="str">
        <f t="shared" si="40"/>
        <v>--</v>
      </c>
      <c r="CX20" s="514"/>
      <c r="CY20" s="508"/>
      <c r="CZ20" s="515"/>
      <c r="DA20" s="430"/>
      <c r="DB20" s="419"/>
      <c r="DC20" s="419"/>
      <c r="DD20" s="419"/>
      <c r="DE20" s="419"/>
      <c r="DF20" s="419"/>
      <c r="DG20" s="419" t="s">
        <v>173</v>
      </c>
      <c r="DH20" s="419" t="s">
        <v>9</v>
      </c>
      <c r="DI20" s="419" t="s">
        <v>10</v>
      </c>
      <c r="DJ20" s="419" t="s">
        <v>9</v>
      </c>
      <c r="DK20" s="419" t="s">
        <v>10</v>
      </c>
      <c r="DL20" s="419">
        <v>2013</v>
      </c>
      <c r="DM20" s="419">
        <f t="shared" si="41"/>
        <v>0</v>
      </c>
      <c r="DN20" s="419" t="str">
        <f t="shared" si="42"/>
        <v>- - -</v>
      </c>
      <c r="DO20" s="419" t="s">
        <v>9</v>
      </c>
      <c r="DP20" s="419" t="s">
        <v>10</v>
      </c>
      <c r="DQ20" s="419" t="s">
        <v>9</v>
      </c>
      <c r="DR20" s="419" t="s">
        <v>10</v>
      </c>
      <c r="DS20" s="419">
        <v>2013</v>
      </c>
      <c r="DU20" s="138" t="str">
        <f t="shared" si="43"/>
        <v>- - -</v>
      </c>
      <c r="DV20" s="138" t="str">
        <f t="shared" si="44"/>
        <v>---</v>
      </c>
    </row>
    <row r="21" spans="1:126" s="403" customFormat="1" ht="36" customHeight="1" x14ac:dyDescent="0.25">
      <c r="A21" s="453">
        <v>122</v>
      </c>
      <c r="B21" s="554">
        <v>4</v>
      </c>
      <c r="C21" s="385" t="str">
        <f t="shared" si="0"/>
        <v>Ông</v>
      </c>
      <c r="D21" s="342" t="s">
        <v>174</v>
      </c>
      <c r="E21" s="385" t="s">
        <v>39</v>
      </c>
      <c r="F21" s="454" t="s">
        <v>46</v>
      </c>
      <c r="G21" s="455" t="s">
        <v>10</v>
      </c>
      <c r="H21" s="455" t="s">
        <v>94</v>
      </c>
      <c r="I21" s="455" t="s">
        <v>10</v>
      </c>
      <c r="J21" s="456">
        <v>1966</v>
      </c>
      <c r="K21" s="457" t="str">
        <f>IF(AND((M21+0)&gt;0.3,(M21+0)&lt;1.5),"CVụ","- -")</f>
        <v>CVụ</v>
      </c>
      <c r="L21" s="457" t="s">
        <v>121</v>
      </c>
      <c r="M21" s="457" t="str">
        <f>VLOOKUP(L21,'[1]- DLiêu Gốc -'!$B$2:$G$121,2,0)</f>
        <v>0,8</v>
      </c>
      <c r="N21" s="458" t="s">
        <v>173</v>
      </c>
      <c r="O21" s="459" t="s">
        <v>140</v>
      </c>
      <c r="P21" s="460" t="str">
        <f>VLOOKUP(U21,'[1]- DLiêu Gốc -'!$B$2:$G$56,5,0)</f>
        <v>A3</v>
      </c>
      <c r="Q21" s="460" t="str">
        <f>VLOOKUP(U21,'[1]- DLiêu Gốc -'!$B$2:$G$56,6,0)</f>
        <v>A3.1</v>
      </c>
      <c r="R21" s="461" t="s">
        <v>41</v>
      </c>
      <c r="S21" s="462" t="str">
        <f t="shared" si="1"/>
        <v>Chuyên viên cao cấp</v>
      </c>
      <c r="T21" s="463" t="str">
        <f t="shared" si="2"/>
        <v>01.001</v>
      </c>
      <c r="U21" s="464" t="s">
        <v>175</v>
      </c>
      <c r="V21" s="463" t="str">
        <f>VLOOKUP(U21,'[1]- DLiêu Gốc -'!$B$1:$G$121,2,0)</f>
        <v>01.001</v>
      </c>
      <c r="W21" s="465" t="str">
        <f t="shared" si="3"/>
        <v>Lương</v>
      </c>
      <c r="X21" s="466">
        <v>1</v>
      </c>
      <c r="Y21" s="467" t="str">
        <f t="shared" si="4"/>
        <v>/</v>
      </c>
      <c r="Z21" s="468">
        <f t="shared" si="5"/>
        <v>6</v>
      </c>
      <c r="AA21" s="390">
        <f t="shared" si="6"/>
        <v>6.2</v>
      </c>
      <c r="AB21" s="469">
        <f t="shared" si="7"/>
        <v>2</v>
      </c>
      <c r="AC21" s="457" t="str">
        <f t="shared" si="8"/>
        <v>/</v>
      </c>
      <c r="AD21" s="468">
        <f t="shared" si="9"/>
        <v>6</v>
      </c>
      <c r="AE21" s="470">
        <f t="shared" si="10"/>
        <v>6.5600000000000005</v>
      </c>
      <c r="AF21" s="471" t="s">
        <v>9</v>
      </c>
      <c r="AG21" s="472" t="s">
        <v>10</v>
      </c>
      <c r="AH21" s="401" t="s">
        <v>87</v>
      </c>
      <c r="AI21" s="473" t="s">
        <v>10</v>
      </c>
      <c r="AJ21" s="474">
        <v>2016</v>
      </c>
      <c r="AK21" s="475"/>
      <c r="AL21" s="476"/>
      <c r="AM21" s="477">
        <f t="shared" si="11"/>
        <v>3</v>
      </c>
      <c r="AN21" s="477">
        <f t="shared" si="12"/>
        <v>-24193</v>
      </c>
      <c r="AO21" s="384"/>
      <c r="AP21" s="478"/>
      <c r="AQ21" s="396">
        <f>VLOOKUP(U21,'[1]- DLiêu Gốc -'!$B$1:$E$56,3,0)</f>
        <v>6.2</v>
      </c>
      <c r="AR21" s="394">
        <f>VLOOKUP(U21,'[1]- DLiêu Gốc -'!$B$1:$E$56,4,0)</f>
        <v>0.36</v>
      </c>
      <c r="AS21" s="479"/>
      <c r="AT21" s="480" t="str">
        <f t="shared" si="13"/>
        <v>o-o-o</v>
      </c>
      <c r="AU21" s="393"/>
      <c r="AV21" s="393"/>
      <c r="AW21" s="394">
        <f t="shared" si="14"/>
        <v>0</v>
      </c>
      <c r="AX21" s="481"/>
      <c r="AY21" s="482"/>
      <c r="AZ21" s="395"/>
      <c r="BA21" s="395"/>
      <c r="BB21" s="395"/>
      <c r="BC21" s="395"/>
      <c r="BD21" s="395"/>
      <c r="BE21" s="395"/>
      <c r="BF21" s="483" t="str">
        <f t="shared" si="15"/>
        <v>- - -</v>
      </c>
      <c r="BG21" s="484" t="str">
        <f t="shared" si="16"/>
        <v>- - -</v>
      </c>
      <c r="BH21" s="555" t="str">
        <f t="shared" si="17"/>
        <v>VC</v>
      </c>
      <c r="BI21" s="222"/>
      <c r="BJ21" s="209"/>
      <c r="BK21" s="210" t="s">
        <v>101</v>
      </c>
      <c r="BL21" s="211" t="str">
        <f t="shared" si="18"/>
        <v>A</v>
      </c>
      <c r="BM21" s="210" t="str">
        <f t="shared" si="19"/>
        <v>=&gt; s</v>
      </c>
      <c r="BN21" s="212">
        <f t="shared" si="20"/>
        <v>24217</v>
      </c>
      <c r="BO21" s="213" t="str">
        <f t="shared" si="21"/>
        <v>S</v>
      </c>
      <c r="BP21" s="214">
        <v>2007</v>
      </c>
      <c r="BQ21" s="215" t="s">
        <v>176</v>
      </c>
      <c r="BR21" s="215"/>
      <c r="BS21" s="215"/>
      <c r="BT21" s="214" t="str">
        <f t="shared" si="22"/>
        <v>- - -</v>
      </c>
      <c r="BU21" s="213" t="str">
        <f t="shared" si="23"/>
        <v>NN</v>
      </c>
      <c r="BV21" s="210">
        <v>1</v>
      </c>
      <c r="BW21" s="210">
        <v>2013</v>
      </c>
      <c r="BX21" s="216"/>
      <c r="BY21" s="216"/>
      <c r="BZ21" s="216" t="str">
        <f t="shared" si="24"/>
        <v>- - -</v>
      </c>
      <c r="CA21" s="216"/>
      <c r="CB21" s="216"/>
      <c r="CC21" s="216"/>
      <c r="CD21" s="216"/>
      <c r="CE21" s="216" t="str">
        <f t="shared" si="25"/>
        <v>---</v>
      </c>
      <c r="CF21" s="216" t="str">
        <f t="shared" si="26"/>
        <v>/-/ /-/</v>
      </c>
      <c r="CG21" s="216">
        <f t="shared" si="27"/>
        <v>10</v>
      </c>
      <c r="CH21" s="216">
        <f t="shared" si="28"/>
        <v>2026</v>
      </c>
      <c r="CI21" s="216">
        <f t="shared" si="29"/>
        <v>7</v>
      </c>
      <c r="CJ21" s="216">
        <f t="shared" si="30"/>
        <v>2026</v>
      </c>
      <c r="CK21" s="216">
        <f t="shared" si="31"/>
        <v>4</v>
      </c>
      <c r="CL21" s="216">
        <f t="shared" si="32"/>
        <v>2026</v>
      </c>
      <c r="CM21" s="216" t="str">
        <f t="shared" si="33"/>
        <v>- - -</v>
      </c>
      <c r="CN21" s="217" t="str">
        <f t="shared" si="34"/>
        <v>. .</v>
      </c>
      <c r="CO21" s="214"/>
      <c r="CP21" s="218">
        <f t="shared" si="35"/>
        <v>720</v>
      </c>
      <c r="CQ21" s="219">
        <f t="shared" si="36"/>
        <v>-23589</v>
      </c>
      <c r="CR21" s="220">
        <f t="shared" si="37"/>
        <v>-1966</v>
      </c>
      <c r="CS21" s="221" t="str">
        <f t="shared" si="38"/>
        <v>Nam dưới 35</v>
      </c>
      <c r="CT21" s="222"/>
      <c r="CU21" s="220"/>
      <c r="CV21" s="223" t="str">
        <f t="shared" si="39"/>
        <v>Đến 30</v>
      </c>
      <c r="CW21" s="307" t="str">
        <f t="shared" si="40"/>
        <v>--</v>
      </c>
      <c r="CX21" s="307"/>
      <c r="CY21" s="222"/>
      <c r="CZ21" s="308"/>
      <c r="DA21" s="309">
        <v>2012</v>
      </c>
      <c r="DB21" s="216"/>
      <c r="DC21" s="216"/>
      <c r="DD21" s="216"/>
      <c r="DE21" s="216"/>
      <c r="DF21" s="216"/>
      <c r="DG21" s="216" t="s">
        <v>173</v>
      </c>
      <c r="DH21" s="216" t="s">
        <v>9</v>
      </c>
      <c r="DI21" s="216" t="s">
        <v>10</v>
      </c>
      <c r="DJ21" s="216" t="s">
        <v>87</v>
      </c>
      <c r="DK21" s="216" t="s">
        <v>10</v>
      </c>
      <c r="DL21" s="216">
        <v>2013</v>
      </c>
      <c r="DM21" s="216">
        <f t="shared" si="41"/>
        <v>0</v>
      </c>
      <c r="DN21" s="216" t="str">
        <f t="shared" si="42"/>
        <v>- - -</v>
      </c>
      <c r="DO21" s="216" t="s">
        <v>9</v>
      </c>
      <c r="DP21" s="216" t="s">
        <v>10</v>
      </c>
      <c r="DQ21" s="216" t="s">
        <v>87</v>
      </c>
      <c r="DR21" s="216" t="s">
        <v>10</v>
      </c>
      <c r="DS21" s="216">
        <v>2013</v>
      </c>
      <c r="DT21" s="403">
        <v>5.08</v>
      </c>
      <c r="DU21" s="403" t="str">
        <f t="shared" si="43"/>
        <v>- - -</v>
      </c>
      <c r="DV21" s="403" t="str">
        <f t="shared" si="44"/>
        <v>---</v>
      </c>
    </row>
    <row r="22" spans="1:126" s="138" customFormat="1" ht="36" customHeight="1" x14ac:dyDescent="0.25">
      <c r="A22" s="152">
        <v>130</v>
      </c>
      <c r="B22" s="552">
        <v>5</v>
      </c>
      <c r="C22" s="142" t="str">
        <f t="shared" si="0"/>
        <v>Bà</v>
      </c>
      <c r="D22" s="153" t="s">
        <v>177</v>
      </c>
      <c r="E22" s="142" t="s">
        <v>32</v>
      </c>
      <c r="F22" s="154" t="s">
        <v>154</v>
      </c>
      <c r="G22" s="155" t="s">
        <v>10</v>
      </c>
      <c r="H22" s="155" t="s">
        <v>46</v>
      </c>
      <c r="I22" s="155" t="s">
        <v>10</v>
      </c>
      <c r="J22" s="156">
        <v>1988</v>
      </c>
      <c r="K22" s="316"/>
      <c r="L22" s="316"/>
      <c r="M22" s="316" t="e">
        <f>VLOOKUP(L22,'[1]- DLiêu Gốc -'!$B$2:$G$121,2,0)</f>
        <v>#N/A</v>
      </c>
      <c r="N22" s="317" t="s">
        <v>178</v>
      </c>
      <c r="O22" s="297" t="s">
        <v>140</v>
      </c>
      <c r="P22" s="157" t="str">
        <f>VLOOKUP(U22,'[1]- DLiêu Gốc -'!$B$2:$G$56,5,0)</f>
        <v>B</v>
      </c>
      <c r="Q22" s="157" t="str">
        <f>VLOOKUP(U22,'[1]- DLiêu Gốc -'!$B$2:$G$56,6,0)</f>
        <v>- - -</v>
      </c>
      <c r="R22" s="158" t="s">
        <v>41</v>
      </c>
      <c r="S22" s="298" t="str">
        <f t="shared" si="1"/>
        <v>Cán sự</v>
      </c>
      <c r="T22" s="159" t="str">
        <f t="shared" si="2"/>
        <v>01.004</v>
      </c>
      <c r="U22" s="160" t="s">
        <v>179</v>
      </c>
      <c r="V22" s="159" t="str">
        <f>VLOOKUP(U22,'[1]- DLiêu Gốc -'!$B$1:$G$121,2,0)</f>
        <v>01.004</v>
      </c>
      <c r="W22" s="161" t="str">
        <f t="shared" si="3"/>
        <v>Lương</v>
      </c>
      <c r="X22" s="162">
        <v>3</v>
      </c>
      <c r="Y22" s="163" t="str">
        <f t="shared" si="4"/>
        <v>/</v>
      </c>
      <c r="Z22" s="164">
        <f t="shared" si="5"/>
        <v>12</v>
      </c>
      <c r="AA22" s="165">
        <f t="shared" si="6"/>
        <v>2.2600000000000002</v>
      </c>
      <c r="AB22" s="166">
        <f t="shared" si="7"/>
        <v>4</v>
      </c>
      <c r="AC22" s="316" t="str">
        <f t="shared" si="8"/>
        <v>/</v>
      </c>
      <c r="AD22" s="164">
        <f t="shared" si="9"/>
        <v>12</v>
      </c>
      <c r="AE22" s="318">
        <f t="shared" si="10"/>
        <v>2.4600000000000004</v>
      </c>
      <c r="AF22" s="167" t="s">
        <v>9</v>
      </c>
      <c r="AG22" s="168" t="s">
        <v>10</v>
      </c>
      <c r="AH22" s="169" t="s">
        <v>9</v>
      </c>
      <c r="AI22" s="170" t="s">
        <v>10</v>
      </c>
      <c r="AJ22" s="171">
        <v>2016</v>
      </c>
      <c r="AK22" s="172"/>
      <c r="AL22" s="173"/>
      <c r="AM22" s="145">
        <f t="shared" si="11"/>
        <v>2</v>
      </c>
      <c r="AN22" s="145">
        <f t="shared" si="12"/>
        <v>-24193</v>
      </c>
      <c r="AO22" s="139"/>
      <c r="AP22" s="174"/>
      <c r="AQ22" s="147">
        <f>VLOOKUP(U22,'[1]- DLiêu Gốc -'!$B$1:$E$56,3,0)</f>
        <v>1.86</v>
      </c>
      <c r="AR22" s="141">
        <f>VLOOKUP(U22,'[1]- DLiêu Gốc -'!$B$1:$E$56,4,0)</f>
        <v>0.2</v>
      </c>
      <c r="AS22" s="175"/>
      <c r="AT22" s="176" t="str">
        <f t="shared" si="13"/>
        <v>o-o-o</v>
      </c>
      <c r="AU22" s="177"/>
      <c r="AV22" s="177"/>
      <c r="AW22" s="141">
        <f t="shared" si="14"/>
        <v>0</v>
      </c>
      <c r="AX22" s="178"/>
      <c r="AY22" s="319"/>
      <c r="AZ22" s="144"/>
      <c r="BA22" s="144"/>
      <c r="BB22" s="144"/>
      <c r="BC22" s="144"/>
      <c r="BD22" s="144"/>
      <c r="BE22" s="144"/>
      <c r="BF22" s="146" t="str">
        <f t="shared" si="15"/>
        <v>- - -</v>
      </c>
      <c r="BG22" s="179" t="str">
        <f t="shared" si="16"/>
        <v>- - -</v>
      </c>
      <c r="BH22" s="553" t="str">
        <f t="shared" si="17"/>
        <v>NLĐ</v>
      </c>
      <c r="BI22" s="508"/>
      <c r="BJ22" s="412"/>
      <c r="BK22" s="413" t="s">
        <v>43</v>
      </c>
      <c r="BL22" s="414" t="str">
        <f t="shared" si="18"/>
        <v>A</v>
      </c>
      <c r="BM22" s="413" t="str">
        <f t="shared" si="19"/>
        <v>=&gt; s</v>
      </c>
      <c r="BN22" s="415">
        <f t="shared" si="20"/>
        <v>24205</v>
      </c>
      <c r="BO22" s="416" t="str">
        <f t="shared" si="21"/>
        <v>---</v>
      </c>
      <c r="BP22" s="417"/>
      <c r="BQ22" s="418"/>
      <c r="BR22" s="418"/>
      <c r="BS22" s="418"/>
      <c r="BT22" s="417" t="str">
        <f t="shared" si="22"/>
        <v>- - -</v>
      </c>
      <c r="BU22" s="416" t="str">
        <f t="shared" si="23"/>
        <v>- - -</v>
      </c>
      <c r="BV22" s="413"/>
      <c r="BW22" s="413"/>
      <c r="BX22" s="419"/>
      <c r="BY22" s="419"/>
      <c r="BZ22" s="419" t="str">
        <f t="shared" si="24"/>
        <v>- - -</v>
      </c>
      <c r="CA22" s="419"/>
      <c r="CB22" s="419"/>
      <c r="CC22" s="419"/>
      <c r="CD22" s="419"/>
      <c r="CE22" s="419" t="str">
        <f t="shared" si="25"/>
        <v>---</v>
      </c>
      <c r="CF22" s="419" t="str">
        <f t="shared" si="26"/>
        <v>/-/ /-/</v>
      </c>
      <c r="CG22" s="419">
        <f t="shared" si="27"/>
        <v>11</v>
      </c>
      <c r="CH22" s="419">
        <f t="shared" si="28"/>
        <v>2043</v>
      </c>
      <c r="CI22" s="419">
        <f t="shared" si="29"/>
        <v>8</v>
      </c>
      <c r="CJ22" s="419">
        <f t="shared" si="30"/>
        <v>2043</v>
      </c>
      <c r="CK22" s="419">
        <f t="shared" si="31"/>
        <v>5</v>
      </c>
      <c r="CL22" s="419">
        <f t="shared" si="32"/>
        <v>2043</v>
      </c>
      <c r="CM22" s="419" t="str">
        <f t="shared" si="33"/>
        <v>- - -</v>
      </c>
      <c r="CN22" s="509" t="str">
        <f t="shared" si="34"/>
        <v>. .</v>
      </c>
      <c r="CO22" s="417"/>
      <c r="CP22" s="510">
        <f t="shared" si="35"/>
        <v>660</v>
      </c>
      <c r="CQ22" s="511">
        <f t="shared" si="36"/>
        <v>-23854</v>
      </c>
      <c r="CR22" s="429">
        <f t="shared" si="37"/>
        <v>-1988</v>
      </c>
      <c r="CS22" s="512" t="str">
        <f t="shared" si="38"/>
        <v>Nữ dưới 30</v>
      </c>
      <c r="CT22" s="508"/>
      <c r="CU22" s="429"/>
      <c r="CV22" s="513" t="str">
        <f t="shared" si="39"/>
        <v>Đến 30</v>
      </c>
      <c r="CW22" s="514" t="str">
        <f t="shared" si="40"/>
        <v>--</v>
      </c>
      <c r="CX22" s="514"/>
      <c r="CY22" s="508"/>
      <c r="CZ22" s="515"/>
      <c r="DA22" s="430"/>
      <c r="DB22" s="419"/>
      <c r="DC22" s="419"/>
      <c r="DD22" s="419"/>
      <c r="DE22" s="419"/>
      <c r="DF22" s="419"/>
      <c r="DG22" s="419" t="s">
        <v>178</v>
      </c>
      <c r="DH22" s="419" t="s">
        <v>9</v>
      </c>
      <c r="DI22" s="419" t="s">
        <v>10</v>
      </c>
      <c r="DJ22" s="419" t="s">
        <v>9</v>
      </c>
      <c r="DK22" s="419" t="s">
        <v>10</v>
      </c>
      <c r="DL22" s="419">
        <v>2014</v>
      </c>
      <c r="DM22" s="419">
        <f t="shared" si="41"/>
        <v>0</v>
      </c>
      <c r="DN22" s="419" t="str">
        <f t="shared" si="42"/>
        <v>- - -</v>
      </c>
      <c r="DO22" s="419" t="s">
        <v>9</v>
      </c>
      <c r="DP22" s="419" t="s">
        <v>10</v>
      </c>
      <c r="DQ22" s="419" t="s">
        <v>9</v>
      </c>
      <c r="DR22" s="419" t="s">
        <v>10</v>
      </c>
      <c r="DS22" s="419">
        <v>2014</v>
      </c>
      <c r="DU22" s="138" t="str">
        <f t="shared" si="43"/>
        <v>- - -</v>
      </c>
      <c r="DV22" s="138" t="str">
        <f t="shared" si="44"/>
        <v>---</v>
      </c>
    </row>
    <row r="23" spans="1:126" s="138" customFormat="1" ht="36" customHeight="1" x14ac:dyDescent="0.25">
      <c r="A23" s="152">
        <v>227</v>
      </c>
      <c r="B23" s="552">
        <v>6</v>
      </c>
      <c r="C23" s="142" t="str">
        <f t="shared" si="0"/>
        <v>Bà</v>
      </c>
      <c r="D23" s="153" t="s">
        <v>180</v>
      </c>
      <c r="E23" s="142" t="s">
        <v>32</v>
      </c>
      <c r="F23" s="154" t="s">
        <v>46</v>
      </c>
      <c r="G23" s="155" t="s">
        <v>10</v>
      </c>
      <c r="H23" s="155" t="s">
        <v>89</v>
      </c>
      <c r="I23" s="155" t="s">
        <v>10</v>
      </c>
      <c r="J23" s="156">
        <v>1975</v>
      </c>
      <c r="K23" s="316" t="str">
        <f>IF(AND((M23+0)&gt;0.3,(M23+0)&lt;1.5),"CVụ","- -")</f>
        <v>CVụ</v>
      </c>
      <c r="L23" s="316" t="s">
        <v>111</v>
      </c>
      <c r="M23" s="316" t="str">
        <f>VLOOKUP(L23,'[1]- DLiêu Gốc -'!$B$2:$G$121,2,0)</f>
        <v>0,6</v>
      </c>
      <c r="N23" s="317"/>
      <c r="O23" s="297" t="s">
        <v>181</v>
      </c>
      <c r="P23" s="157" t="str">
        <f>VLOOKUP(U23,'[1]- DLiêu Gốc -'!$B$2:$G$56,5,0)</f>
        <v>A2</v>
      </c>
      <c r="Q23" s="157" t="str">
        <f>VLOOKUP(U23,'[1]- DLiêu Gốc -'!$B$2:$G$56,6,0)</f>
        <v>A2.1</v>
      </c>
      <c r="R23" s="158" t="s">
        <v>34</v>
      </c>
      <c r="S23" s="298" t="str">
        <f t="shared" si="1"/>
        <v>Giảng viên chính (hạng II)</v>
      </c>
      <c r="T23" s="159" t="str">
        <f t="shared" si="2"/>
        <v>V.07.01.02</v>
      </c>
      <c r="U23" s="160" t="s">
        <v>45</v>
      </c>
      <c r="V23" s="159" t="str">
        <f>VLOOKUP(U23,'[1]- DLiêu Gốc -'!$B$1:$G$121,2,0)</f>
        <v>V.07.01.02</v>
      </c>
      <c r="W23" s="161" t="str">
        <f t="shared" si="3"/>
        <v>Lương</v>
      </c>
      <c r="X23" s="162">
        <v>2</v>
      </c>
      <c r="Y23" s="163" t="str">
        <f t="shared" si="4"/>
        <v>/</v>
      </c>
      <c r="Z23" s="164">
        <v>8</v>
      </c>
      <c r="AA23" s="165">
        <f t="shared" si="6"/>
        <v>4.74</v>
      </c>
      <c r="AB23" s="166">
        <f t="shared" si="7"/>
        <v>3</v>
      </c>
      <c r="AC23" s="316" t="str">
        <f t="shared" si="8"/>
        <v>/</v>
      </c>
      <c r="AD23" s="164">
        <f t="shared" si="9"/>
        <v>8</v>
      </c>
      <c r="AE23" s="318">
        <f t="shared" si="10"/>
        <v>5.08</v>
      </c>
      <c r="AF23" s="167" t="s">
        <v>9</v>
      </c>
      <c r="AG23" s="168" t="s">
        <v>10</v>
      </c>
      <c r="AH23" s="169" t="s">
        <v>9</v>
      </c>
      <c r="AI23" s="170" t="s">
        <v>10</v>
      </c>
      <c r="AJ23" s="171">
        <v>2016</v>
      </c>
      <c r="AK23" s="172"/>
      <c r="AL23" s="173"/>
      <c r="AM23" s="145">
        <f t="shared" si="11"/>
        <v>3</v>
      </c>
      <c r="AN23" s="145">
        <f t="shared" si="12"/>
        <v>-24193</v>
      </c>
      <c r="AO23" s="139"/>
      <c r="AP23" s="174"/>
      <c r="AQ23" s="147">
        <f>VLOOKUP(U23,'[1]- DLiêu Gốc -'!$B$1:$E$56,3,0)</f>
        <v>4.4000000000000004</v>
      </c>
      <c r="AR23" s="141">
        <f>VLOOKUP(U23,'[1]- DLiêu Gốc -'!$B$1:$E$56,4,0)</f>
        <v>0.34</v>
      </c>
      <c r="AS23" s="175"/>
      <c r="AT23" s="176" t="str">
        <f t="shared" si="13"/>
        <v>o-o-o</v>
      </c>
      <c r="AU23" s="177"/>
      <c r="AV23" s="177"/>
      <c r="AW23" s="141">
        <f t="shared" si="14"/>
        <v>0</v>
      </c>
      <c r="AX23" s="178"/>
      <c r="AY23" s="319"/>
      <c r="AZ23" s="144"/>
      <c r="BA23" s="144"/>
      <c r="BB23" s="144"/>
      <c r="BC23" s="144"/>
      <c r="BD23" s="144"/>
      <c r="BE23" s="144"/>
      <c r="BF23" s="146" t="str">
        <f t="shared" si="15"/>
        <v>- - -</v>
      </c>
      <c r="BG23" s="179" t="str">
        <f t="shared" si="16"/>
        <v>- - -</v>
      </c>
      <c r="BH23" s="553" t="str">
        <f t="shared" si="17"/>
        <v>VC</v>
      </c>
      <c r="BI23" s="508"/>
      <c r="BJ23" s="412"/>
      <c r="BK23" s="413" t="s">
        <v>101</v>
      </c>
      <c r="BL23" s="414" t="str">
        <f t="shared" si="18"/>
        <v>A</v>
      </c>
      <c r="BM23" s="413" t="str">
        <f t="shared" si="19"/>
        <v>=&gt; s</v>
      </c>
      <c r="BN23" s="415">
        <f t="shared" si="20"/>
        <v>24217</v>
      </c>
      <c r="BO23" s="416" t="str">
        <f t="shared" si="21"/>
        <v>---</v>
      </c>
      <c r="BP23" s="417"/>
      <c r="BQ23" s="418"/>
      <c r="BR23" s="418"/>
      <c r="BS23" s="418"/>
      <c r="BT23" s="417" t="str">
        <f t="shared" si="22"/>
        <v>- - -</v>
      </c>
      <c r="BU23" s="416" t="str">
        <f t="shared" si="23"/>
        <v>- - -</v>
      </c>
      <c r="BV23" s="413"/>
      <c r="BW23" s="413"/>
      <c r="BX23" s="419"/>
      <c r="BY23" s="419"/>
      <c r="BZ23" s="419" t="str">
        <f t="shared" si="24"/>
        <v>- - -</v>
      </c>
      <c r="CA23" s="419"/>
      <c r="CB23" s="419"/>
      <c r="CC23" s="419"/>
      <c r="CD23" s="419"/>
      <c r="CE23" s="419" t="str">
        <f t="shared" si="25"/>
        <v>---</v>
      </c>
      <c r="CF23" s="419" t="str">
        <f t="shared" si="26"/>
        <v>/-/ /-/</v>
      </c>
      <c r="CG23" s="419">
        <f t="shared" si="27"/>
        <v>4</v>
      </c>
      <c r="CH23" s="419">
        <f t="shared" si="28"/>
        <v>2030</v>
      </c>
      <c r="CI23" s="419">
        <f t="shared" si="29"/>
        <v>1</v>
      </c>
      <c r="CJ23" s="419">
        <f t="shared" si="30"/>
        <v>2030</v>
      </c>
      <c r="CK23" s="419">
        <f t="shared" si="31"/>
        <v>10</v>
      </c>
      <c r="CL23" s="419">
        <f t="shared" si="32"/>
        <v>2029</v>
      </c>
      <c r="CM23" s="419" t="str">
        <f t="shared" si="33"/>
        <v>- - -</v>
      </c>
      <c r="CN23" s="509" t="str">
        <f t="shared" si="34"/>
        <v>. .</v>
      </c>
      <c r="CO23" s="417"/>
      <c r="CP23" s="510">
        <f t="shared" si="35"/>
        <v>660</v>
      </c>
      <c r="CQ23" s="511">
        <f t="shared" si="36"/>
        <v>-23691</v>
      </c>
      <c r="CR23" s="429">
        <f t="shared" si="37"/>
        <v>-1975</v>
      </c>
      <c r="CS23" s="512" t="str">
        <f t="shared" si="38"/>
        <v>Nữ dưới 30</v>
      </c>
      <c r="CT23" s="508"/>
      <c r="CU23" s="429"/>
      <c r="CV23" s="513" t="str">
        <f t="shared" si="39"/>
        <v>Đến 30</v>
      </c>
      <c r="CW23" s="514"/>
      <c r="CX23" s="514"/>
      <c r="CY23" s="508"/>
      <c r="CZ23" s="515"/>
      <c r="DA23" s="430"/>
      <c r="DB23" s="419"/>
      <c r="DC23" s="419"/>
      <c r="DD23" s="419"/>
      <c r="DE23" s="419"/>
      <c r="DF23" s="419"/>
      <c r="DG23" s="419"/>
      <c r="DH23" s="419" t="s">
        <v>9</v>
      </c>
      <c r="DI23" s="419" t="s">
        <v>10</v>
      </c>
      <c r="DJ23" s="419" t="s">
        <v>9</v>
      </c>
      <c r="DK23" s="419" t="s">
        <v>10</v>
      </c>
      <c r="DL23" s="419">
        <v>2013</v>
      </c>
      <c r="DM23" s="419">
        <f t="shared" si="41"/>
        <v>0</v>
      </c>
      <c r="DN23" s="419" t="str">
        <f t="shared" si="42"/>
        <v>- - -</v>
      </c>
      <c r="DO23" s="419" t="s">
        <v>9</v>
      </c>
      <c r="DP23" s="419" t="s">
        <v>10</v>
      </c>
      <c r="DQ23" s="419" t="s">
        <v>9</v>
      </c>
      <c r="DR23" s="419" t="s">
        <v>10</v>
      </c>
      <c r="DS23" s="419">
        <v>2013</v>
      </c>
      <c r="DU23" s="138" t="str">
        <f t="shared" si="43"/>
        <v>- - -</v>
      </c>
      <c r="DV23" s="138" t="str">
        <f t="shared" si="44"/>
        <v>---</v>
      </c>
    </row>
    <row r="24" spans="1:126" s="138" customFormat="1" ht="32.25" customHeight="1" x14ac:dyDescent="0.25">
      <c r="A24" s="152">
        <v>251</v>
      </c>
      <c r="B24" s="552">
        <v>7</v>
      </c>
      <c r="C24" s="142" t="str">
        <f t="shared" si="0"/>
        <v>Bà</v>
      </c>
      <c r="D24" s="153" t="s">
        <v>182</v>
      </c>
      <c r="E24" s="142" t="s">
        <v>32</v>
      </c>
      <c r="F24" s="154" t="s">
        <v>104</v>
      </c>
      <c r="G24" s="155" t="s">
        <v>10</v>
      </c>
      <c r="H24" s="155" t="s">
        <v>40</v>
      </c>
      <c r="I24" s="155" t="s">
        <v>10</v>
      </c>
      <c r="J24" s="156">
        <v>1980</v>
      </c>
      <c r="K24" s="316"/>
      <c r="L24" s="316"/>
      <c r="M24" s="316" t="e">
        <f>VLOOKUP(L24,'[1]- DLiêu Gốc -'!$B$2:$G$121,2,0)</f>
        <v>#N/A</v>
      </c>
      <c r="N24" s="317" t="s">
        <v>183</v>
      </c>
      <c r="O24" s="297" t="s">
        <v>119</v>
      </c>
      <c r="P24" s="157" t="str">
        <f>VLOOKUP(U24,'[1]- DLiêu Gốc -'!$B$2:$G$56,5,0)</f>
        <v>A1</v>
      </c>
      <c r="Q24" s="157" t="str">
        <f>VLOOKUP(U24,'[1]- DLiêu Gốc -'!$B$2:$G$56,6,0)</f>
        <v>- - -</v>
      </c>
      <c r="R24" s="158" t="s">
        <v>34</v>
      </c>
      <c r="S24" s="298" t="str">
        <f t="shared" si="1"/>
        <v>Giảng viên (hạng III)</v>
      </c>
      <c r="T24" s="159" t="str">
        <f t="shared" si="2"/>
        <v>V.07.01.03</v>
      </c>
      <c r="U24" s="160" t="s">
        <v>35</v>
      </c>
      <c r="V24" s="159" t="str">
        <f>VLOOKUP(U24,'[1]- DLiêu Gốc -'!$B$1:$G$121,2,0)</f>
        <v>V.07.01.03</v>
      </c>
      <c r="W24" s="161" t="str">
        <f t="shared" si="3"/>
        <v>Lương</v>
      </c>
      <c r="X24" s="162">
        <v>3</v>
      </c>
      <c r="Y24" s="163" t="str">
        <f t="shared" si="4"/>
        <v>/</v>
      </c>
      <c r="Z24" s="164">
        <f t="shared" ref="Z24:Z34" si="45">IF(OR(AR24=0.18,AR24=0.2),12,IF(AR24=0.31,10,IF(AR24=0.33,9,IF(AR24=0.34,8,IF(AR24=0.36,6)))))</f>
        <v>9</v>
      </c>
      <c r="AA24" s="165">
        <f t="shared" si="6"/>
        <v>3</v>
      </c>
      <c r="AB24" s="166">
        <f t="shared" si="7"/>
        <v>4</v>
      </c>
      <c r="AC24" s="316" t="str">
        <f t="shared" si="8"/>
        <v>/</v>
      </c>
      <c r="AD24" s="164">
        <f t="shared" si="9"/>
        <v>9</v>
      </c>
      <c r="AE24" s="318">
        <f t="shared" si="10"/>
        <v>3.33</v>
      </c>
      <c r="AF24" s="167" t="s">
        <v>9</v>
      </c>
      <c r="AG24" s="168" t="s">
        <v>10</v>
      </c>
      <c r="AH24" s="169" t="s">
        <v>9</v>
      </c>
      <c r="AI24" s="170" t="s">
        <v>10</v>
      </c>
      <c r="AJ24" s="171">
        <v>2016</v>
      </c>
      <c r="AK24" s="172"/>
      <c r="AL24" s="173"/>
      <c r="AM24" s="145">
        <f t="shared" si="11"/>
        <v>3</v>
      </c>
      <c r="AN24" s="145">
        <f t="shared" si="12"/>
        <v>-24193</v>
      </c>
      <c r="AO24" s="139"/>
      <c r="AP24" s="174"/>
      <c r="AQ24" s="147">
        <f>VLOOKUP(U24,'[1]- DLiêu Gốc -'!$B$1:$E$56,3,0)</f>
        <v>2.34</v>
      </c>
      <c r="AR24" s="141">
        <f>VLOOKUP(U24,'[1]- DLiêu Gốc -'!$B$1:$E$56,4,0)</f>
        <v>0.33</v>
      </c>
      <c r="AS24" s="175"/>
      <c r="AT24" s="176" t="str">
        <f t="shared" si="13"/>
        <v>o-o-o</v>
      </c>
      <c r="AU24" s="177"/>
      <c r="AV24" s="177"/>
      <c r="AW24" s="141">
        <f t="shared" si="14"/>
        <v>0</v>
      </c>
      <c r="AX24" s="178"/>
      <c r="AY24" s="319"/>
      <c r="AZ24" s="144"/>
      <c r="BA24" s="144"/>
      <c r="BB24" s="144"/>
      <c r="BC24" s="144"/>
      <c r="BD24" s="144"/>
      <c r="BE24" s="144"/>
      <c r="BF24" s="146" t="str">
        <f t="shared" si="15"/>
        <v>- - -</v>
      </c>
      <c r="BG24" s="179" t="str">
        <f t="shared" si="16"/>
        <v>- - -</v>
      </c>
      <c r="BH24" s="553" t="str">
        <f t="shared" si="17"/>
        <v>NLĐ</v>
      </c>
      <c r="BI24" s="508"/>
      <c r="BJ24" s="412"/>
      <c r="BK24" s="413" t="s">
        <v>43</v>
      </c>
      <c r="BL24" s="414" t="str">
        <f t="shared" si="18"/>
        <v>A</v>
      </c>
      <c r="BM24" s="413" t="str">
        <f t="shared" si="19"/>
        <v>=&gt; s</v>
      </c>
      <c r="BN24" s="415">
        <f t="shared" si="20"/>
        <v>24217</v>
      </c>
      <c r="BO24" s="416" t="str">
        <f t="shared" si="21"/>
        <v>---</v>
      </c>
      <c r="BP24" s="417"/>
      <c r="BQ24" s="418"/>
      <c r="BR24" s="418"/>
      <c r="BS24" s="418"/>
      <c r="BT24" s="417" t="str">
        <f t="shared" si="22"/>
        <v>- - -</v>
      </c>
      <c r="BU24" s="416" t="str">
        <f t="shared" si="23"/>
        <v>- - -</v>
      </c>
      <c r="BV24" s="413"/>
      <c r="BW24" s="413"/>
      <c r="BX24" s="419"/>
      <c r="BY24" s="419"/>
      <c r="BZ24" s="419" t="str">
        <f t="shared" si="24"/>
        <v>- - -</v>
      </c>
      <c r="CA24" s="419"/>
      <c r="CB24" s="419"/>
      <c r="CC24" s="419"/>
      <c r="CD24" s="419"/>
      <c r="CE24" s="419" t="str">
        <f t="shared" si="25"/>
        <v>---</v>
      </c>
      <c r="CF24" s="419" t="str">
        <f t="shared" si="26"/>
        <v>/-/ /-/</v>
      </c>
      <c r="CG24" s="419">
        <f t="shared" si="27"/>
        <v>12</v>
      </c>
      <c r="CH24" s="419">
        <f t="shared" si="28"/>
        <v>2035</v>
      </c>
      <c r="CI24" s="419">
        <f t="shared" si="29"/>
        <v>9</v>
      </c>
      <c r="CJ24" s="419">
        <f t="shared" si="30"/>
        <v>2035</v>
      </c>
      <c r="CK24" s="419">
        <f t="shared" si="31"/>
        <v>6</v>
      </c>
      <c r="CL24" s="419">
        <f t="shared" si="32"/>
        <v>2035</v>
      </c>
      <c r="CM24" s="419" t="str">
        <f t="shared" si="33"/>
        <v>- - -</v>
      </c>
      <c r="CN24" s="509" t="str">
        <f t="shared" si="34"/>
        <v>. .</v>
      </c>
      <c r="CO24" s="417"/>
      <c r="CP24" s="510">
        <f t="shared" si="35"/>
        <v>660</v>
      </c>
      <c r="CQ24" s="511">
        <f t="shared" si="36"/>
        <v>-23759</v>
      </c>
      <c r="CR24" s="429">
        <f t="shared" si="37"/>
        <v>-1980</v>
      </c>
      <c r="CS24" s="512" t="str">
        <f t="shared" si="38"/>
        <v>Nữ dưới 30</v>
      </c>
      <c r="CT24" s="508"/>
      <c r="CU24" s="429"/>
      <c r="CV24" s="513" t="str">
        <f t="shared" si="39"/>
        <v>Đến 30</v>
      </c>
      <c r="CW24" s="514" t="str">
        <f>IF(CX24&gt;0,"TD","--")</f>
        <v>--</v>
      </c>
      <c r="CX24" s="514"/>
      <c r="CY24" s="508"/>
      <c r="CZ24" s="515"/>
      <c r="DA24" s="430"/>
      <c r="DB24" s="419"/>
      <c r="DC24" s="419"/>
      <c r="DD24" s="419"/>
      <c r="DE24" s="419"/>
      <c r="DF24" s="419"/>
      <c r="DG24" s="419" t="s">
        <v>183</v>
      </c>
      <c r="DH24" s="419" t="s">
        <v>9</v>
      </c>
      <c r="DI24" s="419" t="s">
        <v>10</v>
      </c>
      <c r="DJ24" s="419" t="s">
        <v>9</v>
      </c>
      <c r="DK24" s="419" t="s">
        <v>10</v>
      </c>
      <c r="DL24" s="419">
        <v>2013</v>
      </c>
      <c r="DM24" s="419">
        <f t="shared" si="41"/>
        <v>0</v>
      </c>
      <c r="DN24" s="419" t="str">
        <f t="shared" si="42"/>
        <v>- - -</v>
      </c>
      <c r="DO24" s="419" t="s">
        <v>9</v>
      </c>
      <c r="DP24" s="419" t="s">
        <v>10</v>
      </c>
      <c r="DQ24" s="419" t="s">
        <v>9</v>
      </c>
      <c r="DR24" s="419" t="s">
        <v>10</v>
      </c>
      <c r="DS24" s="419">
        <v>2013</v>
      </c>
      <c r="DU24" s="138" t="str">
        <f t="shared" si="43"/>
        <v>- - -</v>
      </c>
      <c r="DV24" s="138" t="str">
        <f t="shared" si="44"/>
        <v>---</v>
      </c>
    </row>
    <row r="25" spans="1:126" s="403" customFormat="1" ht="30" customHeight="1" x14ac:dyDescent="0.25">
      <c r="A25" s="453">
        <v>316</v>
      </c>
      <c r="B25" s="554">
        <v>8</v>
      </c>
      <c r="C25" s="385" t="str">
        <f t="shared" si="0"/>
        <v>Bà</v>
      </c>
      <c r="D25" s="342" t="s">
        <v>184</v>
      </c>
      <c r="E25" s="385" t="s">
        <v>32</v>
      </c>
      <c r="F25" s="454" t="s">
        <v>107</v>
      </c>
      <c r="G25" s="455" t="s">
        <v>10</v>
      </c>
      <c r="H25" s="455" t="s">
        <v>105</v>
      </c>
      <c r="I25" s="455" t="s">
        <v>10</v>
      </c>
      <c r="J25" s="456">
        <v>1976</v>
      </c>
      <c r="K25" s="457"/>
      <c r="L25" s="457"/>
      <c r="M25" s="457" t="e">
        <f>VLOOKUP(L25,'[1]- DLiêu Gốc -'!$B$2:$G$121,2,0)</f>
        <v>#N/A</v>
      </c>
      <c r="N25" s="458" t="s">
        <v>185</v>
      </c>
      <c r="O25" s="459" t="s">
        <v>114</v>
      </c>
      <c r="P25" s="460" t="str">
        <f>VLOOKUP(U25,'[1]- DLiêu Gốc -'!$B$2:$G$56,5,0)</f>
        <v>A1</v>
      </c>
      <c r="Q25" s="460" t="str">
        <f>VLOOKUP(U25,'[1]- DLiêu Gốc -'!$B$2:$G$56,6,0)</f>
        <v>- - -</v>
      </c>
      <c r="R25" s="461" t="s">
        <v>41</v>
      </c>
      <c r="S25" s="462" t="str">
        <f t="shared" si="1"/>
        <v>Chuyên viên</v>
      </c>
      <c r="T25" s="463" t="str">
        <f t="shared" si="2"/>
        <v>01.003</v>
      </c>
      <c r="U25" s="464" t="s">
        <v>103</v>
      </c>
      <c r="V25" s="463" t="str">
        <f>VLOOKUP(U25,'[1]- DLiêu Gốc -'!$B$1:$G$121,2,0)</f>
        <v>01.003</v>
      </c>
      <c r="W25" s="465" t="str">
        <f t="shared" si="3"/>
        <v>Lương</v>
      </c>
      <c r="X25" s="466">
        <v>5</v>
      </c>
      <c r="Y25" s="467" t="str">
        <f t="shared" si="4"/>
        <v>/</v>
      </c>
      <c r="Z25" s="468">
        <f t="shared" si="45"/>
        <v>9</v>
      </c>
      <c r="AA25" s="390">
        <f t="shared" si="6"/>
        <v>3.66</v>
      </c>
      <c r="AB25" s="469">
        <f t="shared" si="7"/>
        <v>6</v>
      </c>
      <c r="AC25" s="457" t="str">
        <f t="shared" si="8"/>
        <v>/</v>
      </c>
      <c r="AD25" s="468">
        <f t="shared" si="9"/>
        <v>9</v>
      </c>
      <c r="AE25" s="470">
        <f t="shared" si="10"/>
        <v>3.99</v>
      </c>
      <c r="AF25" s="471" t="s">
        <v>9</v>
      </c>
      <c r="AG25" s="472" t="s">
        <v>10</v>
      </c>
      <c r="AH25" s="401" t="s">
        <v>9</v>
      </c>
      <c r="AI25" s="473" t="s">
        <v>10</v>
      </c>
      <c r="AJ25" s="474">
        <v>2016</v>
      </c>
      <c r="AK25" s="475"/>
      <c r="AL25" s="476"/>
      <c r="AM25" s="477">
        <f t="shared" si="11"/>
        <v>3</v>
      </c>
      <c r="AN25" s="477">
        <f t="shared" si="12"/>
        <v>-24193</v>
      </c>
      <c r="AO25" s="384"/>
      <c r="AP25" s="478"/>
      <c r="AQ25" s="396">
        <f>VLOOKUP(U25,'[1]- DLiêu Gốc -'!$B$1:$E$56,3,0)</f>
        <v>2.34</v>
      </c>
      <c r="AR25" s="394">
        <f>VLOOKUP(U25,'[1]- DLiêu Gốc -'!$B$1:$E$56,4,0)</f>
        <v>0.33</v>
      </c>
      <c r="AS25" s="479"/>
      <c r="AT25" s="480" t="str">
        <f t="shared" si="13"/>
        <v>o-o-o</v>
      </c>
      <c r="AU25" s="393"/>
      <c r="AV25" s="393"/>
      <c r="AW25" s="394">
        <f t="shared" si="14"/>
        <v>0</v>
      </c>
      <c r="AX25" s="481"/>
      <c r="AY25" s="482"/>
      <c r="AZ25" s="395"/>
      <c r="BA25" s="395"/>
      <c r="BB25" s="395"/>
      <c r="BC25" s="395"/>
      <c r="BD25" s="395"/>
      <c r="BE25" s="395"/>
      <c r="BF25" s="483" t="str">
        <f t="shared" si="15"/>
        <v>- - -</v>
      </c>
      <c r="BG25" s="484" t="str">
        <f t="shared" si="16"/>
        <v>- - -</v>
      </c>
      <c r="BH25" s="555" t="str">
        <f t="shared" si="17"/>
        <v>NLĐ</v>
      </c>
      <c r="BI25" s="222"/>
      <c r="BJ25" s="209"/>
      <c r="BK25" s="210" t="s">
        <v>43</v>
      </c>
      <c r="BL25" s="211" t="str">
        <f t="shared" si="18"/>
        <v>A</v>
      </c>
      <c r="BM25" s="210" t="str">
        <f t="shared" si="19"/>
        <v>=&gt; s</v>
      </c>
      <c r="BN25" s="212">
        <f t="shared" si="20"/>
        <v>24217</v>
      </c>
      <c r="BO25" s="213" t="str">
        <f t="shared" si="21"/>
        <v>---</v>
      </c>
      <c r="BP25" s="214"/>
      <c r="BQ25" s="215"/>
      <c r="BR25" s="215"/>
      <c r="BS25" s="215"/>
      <c r="BT25" s="214" t="str">
        <f t="shared" si="22"/>
        <v>- - -</v>
      </c>
      <c r="BU25" s="213" t="str">
        <f t="shared" si="23"/>
        <v>- - -</v>
      </c>
      <c r="BV25" s="210"/>
      <c r="BW25" s="210"/>
      <c r="BX25" s="216"/>
      <c r="BY25" s="216"/>
      <c r="BZ25" s="216" t="str">
        <f t="shared" si="24"/>
        <v>- - -</v>
      </c>
      <c r="CA25" s="216"/>
      <c r="CB25" s="216"/>
      <c r="CC25" s="216"/>
      <c r="CD25" s="216"/>
      <c r="CE25" s="216" t="str">
        <f t="shared" si="25"/>
        <v>---</v>
      </c>
      <c r="CF25" s="216" t="str">
        <f t="shared" si="26"/>
        <v>/-/ /-/</v>
      </c>
      <c r="CG25" s="216">
        <f t="shared" si="27"/>
        <v>6</v>
      </c>
      <c r="CH25" s="216">
        <f t="shared" si="28"/>
        <v>2031</v>
      </c>
      <c r="CI25" s="216">
        <f t="shared" si="29"/>
        <v>3</v>
      </c>
      <c r="CJ25" s="216">
        <f t="shared" si="30"/>
        <v>2031</v>
      </c>
      <c r="CK25" s="216">
        <f t="shared" si="31"/>
        <v>12</v>
      </c>
      <c r="CL25" s="216">
        <f t="shared" si="32"/>
        <v>2030</v>
      </c>
      <c r="CM25" s="216" t="str">
        <f t="shared" si="33"/>
        <v>- - -</v>
      </c>
      <c r="CN25" s="217" t="str">
        <f t="shared" si="34"/>
        <v>. .</v>
      </c>
      <c r="CO25" s="214"/>
      <c r="CP25" s="218">
        <f t="shared" si="35"/>
        <v>660</v>
      </c>
      <c r="CQ25" s="219">
        <f t="shared" si="36"/>
        <v>-23705</v>
      </c>
      <c r="CR25" s="220">
        <f t="shared" si="37"/>
        <v>-1976</v>
      </c>
      <c r="CS25" s="221" t="str">
        <f t="shared" si="38"/>
        <v>Nữ dưới 30</v>
      </c>
      <c r="CT25" s="222"/>
      <c r="CU25" s="220"/>
      <c r="CV25" s="223" t="str">
        <f t="shared" si="39"/>
        <v>Đến 30</v>
      </c>
      <c r="CW25" s="307" t="str">
        <f>IF(CX25&gt;0,"TD","--")</f>
        <v>--</v>
      </c>
      <c r="CX25" s="307"/>
      <c r="CY25" s="222"/>
      <c r="CZ25" s="308"/>
      <c r="DA25" s="309"/>
      <c r="DB25" s="216"/>
      <c r="DC25" s="216"/>
      <c r="DD25" s="216"/>
      <c r="DE25" s="216"/>
      <c r="DF25" s="216"/>
      <c r="DG25" s="216" t="s">
        <v>185</v>
      </c>
      <c r="DH25" s="216" t="s">
        <v>9</v>
      </c>
      <c r="DI25" s="216" t="s">
        <v>10</v>
      </c>
      <c r="DJ25" s="216" t="s">
        <v>9</v>
      </c>
      <c r="DK25" s="216" t="s">
        <v>10</v>
      </c>
      <c r="DL25" s="216">
        <v>2013</v>
      </c>
      <c r="DM25" s="216">
        <f t="shared" si="41"/>
        <v>0</v>
      </c>
      <c r="DN25" s="216" t="str">
        <f t="shared" si="42"/>
        <v>- - -</v>
      </c>
      <c r="DO25" s="216" t="s">
        <v>9</v>
      </c>
      <c r="DP25" s="216" t="s">
        <v>10</v>
      </c>
      <c r="DQ25" s="216" t="s">
        <v>9</v>
      </c>
      <c r="DR25" s="216" t="s">
        <v>10</v>
      </c>
      <c r="DS25" s="216">
        <v>2013</v>
      </c>
      <c r="DU25" s="403" t="str">
        <f t="shared" si="43"/>
        <v>- - -</v>
      </c>
      <c r="DV25" s="403" t="str">
        <f t="shared" si="44"/>
        <v>---</v>
      </c>
    </row>
    <row r="26" spans="1:126" s="138" customFormat="1" ht="24.75" customHeight="1" x14ac:dyDescent="0.25">
      <c r="A26" s="152">
        <v>406</v>
      </c>
      <c r="B26" s="552">
        <v>9</v>
      </c>
      <c r="C26" s="142" t="str">
        <f t="shared" si="0"/>
        <v>Bà</v>
      </c>
      <c r="D26" s="153" t="s">
        <v>186</v>
      </c>
      <c r="E26" s="142" t="s">
        <v>32</v>
      </c>
      <c r="F26" s="154" t="s">
        <v>44</v>
      </c>
      <c r="G26" s="155" t="s">
        <v>10</v>
      </c>
      <c r="H26" s="155" t="s">
        <v>187</v>
      </c>
      <c r="I26" s="155" t="s">
        <v>10</v>
      </c>
      <c r="J26" s="156">
        <v>1974</v>
      </c>
      <c r="K26" s="316"/>
      <c r="L26" s="316"/>
      <c r="M26" s="316" t="e">
        <f>VLOOKUP(L26,'[1]- DLiêu Gốc -'!$B$2:$G$121,2,0)</f>
        <v>#N/A</v>
      </c>
      <c r="N26" s="317" t="s">
        <v>188</v>
      </c>
      <c r="O26" s="297" t="s">
        <v>189</v>
      </c>
      <c r="P26" s="157" t="str">
        <f>VLOOKUP(U26,'[1]- DLiêu Gốc -'!$B$2:$G$56,5,0)</f>
        <v>A1</v>
      </c>
      <c r="Q26" s="157" t="str">
        <f>VLOOKUP(U26,'[1]- DLiêu Gốc -'!$B$2:$G$56,6,0)</f>
        <v>- - -</v>
      </c>
      <c r="R26" s="158" t="s">
        <v>41</v>
      </c>
      <c r="S26" s="298" t="str">
        <f t="shared" si="1"/>
        <v>Biên tập viên</v>
      </c>
      <c r="T26" s="159" t="str">
        <f t="shared" si="2"/>
        <v>17.141</v>
      </c>
      <c r="U26" s="160" t="s">
        <v>190</v>
      </c>
      <c r="V26" s="159" t="str">
        <f>VLOOKUP(U26,'[1]- DLiêu Gốc -'!$B$1:$G$121,2,0)</f>
        <v>17.141</v>
      </c>
      <c r="W26" s="161" t="str">
        <f t="shared" si="3"/>
        <v>Lương</v>
      </c>
      <c r="X26" s="162">
        <v>4</v>
      </c>
      <c r="Y26" s="163" t="str">
        <f t="shared" si="4"/>
        <v>/</v>
      </c>
      <c r="Z26" s="164">
        <f t="shared" si="45"/>
        <v>9</v>
      </c>
      <c r="AA26" s="165">
        <f t="shared" si="6"/>
        <v>3.33</v>
      </c>
      <c r="AB26" s="166">
        <f t="shared" si="7"/>
        <v>5</v>
      </c>
      <c r="AC26" s="316" t="str">
        <f t="shared" si="8"/>
        <v>/</v>
      </c>
      <c r="AD26" s="164">
        <f t="shared" si="9"/>
        <v>9</v>
      </c>
      <c r="AE26" s="318">
        <f t="shared" si="10"/>
        <v>3.66</v>
      </c>
      <c r="AF26" s="167" t="s">
        <v>9</v>
      </c>
      <c r="AG26" s="168" t="s">
        <v>10</v>
      </c>
      <c r="AH26" s="169" t="s">
        <v>9</v>
      </c>
      <c r="AI26" s="170" t="s">
        <v>10</v>
      </c>
      <c r="AJ26" s="171">
        <v>2016</v>
      </c>
      <c r="AK26" s="172" t="s">
        <v>191</v>
      </c>
      <c r="AL26" s="173"/>
      <c r="AM26" s="145">
        <f t="shared" si="11"/>
        <v>3</v>
      </c>
      <c r="AN26" s="145">
        <f t="shared" si="12"/>
        <v>-24193</v>
      </c>
      <c r="AO26" s="139"/>
      <c r="AP26" s="174"/>
      <c r="AQ26" s="147">
        <f>VLOOKUP(U26,'[1]- DLiêu Gốc -'!$B$1:$E$56,3,0)</f>
        <v>2.34</v>
      </c>
      <c r="AR26" s="141">
        <f>VLOOKUP(U26,'[1]- DLiêu Gốc -'!$B$1:$E$56,4,0)</f>
        <v>0.33</v>
      </c>
      <c r="AS26" s="175"/>
      <c r="AT26" s="176" t="str">
        <f t="shared" si="13"/>
        <v>o-o-o</v>
      </c>
      <c r="AU26" s="177"/>
      <c r="AV26" s="177"/>
      <c r="AW26" s="141">
        <f t="shared" si="14"/>
        <v>0</v>
      </c>
      <c r="AX26" s="178"/>
      <c r="AY26" s="319"/>
      <c r="AZ26" s="144"/>
      <c r="BA26" s="144"/>
      <c r="BB26" s="144"/>
      <c r="BC26" s="144"/>
      <c r="BD26" s="144"/>
      <c r="BE26" s="144"/>
      <c r="BF26" s="146" t="str">
        <f t="shared" si="15"/>
        <v>- - -</v>
      </c>
      <c r="BG26" s="179" t="str">
        <f t="shared" si="16"/>
        <v>- - -</v>
      </c>
      <c r="BH26" s="553" t="str">
        <f t="shared" si="17"/>
        <v>NLĐ</v>
      </c>
      <c r="BI26" s="508"/>
      <c r="BJ26" s="412"/>
      <c r="BK26" s="413" t="s">
        <v>43</v>
      </c>
      <c r="BL26" s="414" t="str">
        <f t="shared" si="18"/>
        <v>A</v>
      </c>
      <c r="BM26" s="413" t="str">
        <f t="shared" si="19"/>
        <v>=&gt; s</v>
      </c>
      <c r="BN26" s="415">
        <f t="shared" si="20"/>
        <v>24217</v>
      </c>
      <c r="BO26" s="416" t="str">
        <f t="shared" si="21"/>
        <v>---</v>
      </c>
      <c r="BP26" s="417"/>
      <c r="BQ26" s="418"/>
      <c r="BR26" s="418"/>
      <c r="BS26" s="418"/>
      <c r="BT26" s="417" t="str">
        <f t="shared" si="22"/>
        <v>- - -</v>
      </c>
      <c r="BU26" s="416" t="str">
        <f t="shared" si="23"/>
        <v>- - -</v>
      </c>
      <c r="BV26" s="413"/>
      <c r="BW26" s="413"/>
      <c r="BX26" s="419"/>
      <c r="BY26" s="419"/>
      <c r="BZ26" s="419" t="str">
        <f t="shared" si="24"/>
        <v>- - -</v>
      </c>
      <c r="CA26" s="419"/>
      <c r="CB26" s="419"/>
      <c r="CC26" s="419"/>
      <c r="CD26" s="419"/>
      <c r="CE26" s="419" t="str">
        <f t="shared" si="25"/>
        <v>---</v>
      </c>
      <c r="CF26" s="419" t="str">
        <f t="shared" si="26"/>
        <v>/-/ /-/</v>
      </c>
      <c r="CG26" s="419">
        <f t="shared" si="27"/>
        <v>5</v>
      </c>
      <c r="CH26" s="419">
        <f t="shared" si="28"/>
        <v>2029</v>
      </c>
      <c r="CI26" s="419">
        <f t="shared" si="29"/>
        <v>2</v>
      </c>
      <c r="CJ26" s="419">
        <f t="shared" si="30"/>
        <v>2029</v>
      </c>
      <c r="CK26" s="419">
        <f t="shared" si="31"/>
        <v>11</v>
      </c>
      <c r="CL26" s="419">
        <f t="shared" si="32"/>
        <v>2028</v>
      </c>
      <c r="CM26" s="419" t="str">
        <f t="shared" si="33"/>
        <v>- - -</v>
      </c>
      <c r="CN26" s="509" t="str">
        <f t="shared" si="34"/>
        <v>. .</v>
      </c>
      <c r="CO26" s="417"/>
      <c r="CP26" s="510">
        <f t="shared" si="35"/>
        <v>660</v>
      </c>
      <c r="CQ26" s="511">
        <f t="shared" si="36"/>
        <v>-23680</v>
      </c>
      <c r="CR26" s="429">
        <f t="shared" si="37"/>
        <v>-1974</v>
      </c>
      <c r="CS26" s="512" t="str">
        <f t="shared" si="38"/>
        <v>Nữ dưới 30</v>
      </c>
      <c r="CT26" s="508"/>
      <c r="CU26" s="429"/>
      <c r="CV26" s="513" t="str">
        <f t="shared" si="39"/>
        <v>Đến 30</v>
      </c>
      <c r="CW26" s="514" t="str">
        <f>IF(CX26&gt;0,"TD","--")</f>
        <v>--</v>
      </c>
      <c r="CX26" s="514"/>
      <c r="CY26" s="508"/>
      <c r="CZ26" s="515"/>
      <c r="DA26" s="430"/>
      <c r="DB26" s="419"/>
      <c r="DC26" s="419"/>
      <c r="DD26" s="419"/>
      <c r="DE26" s="419"/>
      <c r="DF26" s="419"/>
      <c r="DG26" s="419" t="s">
        <v>188</v>
      </c>
      <c r="DH26" s="419" t="s">
        <v>9</v>
      </c>
      <c r="DI26" s="419" t="s">
        <v>10</v>
      </c>
      <c r="DJ26" s="419" t="s">
        <v>9</v>
      </c>
      <c r="DK26" s="419" t="s">
        <v>10</v>
      </c>
      <c r="DL26" s="419">
        <v>2013</v>
      </c>
      <c r="DM26" s="419">
        <f t="shared" si="41"/>
        <v>0</v>
      </c>
      <c r="DN26" s="419" t="str">
        <f t="shared" si="42"/>
        <v>- - -</v>
      </c>
      <c r="DO26" s="419" t="s">
        <v>9</v>
      </c>
      <c r="DP26" s="419" t="s">
        <v>10</v>
      </c>
      <c r="DQ26" s="419" t="s">
        <v>9</v>
      </c>
      <c r="DR26" s="419" t="s">
        <v>10</v>
      </c>
      <c r="DS26" s="419">
        <v>2013</v>
      </c>
      <c r="DU26" s="138" t="str">
        <f t="shared" si="43"/>
        <v>- - -</v>
      </c>
      <c r="DV26" s="138" t="str">
        <f t="shared" si="44"/>
        <v>---</v>
      </c>
    </row>
    <row r="27" spans="1:126" s="138" customFormat="1" ht="24.75" customHeight="1" x14ac:dyDescent="0.25">
      <c r="A27" s="152">
        <v>410</v>
      </c>
      <c r="B27" s="552">
        <v>10</v>
      </c>
      <c r="C27" s="142" t="str">
        <f t="shared" si="0"/>
        <v>Bà</v>
      </c>
      <c r="D27" s="153" t="s">
        <v>192</v>
      </c>
      <c r="E27" s="142" t="s">
        <v>32</v>
      </c>
      <c r="F27" s="154" t="s">
        <v>193</v>
      </c>
      <c r="G27" s="155" t="s">
        <v>10</v>
      </c>
      <c r="H27" s="155" t="s">
        <v>46</v>
      </c>
      <c r="I27" s="155" t="s">
        <v>10</v>
      </c>
      <c r="J27" s="156">
        <v>1983</v>
      </c>
      <c r="K27" s="316"/>
      <c r="L27" s="316"/>
      <c r="M27" s="316" t="e">
        <f>VLOOKUP(L27,'[1]- DLiêu Gốc -'!$B$2:$G$121,2,0)</f>
        <v>#N/A</v>
      </c>
      <c r="N27" s="317"/>
      <c r="O27" s="297" t="s">
        <v>160</v>
      </c>
      <c r="P27" s="157" t="str">
        <f>VLOOKUP(U27,'[1]- DLiêu Gốc -'!$B$2:$G$56,5,0)</f>
        <v>A1</v>
      </c>
      <c r="Q27" s="157" t="str">
        <f>VLOOKUP(U27,'[1]- DLiêu Gốc -'!$B$2:$G$56,6,0)</f>
        <v>- - -</v>
      </c>
      <c r="R27" s="158" t="s">
        <v>41</v>
      </c>
      <c r="S27" s="298" t="str">
        <f t="shared" si="1"/>
        <v>Giáo viên trung học</v>
      </c>
      <c r="T27" s="159" t="str">
        <f t="shared" si="2"/>
        <v>15.113</v>
      </c>
      <c r="U27" s="160" t="s">
        <v>194</v>
      </c>
      <c r="V27" s="159" t="str">
        <f>VLOOKUP(U27,'[1]- DLiêu Gốc -'!$B$1:$G$121,2,0)</f>
        <v>15.113</v>
      </c>
      <c r="W27" s="161" t="str">
        <f t="shared" si="3"/>
        <v>Lương</v>
      </c>
      <c r="X27" s="162">
        <v>2</v>
      </c>
      <c r="Y27" s="163" t="str">
        <f t="shared" si="4"/>
        <v>/</v>
      </c>
      <c r="Z27" s="164">
        <f t="shared" si="45"/>
        <v>9</v>
      </c>
      <c r="AA27" s="165">
        <f t="shared" si="6"/>
        <v>2.67</v>
      </c>
      <c r="AB27" s="166">
        <f t="shared" si="7"/>
        <v>3</v>
      </c>
      <c r="AC27" s="316" t="str">
        <f t="shared" si="8"/>
        <v>/</v>
      </c>
      <c r="AD27" s="164">
        <f t="shared" si="9"/>
        <v>9</v>
      </c>
      <c r="AE27" s="318">
        <f t="shared" si="10"/>
        <v>3</v>
      </c>
      <c r="AF27" s="167" t="s">
        <v>9</v>
      </c>
      <c r="AG27" s="168" t="s">
        <v>10</v>
      </c>
      <c r="AH27" s="169" t="s">
        <v>9</v>
      </c>
      <c r="AI27" s="170" t="s">
        <v>10</v>
      </c>
      <c r="AJ27" s="171">
        <v>2016</v>
      </c>
      <c r="AK27" s="172"/>
      <c r="AL27" s="173"/>
      <c r="AM27" s="145">
        <f t="shared" si="11"/>
        <v>3</v>
      </c>
      <c r="AN27" s="145">
        <f t="shared" si="12"/>
        <v>-24193</v>
      </c>
      <c r="AO27" s="139"/>
      <c r="AP27" s="174"/>
      <c r="AQ27" s="147">
        <f>VLOOKUP(U27,'[1]- DLiêu Gốc -'!$B$1:$E$56,3,0)</f>
        <v>2.34</v>
      </c>
      <c r="AR27" s="141">
        <f>VLOOKUP(U27,'[1]- DLiêu Gốc -'!$B$1:$E$56,4,0)</f>
        <v>0.33</v>
      </c>
      <c r="AS27" s="175"/>
      <c r="AT27" s="176" t="str">
        <f t="shared" si="13"/>
        <v>PCTN</v>
      </c>
      <c r="AU27" s="177">
        <v>4</v>
      </c>
      <c r="AV27" s="177" t="s">
        <v>38</v>
      </c>
      <c r="AW27" s="141">
        <f t="shared" si="14"/>
        <v>5</v>
      </c>
      <c r="AX27" s="178" t="s">
        <v>38</v>
      </c>
      <c r="AY27" s="319" t="s">
        <v>9</v>
      </c>
      <c r="AZ27" s="144"/>
      <c r="BA27" s="144">
        <v>2015</v>
      </c>
      <c r="BB27" s="144"/>
      <c r="BC27" s="144"/>
      <c r="BD27" s="144"/>
      <c r="BE27" s="144"/>
      <c r="BF27" s="146">
        <f t="shared" si="15"/>
        <v>-24181</v>
      </c>
      <c r="BG27" s="179" t="str">
        <f t="shared" si="16"/>
        <v>- - -</v>
      </c>
      <c r="BH27" s="553" t="str">
        <f t="shared" si="17"/>
        <v>VC</v>
      </c>
      <c r="BI27" s="508"/>
      <c r="BJ27" s="412"/>
      <c r="BK27" s="413" t="s">
        <v>101</v>
      </c>
      <c r="BL27" s="414" t="str">
        <f t="shared" si="18"/>
        <v>A</v>
      </c>
      <c r="BM27" s="413" t="str">
        <f t="shared" si="19"/>
        <v>=&gt; s</v>
      </c>
      <c r="BN27" s="415">
        <f t="shared" si="20"/>
        <v>24217</v>
      </c>
      <c r="BO27" s="416" t="str">
        <f t="shared" si="21"/>
        <v>---</v>
      </c>
      <c r="BP27" s="417"/>
      <c r="BQ27" s="418"/>
      <c r="BR27" s="418"/>
      <c r="BS27" s="418"/>
      <c r="BT27" s="417" t="str">
        <f t="shared" si="22"/>
        <v>- - -</v>
      </c>
      <c r="BU27" s="416" t="str">
        <f t="shared" si="23"/>
        <v>- - -</v>
      </c>
      <c r="BV27" s="413"/>
      <c r="BW27" s="413"/>
      <c r="BX27" s="419"/>
      <c r="BY27" s="419"/>
      <c r="BZ27" s="419" t="str">
        <f t="shared" si="24"/>
        <v>- - -</v>
      </c>
      <c r="CA27" s="419"/>
      <c r="CB27" s="419"/>
      <c r="CC27" s="419"/>
      <c r="CD27" s="419"/>
      <c r="CE27" s="419" t="str">
        <f t="shared" si="25"/>
        <v>---</v>
      </c>
      <c r="CF27" s="419" t="str">
        <f t="shared" si="26"/>
        <v>/-/ /-/</v>
      </c>
      <c r="CG27" s="419">
        <f t="shared" si="27"/>
        <v>11</v>
      </c>
      <c r="CH27" s="419">
        <f t="shared" si="28"/>
        <v>2038</v>
      </c>
      <c r="CI27" s="419">
        <f t="shared" si="29"/>
        <v>8</v>
      </c>
      <c r="CJ27" s="419">
        <f t="shared" si="30"/>
        <v>2038</v>
      </c>
      <c r="CK27" s="419">
        <f t="shared" si="31"/>
        <v>5</v>
      </c>
      <c r="CL27" s="419">
        <f t="shared" si="32"/>
        <v>2038</v>
      </c>
      <c r="CM27" s="419" t="str">
        <f t="shared" si="33"/>
        <v>- - -</v>
      </c>
      <c r="CN27" s="509" t="str">
        <f t="shared" si="34"/>
        <v>. .</v>
      </c>
      <c r="CO27" s="417"/>
      <c r="CP27" s="510">
        <f t="shared" si="35"/>
        <v>660</v>
      </c>
      <c r="CQ27" s="511">
        <f t="shared" si="36"/>
        <v>-23794</v>
      </c>
      <c r="CR27" s="429">
        <f t="shared" si="37"/>
        <v>-1983</v>
      </c>
      <c r="CS27" s="512" t="str">
        <f t="shared" si="38"/>
        <v>Nữ dưới 30</v>
      </c>
      <c r="CT27" s="508"/>
      <c r="CU27" s="429"/>
      <c r="CV27" s="513" t="str">
        <f t="shared" si="39"/>
        <v>Đến 30</v>
      </c>
      <c r="CW27" s="514"/>
      <c r="CX27" s="514" t="str">
        <f>IF(BU27&gt;0,"TD","--")</f>
        <v>TD</v>
      </c>
      <c r="CY27" s="508"/>
      <c r="CZ27" s="515"/>
      <c r="DA27" s="430"/>
      <c r="DB27" s="419"/>
      <c r="DC27" s="419"/>
      <c r="DD27" s="419"/>
      <c r="DE27" s="419"/>
      <c r="DF27" s="419"/>
      <c r="DG27" s="419"/>
      <c r="DH27" s="419" t="s">
        <v>9</v>
      </c>
      <c r="DI27" s="419" t="s">
        <v>10</v>
      </c>
      <c r="DJ27" s="419" t="s">
        <v>9</v>
      </c>
      <c r="DK27" s="419" t="s">
        <v>10</v>
      </c>
      <c r="DL27" s="419">
        <v>2013</v>
      </c>
      <c r="DM27" s="419">
        <f t="shared" si="41"/>
        <v>0</v>
      </c>
      <c r="DN27" s="419" t="str">
        <f t="shared" si="42"/>
        <v>- - -</v>
      </c>
      <c r="DO27" s="419" t="s">
        <v>9</v>
      </c>
      <c r="DP27" s="419" t="s">
        <v>10</v>
      </c>
      <c r="DQ27" s="419" t="s">
        <v>9</v>
      </c>
      <c r="DR27" s="419" t="s">
        <v>10</v>
      </c>
      <c r="DS27" s="419">
        <v>2013</v>
      </c>
      <c r="DU27" s="138" t="str">
        <f t="shared" si="43"/>
        <v>- - -</v>
      </c>
      <c r="DV27" s="138" t="str">
        <f t="shared" si="44"/>
        <v>---</v>
      </c>
    </row>
    <row r="28" spans="1:126" s="138" customFormat="1" ht="24.75" customHeight="1" x14ac:dyDescent="0.25">
      <c r="A28" s="152">
        <v>411</v>
      </c>
      <c r="B28" s="552">
        <v>11</v>
      </c>
      <c r="C28" s="142" t="str">
        <f t="shared" si="0"/>
        <v>Bà</v>
      </c>
      <c r="D28" s="153" t="s">
        <v>195</v>
      </c>
      <c r="E28" s="142" t="s">
        <v>32</v>
      </c>
      <c r="F28" s="154" t="s">
        <v>156</v>
      </c>
      <c r="G28" s="155" t="s">
        <v>10</v>
      </c>
      <c r="H28" s="155" t="s">
        <v>40</v>
      </c>
      <c r="I28" s="155" t="s">
        <v>10</v>
      </c>
      <c r="J28" s="156">
        <v>1970</v>
      </c>
      <c r="K28" s="316"/>
      <c r="L28" s="316"/>
      <c r="M28" s="316" t="e">
        <f>VLOOKUP(L28,'[1]- DLiêu Gốc -'!$B$2:$G$121,2,0)</f>
        <v>#N/A</v>
      </c>
      <c r="N28" s="317"/>
      <c r="O28" s="297" t="s">
        <v>160</v>
      </c>
      <c r="P28" s="157" t="str">
        <f>VLOOKUP(U28,'[1]- DLiêu Gốc -'!$B$2:$G$56,5,0)</f>
        <v>A1</v>
      </c>
      <c r="Q28" s="157" t="str">
        <f>VLOOKUP(U28,'[1]- DLiêu Gốc -'!$B$2:$G$56,6,0)</f>
        <v>- - -</v>
      </c>
      <c r="R28" s="158" t="s">
        <v>41</v>
      </c>
      <c r="S28" s="298" t="str">
        <f t="shared" si="1"/>
        <v>Chuyên viên</v>
      </c>
      <c r="T28" s="159" t="str">
        <f t="shared" si="2"/>
        <v>01.003</v>
      </c>
      <c r="U28" s="160" t="s">
        <v>103</v>
      </c>
      <c r="V28" s="159" t="str">
        <f>VLOOKUP(U28,'[1]- DLiêu Gốc -'!$B$1:$G$121,2,0)</f>
        <v>01.003</v>
      </c>
      <c r="W28" s="161" t="str">
        <f t="shared" si="3"/>
        <v>Lương</v>
      </c>
      <c r="X28" s="162">
        <v>5</v>
      </c>
      <c r="Y28" s="163" t="str">
        <f t="shared" si="4"/>
        <v>/</v>
      </c>
      <c r="Z28" s="164">
        <f t="shared" si="45"/>
        <v>9</v>
      </c>
      <c r="AA28" s="165">
        <f t="shared" si="6"/>
        <v>3.66</v>
      </c>
      <c r="AB28" s="166">
        <f t="shared" si="7"/>
        <v>6</v>
      </c>
      <c r="AC28" s="316" t="str">
        <f t="shared" si="8"/>
        <v>/</v>
      </c>
      <c r="AD28" s="164">
        <f t="shared" si="9"/>
        <v>9</v>
      </c>
      <c r="AE28" s="318">
        <f t="shared" si="10"/>
        <v>3.99</v>
      </c>
      <c r="AF28" s="167" t="s">
        <v>9</v>
      </c>
      <c r="AG28" s="168" t="s">
        <v>10</v>
      </c>
      <c r="AH28" s="169" t="s">
        <v>9</v>
      </c>
      <c r="AI28" s="170" t="s">
        <v>10</v>
      </c>
      <c r="AJ28" s="171">
        <v>2016</v>
      </c>
      <c r="AK28" s="172"/>
      <c r="AL28" s="173"/>
      <c r="AM28" s="145">
        <f t="shared" si="11"/>
        <v>3</v>
      </c>
      <c r="AN28" s="145">
        <f t="shared" si="12"/>
        <v>-24193</v>
      </c>
      <c r="AO28" s="139"/>
      <c r="AP28" s="174"/>
      <c r="AQ28" s="147">
        <f>VLOOKUP(U28,'[1]- DLiêu Gốc -'!$B$1:$E$56,3,0)</f>
        <v>2.34</v>
      </c>
      <c r="AR28" s="141">
        <f>VLOOKUP(U28,'[1]- DLiêu Gốc -'!$B$1:$E$56,4,0)</f>
        <v>0.33</v>
      </c>
      <c r="AS28" s="175"/>
      <c r="AT28" s="176" t="str">
        <f t="shared" si="13"/>
        <v>o-o-o</v>
      </c>
      <c r="AU28" s="177"/>
      <c r="AV28" s="177"/>
      <c r="AW28" s="141">
        <f t="shared" si="14"/>
        <v>0</v>
      </c>
      <c r="AX28" s="178"/>
      <c r="AY28" s="319"/>
      <c r="AZ28" s="144"/>
      <c r="BA28" s="144"/>
      <c r="BB28" s="144"/>
      <c r="BC28" s="144"/>
      <c r="BD28" s="144"/>
      <c r="BE28" s="144"/>
      <c r="BF28" s="146" t="str">
        <f t="shared" si="15"/>
        <v>- - -</v>
      </c>
      <c r="BG28" s="179" t="str">
        <f t="shared" si="16"/>
        <v>- - -</v>
      </c>
      <c r="BH28" s="553" t="str">
        <f t="shared" si="17"/>
        <v>VC</v>
      </c>
      <c r="BI28" s="508"/>
      <c r="BJ28" s="412"/>
      <c r="BK28" s="413" t="s">
        <v>101</v>
      </c>
      <c r="BL28" s="414" t="str">
        <f t="shared" si="18"/>
        <v>A</v>
      </c>
      <c r="BM28" s="413" t="str">
        <f t="shared" si="19"/>
        <v>=&gt; s</v>
      </c>
      <c r="BN28" s="415">
        <f t="shared" si="20"/>
        <v>24217</v>
      </c>
      <c r="BO28" s="416" t="str">
        <f t="shared" si="21"/>
        <v>---</v>
      </c>
      <c r="BP28" s="417"/>
      <c r="BQ28" s="418"/>
      <c r="BR28" s="418"/>
      <c r="BS28" s="418"/>
      <c r="BT28" s="417" t="str">
        <f t="shared" si="22"/>
        <v>- - -</v>
      </c>
      <c r="BU28" s="416" t="str">
        <f t="shared" si="23"/>
        <v>- - -</v>
      </c>
      <c r="BV28" s="413"/>
      <c r="BW28" s="413"/>
      <c r="BX28" s="419"/>
      <c r="BY28" s="419"/>
      <c r="BZ28" s="419" t="str">
        <f t="shared" si="24"/>
        <v>- - -</v>
      </c>
      <c r="CA28" s="419"/>
      <c r="CB28" s="419"/>
      <c r="CC28" s="419"/>
      <c r="CD28" s="419"/>
      <c r="CE28" s="419" t="str">
        <f t="shared" si="25"/>
        <v>---</v>
      </c>
      <c r="CF28" s="419" t="str">
        <f t="shared" si="26"/>
        <v>/-/ /-/</v>
      </c>
      <c r="CG28" s="419">
        <f t="shared" si="27"/>
        <v>12</v>
      </c>
      <c r="CH28" s="419">
        <f t="shared" si="28"/>
        <v>2025</v>
      </c>
      <c r="CI28" s="419">
        <f t="shared" si="29"/>
        <v>9</v>
      </c>
      <c r="CJ28" s="419">
        <f t="shared" si="30"/>
        <v>2025</v>
      </c>
      <c r="CK28" s="419">
        <f t="shared" si="31"/>
        <v>6</v>
      </c>
      <c r="CL28" s="419">
        <f t="shared" si="32"/>
        <v>2025</v>
      </c>
      <c r="CM28" s="419" t="str">
        <f t="shared" si="33"/>
        <v>- - -</v>
      </c>
      <c r="CN28" s="509" t="str">
        <f t="shared" si="34"/>
        <v>. .</v>
      </c>
      <c r="CO28" s="417"/>
      <c r="CP28" s="510">
        <f t="shared" si="35"/>
        <v>660</v>
      </c>
      <c r="CQ28" s="511">
        <f t="shared" si="36"/>
        <v>-23639</v>
      </c>
      <c r="CR28" s="429">
        <f t="shared" si="37"/>
        <v>-1970</v>
      </c>
      <c r="CS28" s="512" t="str">
        <f t="shared" si="38"/>
        <v>Nữ dưới 30</v>
      </c>
      <c r="CT28" s="508"/>
      <c r="CU28" s="429"/>
      <c r="CV28" s="513" t="str">
        <f t="shared" si="39"/>
        <v>Đến 30</v>
      </c>
      <c r="CW28" s="514" t="str">
        <f>IF(CX28&gt;0,"TD","--")</f>
        <v>--</v>
      </c>
      <c r="CX28" s="514"/>
      <c r="CY28" s="508"/>
      <c r="CZ28" s="515"/>
      <c r="DA28" s="430"/>
      <c r="DB28" s="419"/>
      <c r="DC28" s="419"/>
      <c r="DD28" s="419"/>
      <c r="DE28" s="419"/>
      <c r="DF28" s="419"/>
      <c r="DG28" s="419"/>
      <c r="DH28" s="419" t="s">
        <v>9</v>
      </c>
      <c r="DI28" s="419" t="s">
        <v>10</v>
      </c>
      <c r="DJ28" s="419" t="s">
        <v>9</v>
      </c>
      <c r="DK28" s="419" t="s">
        <v>10</v>
      </c>
      <c r="DL28" s="419">
        <v>2013</v>
      </c>
      <c r="DM28" s="419">
        <f t="shared" si="41"/>
        <v>0</v>
      </c>
      <c r="DN28" s="419" t="str">
        <f t="shared" si="42"/>
        <v>- - -</v>
      </c>
      <c r="DO28" s="419" t="s">
        <v>9</v>
      </c>
      <c r="DP28" s="419" t="s">
        <v>10</v>
      </c>
      <c r="DQ28" s="419" t="s">
        <v>9</v>
      </c>
      <c r="DR28" s="419" t="s">
        <v>10</v>
      </c>
      <c r="DS28" s="419">
        <v>2013</v>
      </c>
      <c r="DU28" s="138" t="str">
        <f t="shared" si="43"/>
        <v>- - -</v>
      </c>
      <c r="DV28" s="138" t="str">
        <f t="shared" si="44"/>
        <v>---</v>
      </c>
    </row>
    <row r="29" spans="1:126" s="138" customFormat="1" ht="24.75" customHeight="1" x14ac:dyDescent="0.25">
      <c r="A29" s="152">
        <v>431</v>
      </c>
      <c r="B29" s="552">
        <v>12</v>
      </c>
      <c r="C29" s="142" t="str">
        <f t="shared" si="0"/>
        <v>Bà</v>
      </c>
      <c r="D29" s="153" t="s">
        <v>196</v>
      </c>
      <c r="E29" s="142" t="s">
        <v>32</v>
      </c>
      <c r="F29" s="154">
        <v>14</v>
      </c>
      <c r="G29" s="155" t="s">
        <v>10</v>
      </c>
      <c r="H29" s="155" t="s">
        <v>89</v>
      </c>
      <c r="I29" s="155" t="s">
        <v>10</v>
      </c>
      <c r="J29" s="156">
        <v>1967</v>
      </c>
      <c r="K29" s="316"/>
      <c r="L29" s="316"/>
      <c r="M29" s="316" t="e">
        <f>VLOOKUP(L29,'[1]- DLiêu Gốc -'!$B$2:$G$121,2,0)</f>
        <v>#N/A</v>
      </c>
      <c r="N29" s="317" t="s">
        <v>197</v>
      </c>
      <c r="O29" s="297" t="s">
        <v>198</v>
      </c>
      <c r="P29" s="157" t="str">
        <f>VLOOKUP(U29,'[1]- DLiêu Gốc -'!$B$2:$G$56,5,0)</f>
        <v>A1</v>
      </c>
      <c r="Q29" s="157" t="str">
        <f>VLOOKUP(U29,'[1]- DLiêu Gốc -'!$B$2:$G$56,6,0)</f>
        <v>- - -</v>
      </c>
      <c r="R29" s="158" t="s">
        <v>41</v>
      </c>
      <c r="S29" s="298" t="str">
        <f t="shared" si="1"/>
        <v>Thư viện viên</v>
      </c>
      <c r="T29" s="159" t="str">
        <f t="shared" si="2"/>
        <v>17.170</v>
      </c>
      <c r="U29" s="160" t="s">
        <v>199</v>
      </c>
      <c r="V29" s="159" t="str">
        <f>VLOOKUP(U29,'[1]- DLiêu Gốc -'!$B$1:$G$121,2,0)</f>
        <v>17.170</v>
      </c>
      <c r="W29" s="161" t="str">
        <f t="shared" si="3"/>
        <v>Lương</v>
      </c>
      <c r="X29" s="162">
        <v>5</v>
      </c>
      <c r="Y29" s="163" t="str">
        <f t="shared" si="4"/>
        <v>/</v>
      </c>
      <c r="Z29" s="164">
        <f t="shared" si="45"/>
        <v>9</v>
      </c>
      <c r="AA29" s="165">
        <f t="shared" si="6"/>
        <v>3.66</v>
      </c>
      <c r="AB29" s="166">
        <f t="shared" si="7"/>
        <v>6</v>
      </c>
      <c r="AC29" s="316" t="str">
        <f t="shared" si="8"/>
        <v>/</v>
      </c>
      <c r="AD29" s="164">
        <f t="shared" si="9"/>
        <v>9</v>
      </c>
      <c r="AE29" s="318">
        <f t="shared" si="10"/>
        <v>3.99</v>
      </c>
      <c r="AF29" s="167" t="s">
        <v>9</v>
      </c>
      <c r="AG29" s="168"/>
      <c r="AH29" s="169" t="s">
        <v>9</v>
      </c>
      <c r="AI29" s="170"/>
      <c r="AJ29" s="171">
        <v>2016</v>
      </c>
      <c r="AK29" s="172"/>
      <c r="AL29" s="173"/>
      <c r="AM29" s="145">
        <f t="shared" si="11"/>
        <v>3</v>
      </c>
      <c r="AN29" s="145">
        <f t="shared" si="12"/>
        <v>-24193</v>
      </c>
      <c r="AO29" s="139"/>
      <c r="AP29" s="174"/>
      <c r="AQ29" s="147">
        <f>VLOOKUP(U29,'[1]- DLiêu Gốc -'!$B$1:$E$56,3,0)</f>
        <v>2.34</v>
      </c>
      <c r="AR29" s="141">
        <f>VLOOKUP(U29,'[1]- DLiêu Gốc -'!$B$1:$E$56,4,0)</f>
        <v>0.33</v>
      </c>
      <c r="AS29" s="175"/>
      <c r="AT29" s="176" t="str">
        <f t="shared" si="13"/>
        <v>o-o-o</v>
      </c>
      <c r="AU29" s="177"/>
      <c r="AV29" s="177"/>
      <c r="AW29" s="141">
        <f t="shared" si="14"/>
        <v>0</v>
      </c>
      <c r="AX29" s="178"/>
      <c r="AY29" s="319"/>
      <c r="AZ29" s="144"/>
      <c r="BA29" s="144"/>
      <c r="BB29" s="144"/>
      <c r="BC29" s="144"/>
      <c r="BD29" s="144"/>
      <c r="BE29" s="144"/>
      <c r="BF29" s="146" t="str">
        <f t="shared" si="15"/>
        <v>- - -</v>
      </c>
      <c r="BG29" s="179" t="str">
        <f t="shared" si="16"/>
        <v>- - -</v>
      </c>
      <c r="BH29" s="553" t="str">
        <f t="shared" si="17"/>
        <v>VC</v>
      </c>
      <c r="BI29" s="508"/>
      <c r="BJ29" s="412"/>
      <c r="BK29" s="413" t="s">
        <v>101</v>
      </c>
      <c r="BL29" s="414" t="str">
        <f t="shared" si="18"/>
        <v>A</v>
      </c>
      <c r="BM29" s="413" t="str">
        <f t="shared" si="19"/>
        <v>=&gt; s</v>
      </c>
      <c r="BN29" s="415">
        <f t="shared" si="20"/>
        <v>24217</v>
      </c>
      <c r="BO29" s="416" t="str">
        <f t="shared" si="21"/>
        <v>---</v>
      </c>
      <c r="BP29" s="417"/>
      <c r="BQ29" s="418"/>
      <c r="BR29" s="418"/>
      <c r="BS29" s="418"/>
      <c r="BT29" s="417" t="str">
        <f t="shared" si="22"/>
        <v>- - -</v>
      </c>
      <c r="BU29" s="416" t="str">
        <f t="shared" si="23"/>
        <v>- - -</v>
      </c>
      <c r="BV29" s="413"/>
      <c r="BW29" s="413"/>
      <c r="BX29" s="419"/>
      <c r="BY29" s="419"/>
      <c r="BZ29" s="419" t="str">
        <f t="shared" si="24"/>
        <v>- - -</v>
      </c>
      <c r="CA29" s="419"/>
      <c r="CB29" s="419"/>
      <c r="CC29" s="419"/>
      <c r="CD29" s="419"/>
      <c r="CE29" s="419" t="str">
        <f t="shared" si="25"/>
        <v>---</v>
      </c>
      <c r="CF29" s="419" t="str">
        <f t="shared" si="26"/>
        <v>/-/ /-/</v>
      </c>
      <c r="CG29" s="419">
        <f t="shared" si="27"/>
        <v>4</v>
      </c>
      <c r="CH29" s="419">
        <f t="shared" si="28"/>
        <v>2022</v>
      </c>
      <c r="CI29" s="419">
        <f t="shared" si="29"/>
        <v>1</v>
      </c>
      <c r="CJ29" s="419">
        <f t="shared" si="30"/>
        <v>2022</v>
      </c>
      <c r="CK29" s="419">
        <f t="shared" si="31"/>
        <v>10</v>
      </c>
      <c r="CL29" s="419">
        <f t="shared" si="32"/>
        <v>2021</v>
      </c>
      <c r="CM29" s="419" t="str">
        <f t="shared" si="33"/>
        <v>- - -</v>
      </c>
      <c r="CN29" s="509" t="str">
        <f t="shared" si="34"/>
        <v>. .</v>
      </c>
      <c r="CO29" s="417"/>
      <c r="CP29" s="510">
        <f t="shared" si="35"/>
        <v>660</v>
      </c>
      <c r="CQ29" s="511">
        <f t="shared" si="36"/>
        <v>-23595</v>
      </c>
      <c r="CR29" s="429">
        <f t="shared" si="37"/>
        <v>-1967</v>
      </c>
      <c r="CS29" s="512" t="str">
        <f t="shared" si="38"/>
        <v>Nữ dưới 30</v>
      </c>
      <c r="CT29" s="508"/>
      <c r="CU29" s="429"/>
      <c r="CV29" s="513" t="str">
        <f t="shared" si="39"/>
        <v>Đến 30</v>
      </c>
      <c r="CW29" s="514"/>
      <c r="CX29" s="514" t="str">
        <f>IF(BU29&gt;0,"TD","--")</f>
        <v>TD</v>
      </c>
      <c r="CY29" s="508"/>
      <c r="CZ29" s="515"/>
      <c r="DA29" s="430"/>
      <c r="DB29" s="419"/>
      <c r="DC29" s="419"/>
      <c r="DD29" s="419"/>
      <c r="DE29" s="419"/>
      <c r="DF29" s="419"/>
      <c r="DG29" s="419" t="s">
        <v>197</v>
      </c>
      <c r="DH29" s="419" t="s">
        <v>9</v>
      </c>
      <c r="DI29" s="419" t="s">
        <v>10</v>
      </c>
      <c r="DJ29" s="419" t="s">
        <v>9</v>
      </c>
      <c r="DK29" s="419" t="s">
        <v>10</v>
      </c>
      <c r="DL29" s="419">
        <v>2013</v>
      </c>
      <c r="DM29" s="419">
        <f t="shared" si="41"/>
        <v>0</v>
      </c>
      <c r="DN29" s="419" t="str">
        <f t="shared" si="42"/>
        <v>- - -</v>
      </c>
      <c r="DO29" s="419" t="s">
        <v>9</v>
      </c>
      <c r="DP29" s="419" t="s">
        <v>10</v>
      </c>
      <c r="DQ29" s="419" t="s">
        <v>9</v>
      </c>
      <c r="DR29" s="419" t="s">
        <v>10</v>
      </c>
      <c r="DS29" s="419">
        <v>2013</v>
      </c>
      <c r="DU29" s="138" t="str">
        <f t="shared" si="43"/>
        <v>- - -</v>
      </c>
      <c r="DV29" s="138" t="str">
        <f t="shared" si="44"/>
        <v>---</v>
      </c>
    </row>
    <row r="30" spans="1:126" s="138" customFormat="1" ht="24.75" customHeight="1" x14ac:dyDescent="0.25">
      <c r="A30" s="152">
        <v>461</v>
      </c>
      <c r="B30" s="552">
        <v>13</v>
      </c>
      <c r="C30" s="142" t="str">
        <f t="shared" si="0"/>
        <v>Ông</v>
      </c>
      <c r="D30" s="153" t="s">
        <v>200</v>
      </c>
      <c r="E30" s="142" t="s">
        <v>39</v>
      </c>
      <c r="F30" s="154" t="s">
        <v>37</v>
      </c>
      <c r="G30" s="155" t="s">
        <v>10</v>
      </c>
      <c r="H30" s="155" t="s">
        <v>42</v>
      </c>
      <c r="I30" s="155" t="s">
        <v>10</v>
      </c>
      <c r="J30" s="156">
        <v>1975</v>
      </c>
      <c r="K30" s="316"/>
      <c r="L30" s="316"/>
      <c r="M30" s="316" t="e">
        <f>VLOOKUP(L30,'[1]- DLiêu Gốc -'!$B$2:$G$121,2,0)</f>
        <v>#N/A</v>
      </c>
      <c r="N30" s="317" t="s">
        <v>135</v>
      </c>
      <c r="O30" s="297" t="s">
        <v>47</v>
      </c>
      <c r="P30" s="157" t="str">
        <f>VLOOKUP(U30,'[1]- DLiêu Gốc -'!$B$2:$G$56,5,0)</f>
        <v>C</v>
      </c>
      <c r="Q30" s="157" t="str">
        <f>VLOOKUP(U30,'[1]- DLiêu Gốc -'!$B$2:$G$56,6,0)</f>
        <v>Nhân viên</v>
      </c>
      <c r="R30" s="158" t="s">
        <v>41</v>
      </c>
      <c r="S30" s="298" t="str">
        <f t="shared" si="1"/>
        <v>Nhân viên</v>
      </c>
      <c r="T30" s="159" t="str">
        <f t="shared" si="2"/>
        <v>01.005</v>
      </c>
      <c r="U30" s="160" t="s">
        <v>136</v>
      </c>
      <c r="V30" s="159" t="str">
        <f>VLOOKUP(U30,'[1]- DLiêu Gốc -'!$B$1:$G$121,2,0)</f>
        <v>01.010</v>
      </c>
      <c r="W30" s="161" t="str">
        <f t="shared" si="3"/>
        <v>Lương</v>
      </c>
      <c r="X30" s="162">
        <v>9</v>
      </c>
      <c r="Y30" s="163" t="str">
        <f t="shared" si="4"/>
        <v>/</v>
      </c>
      <c r="Z30" s="164">
        <f t="shared" si="45"/>
        <v>12</v>
      </c>
      <c r="AA30" s="165">
        <f t="shared" si="6"/>
        <v>3.4899999999999998</v>
      </c>
      <c r="AB30" s="166">
        <f t="shared" si="7"/>
        <v>10</v>
      </c>
      <c r="AC30" s="316" t="str">
        <f t="shared" si="8"/>
        <v>/</v>
      </c>
      <c r="AD30" s="164">
        <f t="shared" si="9"/>
        <v>12</v>
      </c>
      <c r="AE30" s="318">
        <f t="shared" si="10"/>
        <v>3.67</v>
      </c>
      <c r="AF30" s="167" t="s">
        <v>9</v>
      </c>
      <c r="AG30" s="168" t="s">
        <v>10</v>
      </c>
      <c r="AH30" s="169" t="s">
        <v>9</v>
      </c>
      <c r="AI30" s="170" t="s">
        <v>10</v>
      </c>
      <c r="AJ30" s="171">
        <v>2016</v>
      </c>
      <c r="AK30" s="172"/>
      <c r="AL30" s="173"/>
      <c r="AM30" s="145">
        <f t="shared" si="11"/>
        <v>2</v>
      </c>
      <c r="AN30" s="145">
        <f t="shared" si="12"/>
        <v>-24193</v>
      </c>
      <c r="AO30" s="139"/>
      <c r="AP30" s="174"/>
      <c r="AQ30" s="147">
        <f>VLOOKUP(U30,'[1]- DLiêu Gốc -'!$B$1:$E$56,3,0)</f>
        <v>2.0499999999999998</v>
      </c>
      <c r="AR30" s="141">
        <f>VLOOKUP(U30,'[1]- DLiêu Gốc -'!$B$1:$E$56,4,0)</f>
        <v>0.18</v>
      </c>
      <c r="AS30" s="175"/>
      <c r="AT30" s="176" t="str">
        <f t="shared" si="13"/>
        <v>o-o-o</v>
      </c>
      <c r="AU30" s="177"/>
      <c r="AV30" s="177"/>
      <c r="AW30" s="141">
        <f t="shared" si="14"/>
        <v>0</v>
      </c>
      <c r="AX30" s="178"/>
      <c r="AY30" s="319"/>
      <c r="AZ30" s="144"/>
      <c r="BA30" s="144"/>
      <c r="BB30" s="144"/>
      <c r="BC30" s="144"/>
      <c r="BD30" s="144"/>
      <c r="BE30" s="144"/>
      <c r="BF30" s="146" t="str">
        <f t="shared" si="15"/>
        <v>- - -</v>
      </c>
      <c r="BG30" s="179" t="str">
        <f t="shared" si="16"/>
        <v>- - -</v>
      </c>
      <c r="BH30" s="553" t="str">
        <f t="shared" si="17"/>
        <v>NLĐ</v>
      </c>
      <c r="BI30" s="508"/>
      <c r="BJ30" s="412" t="s">
        <v>137</v>
      </c>
      <c r="BK30" s="413" t="s">
        <v>43</v>
      </c>
      <c r="BL30" s="414" t="str">
        <f t="shared" si="18"/>
        <v>A</v>
      </c>
      <c r="BM30" s="413" t="str">
        <f t="shared" si="19"/>
        <v>=&gt; s</v>
      </c>
      <c r="BN30" s="415">
        <f t="shared" si="20"/>
        <v>24205</v>
      </c>
      <c r="BO30" s="416" t="str">
        <f t="shared" si="21"/>
        <v>---</v>
      </c>
      <c r="BP30" s="417"/>
      <c r="BQ30" s="418"/>
      <c r="BR30" s="418"/>
      <c r="BS30" s="418"/>
      <c r="BT30" s="417" t="str">
        <f t="shared" si="22"/>
        <v>- - -</v>
      </c>
      <c r="BU30" s="416" t="str">
        <f t="shared" si="23"/>
        <v>- - -</v>
      </c>
      <c r="BV30" s="413"/>
      <c r="BW30" s="413"/>
      <c r="BX30" s="419"/>
      <c r="BY30" s="419"/>
      <c r="BZ30" s="419" t="str">
        <f t="shared" si="24"/>
        <v>- - -</v>
      </c>
      <c r="CA30" s="419"/>
      <c r="CB30" s="419"/>
      <c r="CC30" s="419"/>
      <c r="CD30" s="419"/>
      <c r="CE30" s="419" t="str">
        <f t="shared" si="25"/>
        <v>---</v>
      </c>
      <c r="CF30" s="419" t="str">
        <f t="shared" si="26"/>
        <v>/-/ /-/</v>
      </c>
      <c r="CG30" s="419">
        <f t="shared" si="27"/>
        <v>1</v>
      </c>
      <c r="CH30" s="419">
        <f t="shared" si="28"/>
        <v>2036</v>
      </c>
      <c r="CI30" s="419">
        <f t="shared" si="29"/>
        <v>10</v>
      </c>
      <c r="CJ30" s="419">
        <f t="shared" si="30"/>
        <v>2035</v>
      </c>
      <c r="CK30" s="419">
        <f t="shared" si="31"/>
        <v>7</v>
      </c>
      <c r="CL30" s="419">
        <f t="shared" si="32"/>
        <v>2035</v>
      </c>
      <c r="CM30" s="419" t="str">
        <f t="shared" si="33"/>
        <v>- - -</v>
      </c>
      <c r="CN30" s="509" t="str">
        <f t="shared" si="34"/>
        <v>. .</v>
      </c>
      <c r="CO30" s="417"/>
      <c r="CP30" s="510">
        <f t="shared" si="35"/>
        <v>720</v>
      </c>
      <c r="CQ30" s="511">
        <f t="shared" si="36"/>
        <v>-23700</v>
      </c>
      <c r="CR30" s="429">
        <f t="shared" si="37"/>
        <v>-1975</v>
      </c>
      <c r="CS30" s="512" t="str">
        <f t="shared" si="38"/>
        <v>Nam dưới 35</v>
      </c>
      <c r="CT30" s="508"/>
      <c r="CU30" s="429"/>
      <c r="CV30" s="513" t="str">
        <f t="shared" si="39"/>
        <v>Đến 30</v>
      </c>
      <c r="CW30" s="514" t="str">
        <f t="shared" ref="CW30:CW34" si="46">IF(CX30&gt;0,"TD","--")</f>
        <v>--</v>
      </c>
      <c r="CX30" s="514"/>
      <c r="CY30" s="508"/>
      <c r="CZ30" s="515"/>
      <c r="DA30" s="430"/>
      <c r="DB30" s="419"/>
      <c r="DC30" s="419"/>
      <c r="DD30" s="419"/>
      <c r="DE30" s="419"/>
      <c r="DF30" s="419"/>
      <c r="DG30" s="419" t="s">
        <v>135</v>
      </c>
      <c r="DH30" s="419" t="s">
        <v>9</v>
      </c>
      <c r="DI30" s="419" t="s">
        <v>10</v>
      </c>
      <c r="DJ30" s="419" t="s">
        <v>9</v>
      </c>
      <c r="DK30" s="419" t="s">
        <v>10</v>
      </c>
      <c r="DL30" s="419">
        <v>2014</v>
      </c>
      <c r="DM30" s="419">
        <f t="shared" si="41"/>
        <v>0</v>
      </c>
      <c r="DN30" s="419" t="str">
        <f t="shared" si="42"/>
        <v>- - -</v>
      </c>
      <c r="DO30" s="419" t="s">
        <v>9</v>
      </c>
      <c r="DP30" s="419" t="s">
        <v>10</v>
      </c>
      <c r="DQ30" s="419" t="s">
        <v>9</v>
      </c>
      <c r="DR30" s="419" t="s">
        <v>10</v>
      </c>
      <c r="DS30" s="419">
        <v>2014</v>
      </c>
      <c r="DU30" s="138" t="str">
        <f t="shared" si="43"/>
        <v>- - -</v>
      </c>
      <c r="DV30" s="138" t="str">
        <f t="shared" si="44"/>
        <v>---</v>
      </c>
    </row>
    <row r="31" spans="1:126" s="403" customFormat="1" ht="24.75" customHeight="1" x14ac:dyDescent="0.25">
      <c r="A31" s="453">
        <v>476</v>
      </c>
      <c r="B31" s="554">
        <v>14</v>
      </c>
      <c r="C31" s="385" t="str">
        <f t="shared" si="0"/>
        <v>Bà</v>
      </c>
      <c r="D31" s="342" t="s">
        <v>201</v>
      </c>
      <c r="E31" s="385" t="s">
        <v>32</v>
      </c>
      <c r="F31" s="454" t="s">
        <v>149</v>
      </c>
      <c r="G31" s="455" t="s">
        <v>10</v>
      </c>
      <c r="H31" s="455" t="s">
        <v>187</v>
      </c>
      <c r="I31" s="455" t="s">
        <v>10</v>
      </c>
      <c r="J31" s="456">
        <v>1988</v>
      </c>
      <c r="K31" s="457"/>
      <c r="L31" s="457"/>
      <c r="M31" s="457" t="e">
        <f>VLOOKUP(L31,'[1]- DLiêu Gốc -'!$B$2:$G$121,2,0)</f>
        <v>#N/A</v>
      </c>
      <c r="N31" s="458" t="s">
        <v>202</v>
      </c>
      <c r="O31" s="459" t="s">
        <v>47</v>
      </c>
      <c r="P31" s="460" t="str">
        <f>VLOOKUP(U31,'[1]- DLiêu Gốc -'!$B$2:$G$56,5,0)</f>
        <v>B</v>
      </c>
      <c r="Q31" s="460" t="str">
        <f>VLOOKUP(U31,'[1]- DLiêu Gốc -'!$B$2:$G$56,6,0)</f>
        <v>- - -</v>
      </c>
      <c r="R31" s="461" t="s">
        <v>41</v>
      </c>
      <c r="S31" s="462" t="str">
        <f t="shared" si="1"/>
        <v>Cán sự</v>
      </c>
      <c r="T31" s="463" t="str">
        <f t="shared" si="2"/>
        <v>01.004</v>
      </c>
      <c r="U31" s="464" t="s">
        <v>179</v>
      </c>
      <c r="V31" s="463" t="str">
        <f>VLOOKUP(U31,'[1]- DLiêu Gốc -'!$B$1:$G$121,2,0)</f>
        <v>01.004</v>
      </c>
      <c r="W31" s="465" t="str">
        <f t="shared" si="3"/>
        <v>Lương</v>
      </c>
      <c r="X31" s="466">
        <v>1</v>
      </c>
      <c r="Y31" s="467" t="str">
        <f t="shared" si="4"/>
        <v>/</v>
      </c>
      <c r="Z31" s="468">
        <f t="shared" si="45"/>
        <v>12</v>
      </c>
      <c r="AA31" s="390">
        <f t="shared" si="6"/>
        <v>1.86</v>
      </c>
      <c r="AB31" s="469">
        <f t="shared" si="7"/>
        <v>2</v>
      </c>
      <c r="AC31" s="457" t="str">
        <f t="shared" si="8"/>
        <v>/</v>
      </c>
      <c r="AD31" s="468">
        <f t="shared" si="9"/>
        <v>12</v>
      </c>
      <c r="AE31" s="470">
        <f t="shared" si="10"/>
        <v>2.06</v>
      </c>
      <c r="AF31" s="471" t="s">
        <v>9</v>
      </c>
      <c r="AG31" s="472" t="s">
        <v>10</v>
      </c>
      <c r="AH31" s="401" t="s">
        <v>9</v>
      </c>
      <c r="AI31" s="473" t="s">
        <v>10</v>
      </c>
      <c r="AJ31" s="474">
        <v>2016</v>
      </c>
      <c r="AK31" s="475" t="s">
        <v>203</v>
      </c>
      <c r="AL31" s="476"/>
      <c r="AM31" s="477">
        <f t="shared" si="11"/>
        <v>2</v>
      </c>
      <c r="AN31" s="477">
        <f t="shared" si="12"/>
        <v>-24193</v>
      </c>
      <c r="AO31" s="384"/>
      <c r="AP31" s="478"/>
      <c r="AQ31" s="396">
        <f>VLOOKUP(U31,'[1]- DLiêu Gốc -'!$B$1:$E$56,3,0)</f>
        <v>1.86</v>
      </c>
      <c r="AR31" s="394">
        <f>VLOOKUP(U31,'[1]- DLiêu Gốc -'!$B$1:$E$56,4,0)</f>
        <v>0.2</v>
      </c>
      <c r="AS31" s="479"/>
      <c r="AT31" s="480" t="str">
        <f t="shared" si="13"/>
        <v>o-o-o</v>
      </c>
      <c r="AU31" s="393"/>
      <c r="AV31" s="393"/>
      <c r="AW31" s="394">
        <f t="shared" si="14"/>
        <v>0</v>
      </c>
      <c r="AX31" s="481"/>
      <c r="AY31" s="482"/>
      <c r="AZ31" s="395"/>
      <c r="BA31" s="395"/>
      <c r="BB31" s="395"/>
      <c r="BC31" s="395"/>
      <c r="BD31" s="395"/>
      <c r="BE31" s="395"/>
      <c r="BF31" s="483" t="str">
        <f t="shared" si="15"/>
        <v>- - -</v>
      </c>
      <c r="BG31" s="484" t="str">
        <f t="shared" si="16"/>
        <v>- - -</v>
      </c>
      <c r="BH31" s="555" t="str">
        <f t="shared" si="17"/>
        <v>NLĐ</v>
      </c>
      <c r="BI31" s="222"/>
      <c r="BJ31" s="209"/>
      <c r="BK31" s="210" t="s">
        <v>43</v>
      </c>
      <c r="BL31" s="211" t="str">
        <f t="shared" si="18"/>
        <v>A</v>
      </c>
      <c r="BM31" s="210" t="str">
        <f t="shared" si="19"/>
        <v>=&gt; s</v>
      </c>
      <c r="BN31" s="212">
        <f t="shared" si="20"/>
        <v>24205</v>
      </c>
      <c r="BO31" s="213" t="str">
        <f t="shared" si="21"/>
        <v>---</v>
      </c>
      <c r="BP31" s="214"/>
      <c r="BQ31" s="215"/>
      <c r="BR31" s="215"/>
      <c r="BS31" s="215"/>
      <c r="BT31" s="214" t="str">
        <f t="shared" si="22"/>
        <v>- - -</v>
      </c>
      <c r="BU31" s="213" t="str">
        <f t="shared" si="23"/>
        <v>- - -</v>
      </c>
      <c r="BV31" s="210"/>
      <c r="BW31" s="210"/>
      <c r="BX31" s="216"/>
      <c r="BY31" s="216"/>
      <c r="BZ31" s="216" t="str">
        <f t="shared" si="24"/>
        <v>- - -</v>
      </c>
      <c r="CA31" s="216"/>
      <c r="CB31" s="216"/>
      <c r="CC31" s="216"/>
      <c r="CD31" s="216"/>
      <c r="CE31" s="216" t="str">
        <f t="shared" si="25"/>
        <v>---</v>
      </c>
      <c r="CF31" s="216" t="str">
        <f t="shared" si="26"/>
        <v>/-/ /-/</v>
      </c>
      <c r="CG31" s="216">
        <f t="shared" si="27"/>
        <v>5</v>
      </c>
      <c r="CH31" s="216">
        <f t="shared" si="28"/>
        <v>2043</v>
      </c>
      <c r="CI31" s="216">
        <f t="shared" si="29"/>
        <v>2</v>
      </c>
      <c r="CJ31" s="216">
        <f t="shared" si="30"/>
        <v>2043</v>
      </c>
      <c r="CK31" s="216">
        <f t="shared" si="31"/>
        <v>11</v>
      </c>
      <c r="CL31" s="216">
        <f t="shared" si="32"/>
        <v>2042</v>
      </c>
      <c r="CM31" s="216" t="str">
        <f t="shared" si="33"/>
        <v>- - -</v>
      </c>
      <c r="CN31" s="217" t="str">
        <f t="shared" si="34"/>
        <v>. .</v>
      </c>
      <c r="CO31" s="214"/>
      <c r="CP31" s="218">
        <f t="shared" si="35"/>
        <v>660</v>
      </c>
      <c r="CQ31" s="219">
        <f t="shared" si="36"/>
        <v>-23848</v>
      </c>
      <c r="CR31" s="220">
        <f t="shared" si="37"/>
        <v>-1988</v>
      </c>
      <c r="CS31" s="221" t="str">
        <f t="shared" si="38"/>
        <v>Nữ dưới 30</v>
      </c>
      <c r="CT31" s="222"/>
      <c r="CU31" s="220"/>
      <c r="CV31" s="223" t="str">
        <f t="shared" si="39"/>
        <v>Đến 30</v>
      </c>
      <c r="CW31" s="307" t="str">
        <f t="shared" si="46"/>
        <v>--</v>
      </c>
      <c r="CX31" s="307"/>
      <c r="CY31" s="222"/>
      <c r="CZ31" s="308"/>
      <c r="DA31" s="309"/>
      <c r="DB31" s="216"/>
      <c r="DC31" s="216"/>
      <c r="DD31" s="216"/>
      <c r="DE31" s="216"/>
      <c r="DF31" s="216"/>
      <c r="DG31" s="216" t="s">
        <v>202</v>
      </c>
      <c r="DH31" s="216" t="s">
        <v>92</v>
      </c>
      <c r="DI31" s="216" t="s">
        <v>10</v>
      </c>
      <c r="DJ31" s="216" t="s">
        <v>11</v>
      </c>
      <c r="DK31" s="216" t="s">
        <v>10</v>
      </c>
      <c r="DL31" s="216">
        <v>2014</v>
      </c>
      <c r="DM31" s="216">
        <f t="shared" si="41"/>
        <v>14</v>
      </c>
      <c r="DN31" s="216" t="str">
        <f t="shared" si="42"/>
        <v>Sửa</v>
      </c>
      <c r="DO31" s="216" t="s">
        <v>9</v>
      </c>
      <c r="DP31" s="216" t="s">
        <v>10</v>
      </c>
      <c r="DQ31" s="216" t="s">
        <v>11</v>
      </c>
      <c r="DR31" s="216" t="s">
        <v>10</v>
      </c>
      <c r="DS31" s="216">
        <v>2014</v>
      </c>
      <c r="DU31" s="403" t="str">
        <f t="shared" si="43"/>
        <v>- - -</v>
      </c>
      <c r="DV31" s="403" t="str">
        <f t="shared" si="44"/>
        <v>---</v>
      </c>
    </row>
    <row r="32" spans="1:126" s="403" customFormat="1" ht="24.75" customHeight="1" x14ac:dyDescent="0.25">
      <c r="A32" s="453">
        <v>499</v>
      </c>
      <c r="B32" s="554">
        <v>15</v>
      </c>
      <c r="C32" s="385" t="str">
        <f t="shared" si="0"/>
        <v>Ông</v>
      </c>
      <c r="D32" s="342" t="s">
        <v>204</v>
      </c>
      <c r="E32" s="385" t="s">
        <v>39</v>
      </c>
      <c r="F32" s="454" t="s">
        <v>37</v>
      </c>
      <c r="G32" s="455" t="s">
        <v>10</v>
      </c>
      <c r="H32" s="455" t="s">
        <v>89</v>
      </c>
      <c r="I32" s="455" t="s">
        <v>10</v>
      </c>
      <c r="J32" s="456">
        <v>1965</v>
      </c>
      <c r="K32" s="457"/>
      <c r="L32" s="457"/>
      <c r="M32" s="457" t="e">
        <f>VLOOKUP(L32,'[1]- DLiêu Gốc -'!$B$2:$G$121,2,0)</f>
        <v>#N/A</v>
      </c>
      <c r="N32" s="458" t="s">
        <v>205</v>
      </c>
      <c r="O32" s="459" t="s">
        <v>47</v>
      </c>
      <c r="P32" s="460" t="str">
        <f>VLOOKUP(U32,'[1]- DLiêu Gốc -'!$B$2:$G$56,5,0)</f>
        <v>C</v>
      </c>
      <c r="Q32" s="460" t="str">
        <f>VLOOKUP(U32,'[1]- DLiêu Gốc -'!$B$2:$G$56,6,0)</f>
        <v>Nhân viên</v>
      </c>
      <c r="R32" s="461" t="s">
        <v>41</v>
      </c>
      <c r="S32" s="462" t="str">
        <f t="shared" si="1"/>
        <v>Nhân viên</v>
      </c>
      <c r="T32" s="463" t="str">
        <f t="shared" si="2"/>
        <v>01.005</v>
      </c>
      <c r="U32" s="464" t="s">
        <v>206</v>
      </c>
      <c r="V32" s="463" t="str">
        <f>VLOOKUP(U32,'[1]- DLiêu Gốc -'!$B$1:$G$121,2,0)</f>
        <v>01.011</v>
      </c>
      <c r="W32" s="465" t="str">
        <f t="shared" si="3"/>
        <v>Lương</v>
      </c>
      <c r="X32" s="466">
        <v>9</v>
      </c>
      <c r="Y32" s="467" t="str">
        <f t="shared" si="4"/>
        <v>/</v>
      </c>
      <c r="Z32" s="468">
        <f t="shared" si="45"/>
        <v>12</v>
      </c>
      <c r="AA32" s="390">
        <f t="shared" si="6"/>
        <v>2.94</v>
      </c>
      <c r="AB32" s="469">
        <f t="shared" si="7"/>
        <v>10</v>
      </c>
      <c r="AC32" s="457" t="str">
        <f t="shared" si="8"/>
        <v>/</v>
      </c>
      <c r="AD32" s="468">
        <f t="shared" si="9"/>
        <v>12</v>
      </c>
      <c r="AE32" s="470">
        <f t="shared" si="10"/>
        <v>3.12</v>
      </c>
      <c r="AF32" s="471" t="s">
        <v>9</v>
      </c>
      <c r="AG32" s="472" t="s">
        <v>10</v>
      </c>
      <c r="AH32" s="401" t="s">
        <v>9</v>
      </c>
      <c r="AI32" s="473" t="s">
        <v>10</v>
      </c>
      <c r="AJ32" s="474">
        <v>2016</v>
      </c>
      <c r="AK32" s="475"/>
      <c r="AL32" s="476"/>
      <c r="AM32" s="477">
        <f t="shared" si="11"/>
        <v>2</v>
      </c>
      <c r="AN32" s="477">
        <f t="shared" si="12"/>
        <v>-24193</v>
      </c>
      <c r="AO32" s="384"/>
      <c r="AP32" s="478"/>
      <c r="AQ32" s="396">
        <f>VLOOKUP(U32,'[1]- DLiêu Gốc -'!$B$1:$E$56,3,0)</f>
        <v>1.5</v>
      </c>
      <c r="AR32" s="394">
        <f>VLOOKUP(U32,'[1]- DLiêu Gốc -'!$B$1:$E$56,4,0)</f>
        <v>0.18</v>
      </c>
      <c r="AS32" s="479"/>
      <c r="AT32" s="480" t="str">
        <f t="shared" si="13"/>
        <v>o-o-o</v>
      </c>
      <c r="AU32" s="393"/>
      <c r="AV32" s="393"/>
      <c r="AW32" s="394">
        <f t="shared" si="14"/>
        <v>0</v>
      </c>
      <c r="AX32" s="481"/>
      <c r="AY32" s="482"/>
      <c r="AZ32" s="395"/>
      <c r="BA32" s="395"/>
      <c r="BB32" s="395"/>
      <c r="BC32" s="395"/>
      <c r="BD32" s="395"/>
      <c r="BE32" s="395"/>
      <c r="BF32" s="483" t="str">
        <f t="shared" si="15"/>
        <v>- - -</v>
      </c>
      <c r="BG32" s="484" t="str">
        <f t="shared" si="16"/>
        <v>- - -</v>
      </c>
      <c r="BH32" s="555" t="str">
        <f t="shared" si="17"/>
        <v>NLĐ</v>
      </c>
      <c r="BI32" s="222"/>
      <c r="BJ32" s="209" t="s">
        <v>137</v>
      </c>
      <c r="BK32" s="210" t="s">
        <v>43</v>
      </c>
      <c r="BL32" s="211" t="str">
        <f t="shared" si="18"/>
        <v>A</v>
      </c>
      <c r="BM32" s="210" t="str">
        <f t="shared" si="19"/>
        <v>=&gt; s</v>
      </c>
      <c r="BN32" s="212">
        <f t="shared" si="20"/>
        <v>24205</v>
      </c>
      <c r="BO32" s="213" t="str">
        <f t="shared" si="21"/>
        <v>S</v>
      </c>
      <c r="BP32" s="214">
        <v>2013</v>
      </c>
      <c r="BQ32" s="215" t="s">
        <v>207</v>
      </c>
      <c r="BR32" s="215"/>
      <c r="BS32" s="215"/>
      <c r="BT32" s="214" t="str">
        <f t="shared" si="22"/>
        <v>Cùg Ng</v>
      </c>
      <c r="BU32" s="213" t="str">
        <f t="shared" si="23"/>
        <v>- - -</v>
      </c>
      <c r="BV32" s="210"/>
      <c r="BW32" s="210"/>
      <c r="BX32" s="216"/>
      <c r="BY32" s="216"/>
      <c r="BZ32" s="216" t="str">
        <f t="shared" si="24"/>
        <v>- - -</v>
      </c>
      <c r="CA32" s="216"/>
      <c r="CB32" s="216"/>
      <c r="CC32" s="216"/>
      <c r="CD32" s="216"/>
      <c r="CE32" s="216" t="str">
        <f t="shared" si="25"/>
        <v>---</v>
      </c>
      <c r="CF32" s="216" t="str">
        <f t="shared" si="26"/>
        <v>/-/ /-/</v>
      </c>
      <c r="CG32" s="216">
        <f t="shared" si="27"/>
        <v>4</v>
      </c>
      <c r="CH32" s="216">
        <f t="shared" si="28"/>
        <v>2025</v>
      </c>
      <c r="CI32" s="216">
        <f t="shared" si="29"/>
        <v>1</v>
      </c>
      <c r="CJ32" s="216">
        <f t="shared" si="30"/>
        <v>2025</v>
      </c>
      <c r="CK32" s="216">
        <f t="shared" si="31"/>
        <v>10</v>
      </c>
      <c r="CL32" s="216">
        <f t="shared" si="32"/>
        <v>2024</v>
      </c>
      <c r="CM32" s="216" t="str">
        <f t="shared" si="33"/>
        <v>- - -</v>
      </c>
      <c r="CN32" s="217" t="str">
        <f t="shared" si="34"/>
        <v>. .</v>
      </c>
      <c r="CO32" s="214"/>
      <c r="CP32" s="218">
        <f t="shared" si="35"/>
        <v>720</v>
      </c>
      <c r="CQ32" s="219">
        <f t="shared" si="36"/>
        <v>-23571</v>
      </c>
      <c r="CR32" s="220">
        <f t="shared" si="37"/>
        <v>-1965</v>
      </c>
      <c r="CS32" s="221" t="str">
        <f t="shared" si="38"/>
        <v>Nam dưới 35</v>
      </c>
      <c r="CT32" s="222"/>
      <c r="CU32" s="220"/>
      <c r="CV32" s="223" t="str">
        <f t="shared" si="39"/>
        <v>Đến 30</v>
      </c>
      <c r="CW32" s="307" t="str">
        <f t="shared" si="46"/>
        <v>--</v>
      </c>
      <c r="CX32" s="307"/>
      <c r="CY32" s="222"/>
      <c r="CZ32" s="308"/>
      <c r="DA32" s="309"/>
      <c r="DB32" s="216"/>
      <c r="DC32" s="216"/>
      <c r="DD32" s="216"/>
      <c r="DE32" s="216"/>
      <c r="DF32" s="216"/>
      <c r="DG32" s="216" t="s">
        <v>205</v>
      </c>
      <c r="DH32" s="216" t="s">
        <v>9</v>
      </c>
      <c r="DI32" s="216" t="s">
        <v>10</v>
      </c>
      <c r="DJ32" s="216" t="s">
        <v>9</v>
      </c>
      <c r="DK32" s="216" t="s">
        <v>10</v>
      </c>
      <c r="DL32" s="216">
        <v>2014</v>
      </c>
      <c r="DM32" s="216">
        <f t="shared" si="41"/>
        <v>0</v>
      </c>
      <c r="DN32" s="216" t="str">
        <f t="shared" si="42"/>
        <v>- - -</v>
      </c>
      <c r="DO32" s="216" t="s">
        <v>9</v>
      </c>
      <c r="DP32" s="216" t="s">
        <v>10</v>
      </c>
      <c r="DQ32" s="216" t="s">
        <v>9</v>
      </c>
      <c r="DR32" s="216" t="s">
        <v>10</v>
      </c>
      <c r="DS32" s="216">
        <v>2014</v>
      </c>
      <c r="DU32" s="403" t="str">
        <f t="shared" si="43"/>
        <v>- - -</v>
      </c>
      <c r="DV32" s="403" t="str">
        <f t="shared" si="44"/>
        <v>---</v>
      </c>
    </row>
    <row r="33" spans="1:126" s="138" customFormat="1" ht="24.75" customHeight="1" x14ac:dyDescent="0.25">
      <c r="A33" s="152">
        <v>518</v>
      </c>
      <c r="B33" s="552">
        <v>16</v>
      </c>
      <c r="C33" s="142" t="str">
        <f t="shared" si="0"/>
        <v>Bà</v>
      </c>
      <c r="D33" s="153" t="s">
        <v>208</v>
      </c>
      <c r="E33" s="142" t="s">
        <v>32</v>
      </c>
      <c r="F33" s="154" t="s">
        <v>154</v>
      </c>
      <c r="G33" s="155" t="s">
        <v>10</v>
      </c>
      <c r="H33" s="155" t="s">
        <v>42</v>
      </c>
      <c r="I33" s="155" t="s">
        <v>10</v>
      </c>
      <c r="J33" s="156">
        <v>1967</v>
      </c>
      <c r="K33" s="316"/>
      <c r="L33" s="316"/>
      <c r="M33" s="316" t="e">
        <f>VLOOKUP(L33,'[1]- DLiêu Gốc -'!$B$2:$G$121,2,0)</f>
        <v>#N/A</v>
      </c>
      <c r="N33" s="317" t="s">
        <v>205</v>
      </c>
      <c r="O33" s="297" t="s">
        <v>47</v>
      </c>
      <c r="P33" s="157" t="str">
        <f>VLOOKUP(U33,'[1]- DLiêu Gốc -'!$B$2:$G$56,5,0)</f>
        <v>B</v>
      </c>
      <c r="Q33" s="157" t="str">
        <f>VLOOKUP(U33,'[1]- DLiêu Gốc -'!$B$2:$G$56,6,0)</f>
        <v>- - -</v>
      </c>
      <c r="R33" s="158" t="s">
        <v>41</v>
      </c>
      <c r="S33" s="298" t="str">
        <f t="shared" si="1"/>
        <v>Y sỹ</v>
      </c>
      <c r="T33" s="159" t="str">
        <f t="shared" si="2"/>
        <v>16.119</v>
      </c>
      <c r="U33" s="160" t="s">
        <v>209</v>
      </c>
      <c r="V33" s="159" t="str">
        <f>VLOOKUP(U33,'[1]- DLiêu Gốc -'!$B$1:$G$121,2,0)</f>
        <v>16.119</v>
      </c>
      <c r="W33" s="161" t="str">
        <f t="shared" si="3"/>
        <v>Lương</v>
      </c>
      <c r="X33" s="162">
        <v>11</v>
      </c>
      <c r="Y33" s="163" t="str">
        <f t="shared" si="4"/>
        <v>/</v>
      </c>
      <c r="Z33" s="164">
        <f t="shared" si="45"/>
        <v>12</v>
      </c>
      <c r="AA33" s="165">
        <f t="shared" si="6"/>
        <v>3.8600000000000003</v>
      </c>
      <c r="AB33" s="166">
        <f t="shared" si="7"/>
        <v>12</v>
      </c>
      <c r="AC33" s="316" t="str">
        <f t="shared" si="8"/>
        <v>/</v>
      </c>
      <c r="AD33" s="164">
        <f t="shared" si="9"/>
        <v>12</v>
      </c>
      <c r="AE33" s="318">
        <f t="shared" si="10"/>
        <v>4.0600000000000005</v>
      </c>
      <c r="AF33" s="167" t="s">
        <v>9</v>
      </c>
      <c r="AG33" s="168" t="s">
        <v>10</v>
      </c>
      <c r="AH33" s="169" t="s">
        <v>9</v>
      </c>
      <c r="AI33" s="170" t="s">
        <v>10</v>
      </c>
      <c r="AJ33" s="171">
        <v>2016</v>
      </c>
      <c r="AK33" s="172"/>
      <c r="AL33" s="173"/>
      <c r="AM33" s="145">
        <f t="shared" si="11"/>
        <v>2</v>
      </c>
      <c r="AN33" s="145">
        <f t="shared" si="12"/>
        <v>-24193</v>
      </c>
      <c r="AO33" s="139"/>
      <c r="AP33" s="174"/>
      <c r="AQ33" s="147">
        <f>VLOOKUP(U33,'[1]- DLiêu Gốc -'!$B$1:$E$56,3,0)</f>
        <v>1.86</v>
      </c>
      <c r="AR33" s="141">
        <f>VLOOKUP(U33,'[1]- DLiêu Gốc -'!$B$1:$E$56,4,0)</f>
        <v>0.2</v>
      </c>
      <c r="AS33" s="175"/>
      <c r="AT33" s="176" t="str">
        <f t="shared" si="13"/>
        <v>o-o-o</v>
      </c>
      <c r="AU33" s="177"/>
      <c r="AV33" s="177"/>
      <c r="AW33" s="141">
        <f t="shared" si="14"/>
        <v>0</v>
      </c>
      <c r="AX33" s="178"/>
      <c r="AY33" s="319"/>
      <c r="AZ33" s="144"/>
      <c r="BA33" s="144"/>
      <c r="BB33" s="144"/>
      <c r="BC33" s="144"/>
      <c r="BD33" s="144"/>
      <c r="BE33" s="144"/>
      <c r="BF33" s="146" t="str">
        <f t="shared" si="15"/>
        <v>- - -</v>
      </c>
      <c r="BG33" s="179" t="str">
        <f t="shared" si="16"/>
        <v>- - -</v>
      </c>
      <c r="BH33" s="553" t="str">
        <f t="shared" si="17"/>
        <v>NLĐ</v>
      </c>
      <c r="BI33" s="508"/>
      <c r="BJ33" s="412" t="s">
        <v>137</v>
      </c>
      <c r="BK33" s="413" t="s">
        <v>43</v>
      </c>
      <c r="BL33" s="414" t="str">
        <f t="shared" si="18"/>
        <v>A</v>
      </c>
      <c r="BM33" s="413" t="str">
        <f t="shared" si="19"/>
        <v>=&gt; s</v>
      </c>
      <c r="BN33" s="415">
        <f t="shared" si="20"/>
        <v>24205</v>
      </c>
      <c r="BO33" s="416" t="str">
        <f t="shared" si="21"/>
        <v>S</v>
      </c>
      <c r="BP33" s="417">
        <v>2012</v>
      </c>
      <c r="BQ33" s="418" t="s">
        <v>210</v>
      </c>
      <c r="BR33" s="418"/>
      <c r="BS33" s="418"/>
      <c r="BT33" s="417" t="str">
        <f t="shared" si="22"/>
        <v>Cùg Ng</v>
      </c>
      <c r="BU33" s="416" t="str">
        <f t="shared" si="23"/>
        <v>- - -</v>
      </c>
      <c r="BV33" s="413"/>
      <c r="BW33" s="413"/>
      <c r="BX33" s="419"/>
      <c r="BY33" s="419"/>
      <c r="BZ33" s="419" t="str">
        <f t="shared" si="24"/>
        <v>- - -</v>
      </c>
      <c r="CA33" s="419"/>
      <c r="CB33" s="419"/>
      <c r="CC33" s="419"/>
      <c r="CD33" s="419"/>
      <c r="CE33" s="419" t="str">
        <f t="shared" si="25"/>
        <v>---</v>
      </c>
      <c r="CF33" s="419" t="str">
        <f t="shared" si="26"/>
        <v>/-/ /-/</v>
      </c>
      <c r="CG33" s="419">
        <f t="shared" si="27"/>
        <v>1</v>
      </c>
      <c r="CH33" s="419">
        <f t="shared" si="28"/>
        <v>2023</v>
      </c>
      <c r="CI33" s="419">
        <f t="shared" si="29"/>
        <v>10</v>
      </c>
      <c r="CJ33" s="419">
        <f t="shared" si="30"/>
        <v>2022</v>
      </c>
      <c r="CK33" s="419">
        <f t="shared" si="31"/>
        <v>7</v>
      </c>
      <c r="CL33" s="419">
        <f t="shared" si="32"/>
        <v>2022</v>
      </c>
      <c r="CM33" s="419" t="str">
        <f t="shared" si="33"/>
        <v>- - -</v>
      </c>
      <c r="CN33" s="509" t="str">
        <f t="shared" si="34"/>
        <v>. .</v>
      </c>
      <c r="CO33" s="417"/>
      <c r="CP33" s="510">
        <f t="shared" si="35"/>
        <v>660</v>
      </c>
      <c r="CQ33" s="511">
        <f t="shared" si="36"/>
        <v>-23604</v>
      </c>
      <c r="CR33" s="429">
        <f t="shared" si="37"/>
        <v>-1967</v>
      </c>
      <c r="CS33" s="512" t="str">
        <f t="shared" si="38"/>
        <v>Nữ dưới 30</v>
      </c>
      <c r="CT33" s="508"/>
      <c r="CU33" s="429"/>
      <c r="CV33" s="513" t="str">
        <f t="shared" si="39"/>
        <v>Đến 30</v>
      </c>
      <c r="CW33" s="514" t="str">
        <f t="shared" si="46"/>
        <v>--</v>
      </c>
      <c r="CX33" s="514"/>
      <c r="CY33" s="508"/>
      <c r="CZ33" s="515"/>
      <c r="DA33" s="430"/>
      <c r="DB33" s="419"/>
      <c r="DC33" s="419"/>
      <c r="DD33" s="419"/>
      <c r="DE33" s="419"/>
      <c r="DF33" s="419"/>
      <c r="DG33" s="419" t="s">
        <v>205</v>
      </c>
      <c r="DH33" s="419" t="s">
        <v>9</v>
      </c>
      <c r="DI33" s="419" t="s">
        <v>10</v>
      </c>
      <c r="DJ33" s="419" t="s">
        <v>9</v>
      </c>
      <c r="DK33" s="419" t="s">
        <v>10</v>
      </c>
      <c r="DL33" s="419">
        <v>2014</v>
      </c>
      <c r="DM33" s="419">
        <f t="shared" si="41"/>
        <v>0</v>
      </c>
      <c r="DN33" s="419" t="str">
        <f t="shared" si="42"/>
        <v>- - -</v>
      </c>
      <c r="DO33" s="419" t="s">
        <v>9</v>
      </c>
      <c r="DP33" s="419" t="s">
        <v>10</v>
      </c>
      <c r="DQ33" s="419" t="s">
        <v>9</v>
      </c>
      <c r="DR33" s="419" t="s">
        <v>10</v>
      </c>
      <c r="DS33" s="419">
        <v>2014</v>
      </c>
      <c r="DU33" s="138" t="str">
        <f t="shared" si="43"/>
        <v>- - -</v>
      </c>
      <c r="DV33" s="138" t="str">
        <f t="shared" si="44"/>
        <v>---</v>
      </c>
    </row>
    <row r="34" spans="1:126" s="403" customFormat="1" ht="33" customHeight="1" x14ac:dyDescent="0.25">
      <c r="A34" s="453">
        <v>542</v>
      </c>
      <c r="B34" s="554">
        <v>17</v>
      </c>
      <c r="C34" s="385" t="str">
        <f t="shared" si="0"/>
        <v>Ông</v>
      </c>
      <c r="D34" s="342" t="s">
        <v>211</v>
      </c>
      <c r="E34" s="385" t="s">
        <v>39</v>
      </c>
      <c r="F34" s="454" t="s">
        <v>37</v>
      </c>
      <c r="G34" s="455" t="s">
        <v>10</v>
      </c>
      <c r="H34" s="455" t="s">
        <v>94</v>
      </c>
      <c r="I34" s="455" t="s">
        <v>10</v>
      </c>
      <c r="J34" s="456" t="s">
        <v>147</v>
      </c>
      <c r="K34" s="457" t="str">
        <f>IF(AND((M34+0)&gt;0.3,(M34+0)&lt;1.5),"CVụ","- -")</f>
        <v>CVụ</v>
      </c>
      <c r="L34" s="457" t="s">
        <v>168</v>
      </c>
      <c r="M34" s="457" t="str">
        <f>VLOOKUP(L34,'[1]- DLiêu Gốc -'!$B$2:$G$121,2,0)</f>
        <v>0,6</v>
      </c>
      <c r="N34" s="458" t="s">
        <v>212</v>
      </c>
      <c r="O34" s="459" t="s">
        <v>161</v>
      </c>
      <c r="P34" s="460" t="str">
        <f>VLOOKUP(U34,'[1]- DLiêu Gốc -'!$B$2:$G$56,5,0)</f>
        <v>A3</v>
      </c>
      <c r="Q34" s="460" t="str">
        <f>VLOOKUP(U34,'[1]- DLiêu Gốc -'!$B$2:$G$56,6,0)</f>
        <v>A3.1</v>
      </c>
      <c r="R34" s="461" t="s">
        <v>41</v>
      </c>
      <c r="S34" s="462" t="str">
        <f t="shared" si="1"/>
        <v>Chuyên viên cao cấp</v>
      </c>
      <c r="T34" s="463" t="str">
        <f t="shared" si="2"/>
        <v>01.001</v>
      </c>
      <c r="U34" s="464" t="s">
        <v>175</v>
      </c>
      <c r="V34" s="463" t="str">
        <f>VLOOKUP(U34,'[1]- DLiêu Gốc -'!$B$1:$G$121,2,0)</f>
        <v>01.001</v>
      </c>
      <c r="W34" s="465" t="str">
        <f t="shared" si="3"/>
        <v>Lương</v>
      </c>
      <c r="X34" s="466">
        <v>1</v>
      </c>
      <c r="Y34" s="467" t="str">
        <f t="shared" si="4"/>
        <v>/</v>
      </c>
      <c r="Z34" s="468">
        <f t="shared" si="45"/>
        <v>6</v>
      </c>
      <c r="AA34" s="390">
        <f t="shared" si="6"/>
        <v>6.2</v>
      </c>
      <c r="AB34" s="469">
        <f t="shared" si="7"/>
        <v>2</v>
      </c>
      <c r="AC34" s="457" t="str">
        <f t="shared" si="8"/>
        <v>/</v>
      </c>
      <c r="AD34" s="468">
        <f t="shared" si="9"/>
        <v>6</v>
      </c>
      <c r="AE34" s="470">
        <f t="shared" si="10"/>
        <v>6.5600000000000005</v>
      </c>
      <c r="AF34" s="471" t="s">
        <v>9</v>
      </c>
      <c r="AG34" s="472" t="s">
        <v>10</v>
      </c>
      <c r="AH34" s="401" t="s">
        <v>9</v>
      </c>
      <c r="AI34" s="473" t="s">
        <v>10</v>
      </c>
      <c r="AJ34" s="474">
        <v>2016</v>
      </c>
      <c r="AK34" s="475"/>
      <c r="AL34" s="476"/>
      <c r="AM34" s="477">
        <f t="shared" si="11"/>
        <v>3</v>
      </c>
      <c r="AN34" s="477">
        <f t="shared" si="12"/>
        <v>-24193</v>
      </c>
      <c r="AO34" s="384"/>
      <c r="AP34" s="478"/>
      <c r="AQ34" s="396">
        <f>VLOOKUP(U34,'[1]- DLiêu Gốc -'!$B$1:$E$56,3,0)</f>
        <v>6.2</v>
      </c>
      <c r="AR34" s="394">
        <f>VLOOKUP(U34,'[1]- DLiêu Gốc -'!$B$1:$E$56,4,0)</f>
        <v>0.36</v>
      </c>
      <c r="AS34" s="479"/>
      <c r="AT34" s="480" t="str">
        <f t="shared" si="13"/>
        <v>o-o-o</v>
      </c>
      <c r="AU34" s="393"/>
      <c r="AV34" s="393"/>
      <c r="AW34" s="394">
        <f t="shared" si="14"/>
        <v>0</v>
      </c>
      <c r="AX34" s="481"/>
      <c r="AY34" s="482"/>
      <c r="AZ34" s="395"/>
      <c r="BA34" s="395"/>
      <c r="BB34" s="395"/>
      <c r="BC34" s="395"/>
      <c r="BD34" s="395"/>
      <c r="BE34" s="395"/>
      <c r="BF34" s="483" t="str">
        <f t="shared" si="15"/>
        <v>- - -</v>
      </c>
      <c r="BG34" s="484" t="str">
        <f t="shared" si="16"/>
        <v>- - -</v>
      </c>
      <c r="BH34" s="555" t="str">
        <f t="shared" si="17"/>
        <v>VC</v>
      </c>
      <c r="BI34" s="222"/>
      <c r="BJ34" s="209"/>
      <c r="BK34" s="210" t="s">
        <v>101</v>
      </c>
      <c r="BL34" s="211" t="str">
        <f t="shared" si="18"/>
        <v>A</v>
      </c>
      <c r="BM34" s="210" t="str">
        <f t="shared" si="19"/>
        <v>=&gt; s</v>
      </c>
      <c r="BN34" s="212">
        <f t="shared" si="20"/>
        <v>24217</v>
      </c>
      <c r="BO34" s="213" t="str">
        <f t="shared" si="21"/>
        <v>S</v>
      </c>
      <c r="BP34" s="214">
        <v>2007</v>
      </c>
      <c r="BQ34" s="215" t="s">
        <v>176</v>
      </c>
      <c r="BR34" s="215"/>
      <c r="BS34" s="215"/>
      <c r="BT34" s="214" t="str">
        <f t="shared" si="22"/>
        <v>- - -</v>
      </c>
      <c r="BU34" s="213" t="str">
        <f t="shared" si="23"/>
        <v>NN</v>
      </c>
      <c r="BV34" s="210">
        <v>1</v>
      </c>
      <c r="BW34" s="210">
        <v>2013</v>
      </c>
      <c r="BX34" s="216"/>
      <c r="BY34" s="216"/>
      <c r="BZ34" s="216" t="str">
        <f t="shared" si="24"/>
        <v>- - -</v>
      </c>
      <c r="CA34" s="216"/>
      <c r="CB34" s="216"/>
      <c r="CC34" s="216"/>
      <c r="CD34" s="216"/>
      <c r="CE34" s="216" t="str">
        <f t="shared" si="25"/>
        <v>---</v>
      </c>
      <c r="CF34" s="216" t="str">
        <f t="shared" si="26"/>
        <v>/-/ /-/</v>
      </c>
      <c r="CG34" s="216">
        <f t="shared" si="27"/>
        <v>10</v>
      </c>
      <c r="CH34" s="216">
        <f t="shared" si="28"/>
        <v>2024</v>
      </c>
      <c r="CI34" s="216">
        <f t="shared" si="29"/>
        <v>7</v>
      </c>
      <c r="CJ34" s="216">
        <f t="shared" si="30"/>
        <v>2024</v>
      </c>
      <c r="CK34" s="216">
        <f t="shared" si="31"/>
        <v>4</v>
      </c>
      <c r="CL34" s="216">
        <f t="shared" si="32"/>
        <v>2024</v>
      </c>
      <c r="CM34" s="216" t="str">
        <f t="shared" si="33"/>
        <v>- - -</v>
      </c>
      <c r="CN34" s="217" t="str">
        <f t="shared" si="34"/>
        <v>. .</v>
      </c>
      <c r="CO34" s="214"/>
      <c r="CP34" s="218">
        <f t="shared" si="35"/>
        <v>720</v>
      </c>
      <c r="CQ34" s="219">
        <f t="shared" si="36"/>
        <v>-23565</v>
      </c>
      <c r="CR34" s="220">
        <f t="shared" si="37"/>
        <v>-1964</v>
      </c>
      <c r="CS34" s="221" t="str">
        <f t="shared" si="38"/>
        <v>Nam dưới 35</v>
      </c>
      <c r="CT34" s="222"/>
      <c r="CU34" s="220"/>
      <c r="CV34" s="223" t="str">
        <f t="shared" si="39"/>
        <v>Đến 30</v>
      </c>
      <c r="CW34" s="307" t="str">
        <f t="shared" si="46"/>
        <v>--</v>
      </c>
      <c r="CX34" s="307"/>
      <c r="CY34" s="222"/>
      <c r="CZ34" s="308"/>
      <c r="DA34" s="309"/>
      <c r="DB34" s="216"/>
      <c r="DC34" s="216"/>
      <c r="DD34" s="216"/>
      <c r="DE34" s="216"/>
      <c r="DF34" s="216"/>
      <c r="DG34" s="216" t="s">
        <v>212</v>
      </c>
      <c r="DH34" s="216" t="s">
        <v>9</v>
      </c>
      <c r="DI34" s="216" t="s">
        <v>10</v>
      </c>
      <c r="DJ34" s="216" t="s">
        <v>9</v>
      </c>
      <c r="DK34" s="216" t="s">
        <v>10</v>
      </c>
      <c r="DL34" s="216">
        <v>2013</v>
      </c>
      <c r="DM34" s="216">
        <f t="shared" si="41"/>
        <v>0</v>
      </c>
      <c r="DN34" s="216" t="str">
        <f t="shared" si="42"/>
        <v>- - -</v>
      </c>
      <c r="DO34" s="216" t="s">
        <v>9</v>
      </c>
      <c r="DP34" s="216" t="s">
        <v>10</v>
      </c>
      <c r="DQ34" s="216" t="s">
        <v>9</v>
      </c>
      <c r="DR34" s="216" t="s">
        <v>10</v>
      </c>
      <c r="DS34" s="216">
        <v>2013</v>
      </c>
      <c r="DT34" s="403" t="s">
        <v>213</v>
      </c>
      <c r="DU34" s="403" t="str">
        <f t="shared" si="43"/>
        <v>- - -</v>
      </c>
      <c r="DV34" s="403" t="str">
        <f t="shared" si="44"/>
        <v>---</v>
      </c>
    </row>
    <row r="35" spans="1:126" s="334" customFormat="1" ht="20.25" customHeight="1" x14ac:dyDescent="0.25">
      <c r="B35" s="550" t="s">
        <v>138</v>
      </c>
      <c r="C35" s="335"/>
      <c r="D35" s="336" t="s">
        <v>214</v>
      </c>
      <c r="E35" s="337"/>
      <c r="F35" s="337"/>
      <c r="G35" s="337"/>
      <c r="H35" s="337"/>
      <c r="I35" s="337"/>
      <c r="J35" s="337"/>
      <c r="K35" s="337"/>
      <c r="L35" s="337"/>
      <c r="M35" s="337"/>
      <c r="N35" s="337"/>
      <c r="O35" s="338"/>
      <c r="P35" s="335"/>
      <c r="Q35" s="335"/>
      <c r="R35" s="339"/>
      <c r="S35" s="339"/>
      <c r="T35" s="340"/>
      <c r="U35" s="339"/>
      <c r="V35" s="340"/>
      <c r="W35" s="339"/>
      <c r="X35" s="339"/>
      <c r="Y35" s="341"/>
      <c r="Z35" s="340"/>
      <c r="AA35" s="335"/>
      <c r="AB35" s="339"/>
      <c r="AC35" s="341"/>
      <c r="AD35" s="340"/>
      <c r="AE35" s="339"/>
      <c r="AF35" s="339"/>
      <c r="AG35" s="341"/>
      <c r="AH35" s="341"/>
      <c r="AI35" s="341"/>
      <c r="AJ35" s="340"/>
      <c r="AK35" s="341"/>
      <c r="AL35" s="341"/>
      <c r="AM35" s="335"/>
      <c r="AN35" s="335"/>
      <c r="AO35" s="335"/>
      <c r="AP35" s="339"/>
      <c r="AQ35" s="335"/>
      <c r="AR35" s="335"/>
      <c r="AS35" s="339"/>
      <c r="AT35" s="335"/>
      <c r="AU35" s="335"/>
      <c r="AV35" s="335"/>
      <c r="AW35" s="335"/>
      <c r="AX35" s="339"/>
      <c r="AY35" s="340"/>
      <c r="AZ35" s="335"/>
      <c r="BA35" s="335"/>
      <c r="BB35" s="335"/>
      <c r="BC35" s="335"/>
      <c r="BD35" s="335"/>
      <c r="BE35" s="335"/>
      <c r="BF35" s="335"/>
      <c r="BG35" s="341"/>
      <c r="BH35" s="551"/>
      <c r="BI35" s="411"/>
      <c r="BJ35" s="411"/>
      <c r="BK35" s="411"/>
      <c r="BL35" s="411"/>
      <c r="BM35" s="411"/>
      <c r="BN35" s="411"/>
      <c r="BO35" s="411"/>
      <c r="BP35" s="411"/>
      <c r="BQ35" s="411"/>
      <c r="BR35" s="411"/>
      <c r="BS35" s="411"/>
      <c r="BT35" s="411"/>
      <c r="BU35" s="411"/>
      <c r="BV35" s="411"/>
      <c r="BW35" s="411"/>
      <c r="BX35" s="411"/>
      <c r="BY35" s="411"/>
      <c r="BZ35" s="411"/>
      <c r="CA35" s="411"/>
      <c r="CB35" s="411"/>
      <c r="CC35" s="411"/>
      <c r="CD35" s="411"/>
      <c r="CE35" s="411"/>
      <c r="CF35" s="411"/>
      <c r="CG35" s="411"/>
      <c r="CH35" s="411"/>
      <c r="CI35" s="411"/>
      <c r="CJ35" s="411"/>
      <c r="CK35" s="411"/>
      <c r="CL35" s="411"/>
      <c r="CM35" s="411"/>
      <c r="CN35" s="411"/>
      <c r="CO35" s="411"/>
      <c r="CP35" s="411"/>
      <c r="CQ35" s="411"/>
      <c r="CR35" s="411"/>
      <c r="CS35" s="411"/>
      <c r="CT35" s="411"/>
      <c r="CU35" s="411"/>
      <c r="CV35" s="411"/>
      <c r="CW35" s="411"/>
      <c r="CX35" s="411"/>
      <c r="CY35" s="411"/>
      <c r="CZ35" s="411"/>
      <c r="DA35" s="411"/>
      <c r="DB35" s="411"/>
      <c r="DC35" s="411"/>
      <c r="DD35" s="411"/>
      <c r="DE35" s="411"/>
      <c r="DF35" s="411"/>
      <c r="DG35" s="411"/>
      <c r="DH35" s="411"/>
      <c r="DI35" s="411"/>
      <c r="DJ35" s="411"/>
      <c r="DK35" s="411"/>
      <c r="DL35" s="411"/>
      <c r="DM35" s="411"/>
      <c r="DN35" s="411"/>
      <c r="DO35" s="411"/>
      <c r="DP35" s="411"/>
      <c r="DQ35" s="411"/>
      <c r="DR35" s="411"/>
      <c r="DS35" s="411"/>
    </row>
    <row r="36" spans="1:126" s="138" customFormat="1" ht="27" customHeight="1" x14ac:dyDescent="0.25">
      <c r="A36" s="152">
        <v>39</v>
      </c>
      <c r="B36" s="552">
        <v>18</v>
      </c>
      <c r="C36" s="142" t="str">
        <f t="shared" ref="C36:C43" si="47">IF(E36="Nam","Ông","Bà")</f>
        <v>Ông</v>
      </c>
      <c r="D36" s="153" t="s">
        <v>215</v>
      </c>
      <c r="E36" s="142" t="s">
        <v>39</v>
      </c>
      <c r="F36" s="154" t="s">
        <v>102</v>
      </c>
      <c r="G36" s="155" t="s">
        <v>10</v>
      </c>
      <c r="H36" s="155" t="s">
        <v>94</v>
      </c>
      <c r="I36" s="155" t="s">
        <v>10</v>
      </c>
      <c r="J36" s="156">
        <v>1981</v>
      </c>
      <c r="K36" s="316"/>
      <c r="L36" s="316"/>
      <c r="M36" s="316" t="e">
        <f>VLOOKUP(L36,'[2]- DLiêu Gốc -'!$B$2:$G$121,2,0)</f>
        <v>#N/A</v>
      </c>
      <c r="N36" s="317" t="s">
        <v>127</v>
      </c>
      <c r="O36" s="297" t="s">
        <v>166</v>
      </c>
      <c r="P36" s="157" t="str">
        <f>VLOOKUP(U36,'[2]- DLiêu Gốc -'!$B$2:$G$56,5,0)</f>
        <v>A1</v>
      </c>
      <c r="Q36" s="157" t="str">
        <f>VLOOKUP(U36,'[2]- DLiêu Gốc -'!$B$2:$G$56,6,0)</f>
        <v>- - -</v>
      </c>
      <c r="R36" s="158" t="s">
        <v>41</v>
      </c>
      <c r="S36" s="298" t="str">
        <f t="shared" ref="S36:S43" si="48">IF(OR(U36="Kỹ thuật viên đánh máy",U36="Nhân viên đánh máy",U36="Nhân viên kỹ thuật",U36="Nhân viên văn thư",U36="Nhân viên phục vụ",U36="Lái xe cơ quan",U36="Nhân viên bảo vệ"),"Nhân viên",U36)</f>
        <v>Chuyên viên</v>
      </c>
      <c r="T36" s="159" t="str">
        <f t="shared" ref="T36:T43" si="49">IF(S36="Nhân viên","01.005",V36)</f>
        <v>01.003</v>
      </c>
      <c r="U36" s="160" t="s">
        <v>103</v>
      </c>
      <c r="V36" s="159" t="str">
        <f>VLOOKUP(U36,'[2]- DLiêu Gốc -'!$B$1:$G$121,2,0)</f>
        <v>01.003</v>
      </c>
      <c r="W36" s="161" t="str">
        <f t="shared" ref="W36:W43" si="50">IF(OR(AND(AN36=36,AM36=3),AND(AN36=24,AM36=2),AND(AN36=12,AM36=1)),"Đến $",IF(AND(AN36&lt;12*10,OR(AND(AN36&gt;36,AM36=3),AND(AN36&gt;24,AN36&lt;120,AM36=2),AND(AN36&gt;12,AM36=1))),"Dừng $","Lương"))</f>
        <v>Lương</v>
      </c>
      <c r="X36" s="162">
        <v>3</v>
      </c>
      <c r="Y36" s="163" t="str">
        <f t="shared" ref="Y36:Y43" si="51">IF(Z36&gt;0,"/")</f>
        <v>/</v>
      </c>
      <c r="Z36" s="164">
        <f t="shared" ref="Z36:Z43" si="52">IF(OR(AR36=0.18,AR36=0.2),12,IF(AR36=0.31,10,IF(AR36=0.33,9,IF(AR36=0.34,8,IF(AR36=0.36,6)))))</f>
        <v>9</v>
      </c>
      <c r="AA36" s="165">
        <f t="shared" ref="AA36:AA43" si="53">AQ36+(X36-1)*AR36</f>
        <v>3</v>
      </c>
      <c r="AB36" s="166">
        <f>X36+1</f>
        <v>4</v>
      </c>
      <c r="AC36" s="316" t="str">
        <f t="shared" ref="AC36:AC43" si="54">IF(Z36=X36,"%",IF(Z36&gt;X36,"/"))</f>
        <v>/</v>
      </c>
      <c r="AD36" s="164">
        <f t="shared" ref="AD36:AD43" si="55">IF(AND(Z36=X36,AB36=4),5,IF(AND(Z36=X36,AB36&gt;4),AB36+1,IF(Z36&gt;X36,Z36)))</f>
        <v>9</v>
      </c>
      <c r="AE36" s="318">
        <f t="shared" ref="AE36:AE43" si="56">IF(Z36=X36,"%",IF(Z36&gt;X36,AA36+AR36))</f>
        <v>3.33</v>
      </c>
      <c r="AF36" s="167" t="s">
        <v>9</v>
      </c>
      <c r="AG36" s="168" t="s">
        <v>10</v>
      </c>
      <c r="AH36" s="169" t="s">
        <v>37</v>
      </c>
      <c r="AI36" s="170" t="s">
        <v>10</v>
      </c>
      <c r="AJ36" s="171">
        <v>2016</v>
      </c>
      <c r="AK36" s="172"/>
      <c r="AL36" s="173"/>
      <c r="AM36" s="145">
        <f t="shared" ref="AM36:AM43" si="57">IF(AND(Z36&gt;X36,OR(AR36=0.18,AR36=0.2)),2,IF(AND(Z36&gt;X36,OR(AR36=0.31,AR36=0.33,AR36=0.34,AR36=0.36)),3,IF(Z36=X36,1)))</f>
        <v>3</v>
      </c>
      <c r="AN36" s="145">
        <f t="shared" ref="AN36:AN43" si="58">12*($W$2-AJ36)+($W$4-AH36)-AO36</f>
        <v>-24194</v>
      </c>
      <c r="AO36" s="139"/>
      <c r="AP36" s="174"/>
      <c r="AQ36" s="147">
        <f>VLOOKUP(U36,'[2]- DLiêu Gốc -'!$B$1:$E$56,3,0)</f>
        <v>2.34</v>
      </c>
      <c r="AR36" s="141">
        <f>VLOOKUP(U36,'[2]- DLiêu Gốc -'!$B$1:$E$56,4,0)</f>
        <v>0.33</v>
      </c>
      <c r="AS36" s="175"/>
      <c r="AT36" s="176" t="str">
        <f t="shared" ref="AT36:AT43" si="59">IF(AND(AU36&gt;3,BF36=12),"Đến %",IF(AND(AU36&gt;3,BF36&gt;12,BF36&lt;120),"Dừng %",IF(AND(AU36&gt;3,BF36&lt;12),"PCTN","o-o-o")))</f>
        <v>o-o-o</v>
      </c>
      <c r="AU36" s="177"/>
      <c r="AV36" s="177"/>
      <c r="AW36" s="141">
        <f t="shared" ref="AW36:AW43" si="60">IF(AU36&gt;3,AU36+1,0)</f>
        <v>0</v>
      </c>
      <c r="AX36" s="178"/>
      <c r="AY36" s="319"/>
      <c r="AZ36" s="144"/>
      <c r="BA36" s="144"/>
      <c r="BB36" s="144"/>
      <c r="BC36" s="144"/>
      <c r="BD36" s="144"/>
      <c r="BE36" s="144"/>
      <c r="BF36" s="146" t="str">
        <f t="shared" ref="BF36:BF43" si="61">IF(AU36&gt;3,(($AT$2-BA36)*12+($AT$4-AY36)-BC36),"- - -")</f>
        <v>- - -</v>
      </c>
      <c r="BG36" s="179" t="str">
        <f t="shared" ref="BG36:BG43" si="62">IF(AND(CF36="Hưu",AU36&gt;3),12-(12*(CL36-BA36)+(CK36-AY36))-BC36,"- - -")</f>
        <v>- - -</v>
      </c>
      <c r="BH36" s="553" t="str">
        <f t="shared" ref="BH36:BH43" si="63">IF(BK36="công chức","CC",IF(BK36="viên chức","VC",IF(BK36="người lao động","NLĐ","- - -")))</f>
        <v>NLĐ</v>
      </c>
      <c r="BI36" s="508"/>
      <c r="BJ36" s="412"/>
      <c r="BK36" s="413" t="s">
        <v>43</v>
      </c>
      <c r="BL36" s="414" t="str">
        <f t="shared" ref="BL36:BL43" si="64">IF(O36="Cơ sở Học viện Hành chính khu vực miền Trung","B",IF(O36="Phân viện Khu vực Tây Nguyên","C",IF(O36="Cơ sở Học viện Hành chính tại thành phố Hồ Chí Minh","D","A")))</f>
        <v>A</v>
      </c>
      <c r="BM36" s="413" t="str">
        <f t="shared" ref="BM36:BM43" si="65">IF(AND(AB36&gt;0,X36&lt;(Z36-1),BN36&gt;0,BN36&lt;13,OR(AND(BT36="Cùg Ng",($BM$2-BP36)&gt;AM36),BT36="- - -")),"Sớm TT","=&gt; s")</f>
        <v>=&gt; s</v>
      </c>
      <c r="BN36" s="415">
        <f t="shared" ref="BN36:BN43" si="66">IF(AM36=3,36-(12*($BM$2-AJ36)+(12-AH36)-AO36),IF(AM36=2,24-(12*($BM$2-AJ36)+(12-AH36)-AO36),"---"))</f>
        <v>24218</v>
      </c>
      <c r="BO36" s="416" t="str">
        <f t="shared" ref="BO36:BO43" si="67">IF(BP36&gt;1,"S","---")</f>
        <v>---</v>
      </c>
      <c r="BP36" s="417"/>
      <c r="BQ36" s="418"/>
      <c r="BR36" s="418"/>
      <c r="BS36" s="418"/>
      <c r="BT36" s="417" t="str">
        <f t="shared" ref="BT36:BT43" si="68">IF(T36=BQ36,"Cùg Ng","- - -")</f>
        <v>- - -</v>
      </c>
      <c r="BU36" s="416" t="str">
        <f t="shared" ref="BU36:BU43" si="69">IF(BW36&gt;2000,"NN","- - -")</f>
        <v>- - -</v>
      </c>
      <c r="BV36" s="413"/>
      <c r="BW36" s="413"/>
      <c r="BX36" s="419"/>
      <c r="BY36" s="419"/>
      <c r="BZ36" s="419" t="str">
        <f t="shared" ref="BZ36:BZ43" si="70">IF(CB36&gt;2000,"CN","- - -")</f>
        <v>- - -</v>
      </c>
      <c r="CA36" s="419"/>
      <c r="CB36" s="419"/>
      <c r="CC36" s="419"/>
      <c r="CD36" s="419"/>
      <c r="CE36" s="419" t="str">
        <f t="shared" ref="CE36:CE43" si="71">IF(AND(CF36="Hưu",X36&lt;(Z36-1),CM36&gt;0,CM36&lt;18,OR(AU36&lt;4,AND(AU36&gt;3,OR(BG36&lt;3,BG36&gt;5)))),"Lg Sớm",IF(AND(CF36="Hưu",X36&gt;(Z36-2),OR(AR36=0.33,AR36=0.34),OR(AU36&lt;4,AND(AU36&gt;3,OR(BG36&lt;3,BG36&gt;5)))),"Nâng Ngạch",IF(AND(CF36="Hưu",AM36=1,CM36&gt;2,CM36&lt;6,OR(AU36&lt;4,AND(AU36&gt;3,OR(BG36&lt;3,BG36&gt;5)))),"Nâng PcVK cùng QĐ",IF(AND(CF36="Hưu",AU36&gt;3,BG36&gt;2,BG36&lt;6,X36&lt;(Z36-1),CM36&gt;17,OR(AM36&gt;1,AND(AM36=1,OR(CM36&lt;3,CM36&gt;5)))),"Nâng PcNG cùng QĐ",IF(AND(CF36="Hưu",X36&lt;(Z36-1),CM36&gt;0,CM36&lt;18,AU36&gt;3,BG36&gt;2,BG36&lt;6),"Nâng Lg Sớm +(PcNG cùng QĐ)",IF(AND(CF36="Hưu",X36&gt;(Z36-2),OR(AR36=0.33,AR36=0.34),AU36&gt;3,BG36&gt;2,BG36&lt;6),"Nâng Ngạch +(PcNG cùng QĐ)",IF(AND(CF36="Hưu",AM36=1,CM36&gt;2,CM36&lt;6,AU36&gt;3,BG36&gt;2,BG36&lt;6),"Nâng (PcVK +PcNG) cùng QĐ",("---"))))))))</f>
        <v>---</v>
      </c>
      <c r="CF36" s="419" t="str">
        <f t="shared" ref="CF36:CF43" si="72">IF(AND(CQ36&gt;CP36,CQ36&lt;(CP36+13)),"Hưu",IF(AND(CQ36&gt;(CP36+12),CQ36&lt;1000),"Quá","/-/ /-/"))</f>
        <v>/-/ /-/</v>
      </c>
      <c r="CG36" s="419">
        <f t="shared" ref="CG36:CG43" si="73">IF((H36+0)&lt;12,(H36+0)+1,IF((H36+0)=12,1,IF((H36+0)&gt;12,(H36+0)-12)))</f>
        <v>10</v>
      </c>
      <c r="CH36" s="419">
        <f t="shared" ref="CH36:CH43" si="74">IF(OR((H36+0)=12,(H36+0)&gt;12),J36+CP36/12+1,IF(AND((H36+0)&gt;0,(H36+0)&lt;12),J36+CP36/12,"---"))</f>
        <v>2041</v>
      </c>
      <c r="CI36" s="419">
        <f t="shared" ref="CI36:CI43" si="75">IF(AND(CG36&gt;3,CG36&lt;13),CG36-3,IF(CG36&lt;4,CG36-3+12))</f>
        <v>7</v>
      </c>
      <c r="CJ36" s="419">
        <f t="shared" ref="CJ36:CJ43" si="76">IF(CI36&lt;CG36,CH36,IF(CI36&gt;CG36,CH36-1))</f>
        <v>2041</v>
      </c>
      <c r="CK36" s="419">
        <f t="shared" ref="CK36:CK43" si="77">IF(CG36&gt;6,CG36-6,IF(CG36=6,12,IF(CG36&lt;6,CG36+6)))</f>
        <v>4</v>
      </c>
      <c r="CL36" s="419">
        <f t="shared" ref="CL36:CL43" si="78">IF(CG36&gt;6,CH36,IF(CG36&lt;7,CH36-1))</f>
        <v>2041</v>
      </c>
      <c r="CM36" s="419" t="str">
        <f t="shared" ref="CM36:CM43" si="79">IF(AND(CF36="Hưu",AM36=3),36+AO36-(12*(CL36-AJ36)+(CK36-AH36)),IF(AND(CF36="Hưu",AM36=2),24+AO36-(12*(CL36-AJ36)+(CK36-AH36)),IF(AND(CF36="Hưu",AM36=1),12+AO36-(12*(CL36-AJ36)+(CK36-AH36)),"- - -")))</f>
        <v>- - -</v>
      </c>
      <c r="CN36" s="509" t="str">
        <f t="shared" ref="CN36:CN43" si="80">IF(CO36&gt;0,"K.Dài",". .")</f>
        <v>. .</v>
      </c>
      <c r="CO36" s="417"/>
      <c r="CP36" s="510">
        <f t="shared" ref="CP36:CP43" si="81">IF(E36="Nam",(60+CO36)*12,IF(E36="Nữ",(55+CO36)*12,))</f>
        <v>720</v>
      </c>
      <c r="CQ36" s="511">
        <f t="shared" ref="CQ36:CQ43" si="82">12*($CF$4-J36)+(12-H36)</f>
        <v>-23769</v>
      </c>
      <c r="CR36" s="429">
        <f t="shared" ref="CR36:CR43" si="83">$CV$4-J36</f>
        <v>-1981</v>
      </c>
      <c r="CS36" s="512" t="str">
        <f t="shared" ref="CS36:CS43" si="84">IF(AND(CR36&lt;35,E36="Nam"),"Nam dưới 35",IF(AND(CR36&lt;30,E36="Nữ"),"Nữ dưới 30",IF(AND(CR36&gt;34,CR36&lt;46,E36="Nam"),"Nam từ 35 - 45",IF(AND(CR36&gt;29,CR36&lt;41,E36="Nữ"),"Nữ từ 30 - 40",IF(AND(CR36&gt;45,CR36&lt;56,E36="Nam"),"Nam trên 45 - 55",IF(AND(CR36&gt;40,CR36&lt;51,E36="Nữ"),"Nữ trên 40 - 50",IF(AND(CR36&gt;55,E36="Nam"),"Nam trên 55","Nữ trên 50")))))))</f>
        <v>Nam dưới 35</v>
      </c>
      <c r="CT36" s="508"/>
      <c r="CU36" s="429"/>
      <c r="CV36" s="513" t="str">
        <f t="shared" ref="CV36:CV43" si="85">IF(CR36&lt;31,"Đến 30",IF(AND(CR36&gt;30,CR36&lt;46),"31 - 45",IF(AND(CR36&gt;45,CR36&lt;70),"Trên 45")))</f>
        <v>Đến 30</v>
      </c>
      <c r="CW36" s="514" t="str">
        <f t="shared" ref="CW36:CW43" si="86">IF(CX36&gt;0,"TD","--")</f>
        <v>--</v>
      </c>
      <c r="CX36" s="514"/>
      <c r="CY36" s="508"/>
      <c r="CZ36" s="515"/>
      <c r="DA36" s="430"/>
      <c r="DB36" s="419"/>
      <c r="DC36" s="419"/>
      <c r="DD36" s="419"/>
      <c r="DE36" s="419"/>
      <c r="DF36" s="419"/>
      <c r="DG36" s="419" t="s">
        <v>127</v>
      </c>
      <c r="DH36" s="419" t="s">
        <v>9</v>
      </c>
      <c r="DI36" s="419" t="s">
        <v>10</v>
      </c>
      <c r="DJ36" s="419" t="s">
        <v>37</v>
      </c>
      <c r="DK36" s="419" t="s">
        <v>10</v>
      </c>
      <c r="DL36" s="419">
        <v>2013</v>
      </c>
      <c r="DM36" s="419">
        <f t="shared" ref="DM36:DM43" si="87">(DH36+0)-(DO36+0)</f>
        <v>0</v>
      </c>
      <c r="DN36" s="419" t="str">
        <f t="shared" ref="DN36:DN43" si="88">IF(DM36&gt;0,"Sửa","- - -")</f>
        <v>- - -</v>
      </c>
      <c r="DO36" s="419" t="s">
        <v>9</v>
      </c>
      <c r="DP36" s="419" t="s">
        <v>10</v>
      </c>
      <c r="DQ36" s="419" t="s">
        <v>37</v>
      </c>
      <c r="DR36" s="419" t="s">
        <v>10</v>
      </c>
      <c r="DS36" s="419">
        <v>2013</v>
      </c>
      <c r="DU36" s="138" t="str">
        <f t="shared" ref="DU36:DU43" si="89">IF(AND(AR36&gt;0.34,AB36=1,OR(AQ36=6.2,AQ36=5.75)),((AQ36-DT36)-2*0.34),IF(AND(AR36&gt;0.33,AB36=1,OR(AQ36=4.4,AQ36=4)),((AQ36-DT36)-2*0.33),"- - -"))</f>
        <v>- - -</v>
      </c>
      <c r="DV36" s="138" t="str">
        <f t="shared" ref="DV36:DV43" si="90">IF(CF36="Hưu",12*(CL36-AJ36)+(CK36-AH36),"---")</f>
        <v>---</v>
      </c>
    </row>
    <row r="37" spans="1:126" s="138" customFormat="1" ht="31.5" customHeight="1" x14ac:dyDescent="0.25">
      <c r="A37" s="152">
        <v>141</v>
      </c>
      <c r="B37" s="552">
        <v>19</v>
      </c>
      <c r="C37" s="142" t="str">
        <f t="shared" si="47"/>
        <v>Ông</v>
      </c>
      <c r="D37" s="153" t="s">
        <v>216</v>
      </c>
      <c r="E37" s="142" t="s">
        <v>39</v>
      </c>
      <c r="F37" s="154" t="s">
        <v>102</v>
      </c>
      <c r="G37" s="155" t="s">
        <v>10</v>
      </c>
      <c r="H37" s="155" t="s">
        <v>42</v>
      </c>
      <c r="I37" s="155" t="s">
        <v>10</v>
      </c>
      <c r="J37" s="156">
        <v>1958</v>
      </c>
      <c r="K37" s="316" t="str">
        <f>IF(AND((M37+0)&gt;0.3,(M37+0)&lt;1.5),"CVụ","- -")</f>
        <v>CVụ</v>
      </c>
      <c r="L37" s="316" t="s">
        <v>121</v>
      </c>
      <c r="M37" s="316" t="str">
        <f>VLOOKUP(L37,'[2]- DLiêu Gốc -'!$B$2:$G$121,2,0)</f>
        <v>0,8</v>
      </c>
      <c r="N37" s="317"/>
      <c r="O37" s="297" t="s">
        <v>113</v>
      </c>
      <c r="P37" s="157" t="str">
        <f>VLOOKUP(U37,'[2]- DLiêu Gốc -'!$B$2:$G$56,5,0)</f>
        <v>A2</v>
      </c>
      <c r="Q37" s="157" t="str">
        <f>VLOOKUP(U37,'[2]- DLiêu Gốc -'!$B$2:$G$56,6,0)</f>
        <v>A2.1</v>
      </c>
      <c r="R37" s="158" t="s">
        <v>41</v>
      </c>
      <c r="S37" s="298" t="str">
        <f t="shared" si="48"/>
        <v>Chuyên viên chính</v>
      </c>
      <c r="T37" s="159" t="str">
        <f t="shared" si="49"/>
        <v>01.002</v>
      </c>
      <c r="U37" s="160" t="s">
        <v>169</v>
      </c>
      <c r="V37" s="159" t="str">
        <f>VLOOKUP(U37,'[2]- DLiêu Gốc -'!$B$1:$G$121,2,0)</f>
        <v>01.002</v>
      </c>
      <c r="W37" s="161" t="str">
        <f t="shared" si="50"/>
        <v>Lương</v>
      </c>
      <c r="X37" s="162">
        <v>4</v>
      </c>
      <c r="Y37" s="163" t="str">
        <f t="shared" si="51"/>
        <v>/</v>
      </c>
      <c r="Z37" s="164">
        <f t="shared" si="52"/>
        <v>8</v>
      </c>
      <c r="AA37" s="165">
        <f t="shared" si="53"/>
        <v>5.42</v>
      </c>
      <c r="AB37" s="166">
        <f t="shared" ref="AB37:AB43" si="91">X37+1</f>
        <v>5</v>
      </c>
      <c r="AC37" s="316" t="str">
        <f t="shared" si="54"/>
        <v>/</v>
      </c>
      <c r="AD37" s="164">
        <f t="shared" si="55"/>
        <v>8</v>
      </c>
      <c r="AE37" s="318">
        <f t="shared" si="56"/>
        <v>5.76</v>
      </c>
      <c r="AF37" s="167" t="s">
        <v>9</v>
      </c>
      <c r="AG37" s="168" t="s">
        <v>10</v>
      </c>
      <c r="AH37" s="169" t="s">
        <v>37</v>
      </c>
      <c r="AI37" s="170" t="s">
        <v>10</v>
      </c>
      <c r="AJ37" s="171">
        <v>2016</v>
      </c>
      <c r="AK37" s="172"/>
      <c r="AL37" s="173"/>
      <c r="AM37" s="145">
        <f t="shared" si="57"/>
        <v>3</v>
      </c>
      <c r="AN37" s="145">
        <f t="shared" si="58"/>
        <v>-24194</v>
      </c>
      <c r="AO37" s="139"/>
      <c r="AP37" s="174"/>
      <c r="AQ37" s="147">
        <f>VLOOKUP(U37,'[2]- DLiêu Gốc -'!$B$1:$E$56,3,0)</f>
        <v>4.4000000000000004</v>
      </c>
      <c r="AR37" s="141">
        <f>VLOOKUP(U37,'[2]- DLiêu Gốc -'!$B$1:$E$56,4,0)</f>
        <v>0.34</v>
      </c>
      <c r="AS37" s="175"/>
      <c r="AT37" s="176" t="str">
        <f t="shared" si="59"/>
        <v>o-o-o</v>
      </c>
      <c r="AU37" s="177"/>
      <c r="AV37" s="177"/>
      <c r="AW37" s="141">
        <f t="shared" si="60"/>
        <v>0</v>
      </c>
      <c r="AX37" s="178"/>
      <c r="AY37" s="319"/>
      <c r="AZ37" s="144"/>
      <c r="BA37" s="144"/>
      <c r="BB37" s="144"/>
      <c r="BC37" s="144"/>
      <c r="BD37" s="144"/>
      <c r="BE37" s="144"/>
      <c r="BF37" s="146" t="str">
        <f t="shared" si="61"/>
        <v>- - -</v>
      </c>
      <c r="BG37" s="179" t="str">
        <f t="shared" si="62"/>
        <v>- - -</v>
      </c>
      <c r="BH37" s="553" t="str">
        <f t="shared" si="63"/>
        <v>VC</v>
      </c>
      <c r="BI37" s="508"/>
      <c r="BJ37" s="412"/>
      <c r="BK37" s="413" t="s">
        <v>101</v>
      </c>
      <c r="BL37" s="414" t="str">
        <f t="shared" si="64"/>
        <v>A</v>
      </c>
      <c r="BM37" s="413" t="str">
        <f t="shared" si="65"/>
        <v>=&gt; s</v>
      </c>
      <c r="BN37" s="415">
        <f t="shared" si="66"/>
        <v>24218</v>
      </c>
      <c r="BO37" s="416" t="str">
        <f t="shared" si="67"/>
        <v>S</v>
      </c>
      <c r="BP37" s="417">
        <v>2010</v>
      </c>
      <c r="BQ37" s="418" t="s">
        <v>176</v>
      </c>
      <c r="BR37" s="418"/>
      <c r="BS37" s="418"/>
      <c r="BT37" s="417" t="str">
        <f t="shared" si="68"/>
        <v>Cùg Ng</v>
      </c>
      <c r="BU37" s="416" t="str">
        <f t="shared" si="69"/>
        <v>- - -</v>
      </c>
      <c r="BV37" s="413"/>
      <c r="BW37" s="413"/>
      <c r="BX37" s="419"/>
      <c r="BY37" s="419"/>
      <c r="BZ37" s="419" t="str">
        <f t="shared" si="70"/>
        <v>- - -</v>
      </c>
      <c r="CA37" s="419"/>
      <c r="CB37" s="419"/>
      <c r="CC37" s="419"/>
      <c r="CD37" s="419"/>
      <c r="CE37" s="419" t="str">
        <f t="shared" si="71"/>
        <v>---</v>
      </c>
      <c r="CF37" s="419" t="str">
        <f t="shared" si="72"/>
        <v>/-/ /-/</v>
      </c>
      <c r="CG37" s="419">
        <f t="shared" si="73"/>
        <v>1</v>
      </c>
      <c r="CH37" s="419">
        <f t="shared" si="74"/>
        <v>2019</v>
      </c>
      <c r="CI37" s="419">
        <f t="shared" si="75"/>
        <v>10</v>
      </c>
      <c r="CJ37" s="419">
        <f t="shared" si="76"/>
        <v>2018</v>
      </c>
      <c r="CK37" s="419">
        <f t="shared" si="77"/>
        <v>7</v>
      </c>
      <c r="CL37" s="419">
        <f t="shared" si="78"/>
        <v>2018</v>
      </c>
      <c r="CM37" s="419" t="str">
        <f t="shared" si="79"/>
        <v>- - -</v>
      </c>
      <c r="CN37" s="509" t="str">
        <f t="shared" si="80"/>
        <v>. .</v>
      </c>
      <c r="CO37" s="417"/>
      <c r="CP37" s="510">
        <f t="shared" si="81"/>
        <v>720</v>
      </c>
      <c r="CQ37" s="511">
        <f t="shared" si="82"/>
        <v>-23496</v>
      </c>
      <c r="CR37" s="429">
        <f t="shared" si="83"/>
        <v>-1958</v>
      </c>
      <c r="CS37" s="512" t="str">
        <f t="shared" si="84"/>
        <v>Nam dưới 35</v>
      </c>
      <c r="CT37" s="508"/>
      <c r="CU37" s="429"/>
      <c r="CV37" s="513" t="str">
        <f t="shared" si="85"/>
        <v>Đến 30</v>
      </c>
      <c r="CW37" s="514" t="str">
        <f t="shared" si="86"/>
        <v>--</v>
      </c>
      <c r="CX37" s="514"/>
      <c r="CY37" s="508"/>
      <c r="CZ37" s="515"/>
      <c r="DA37" s="430"/>
      <c r="DB37" s="419"/>
      <c r="DC37" s="419"/>
      <c r="DD37" s="419"/>
      <c r="DE37" s="419"/>
      <c r="DF37" s="419"/>
      <c r="DG37" s="419"/>
      <c r="DH37" s="419" t="s">
        <v>9</v>
      </c>
      <c r="DI37" s="419" t="s">
        <v>10</v>
      </c>
      <c r="DJ37" s="419" t="s">
        <v>37</v>
      </c>
      <c r="DK37" s="419" t="s">
        <v>10</v>
      </c>
      <c r="DL37" s="419">
        <v>2013</v>
      </c>
      <c r="DM37" s="419">
        <f t="shared" si="87"/>
        <v>0</v>
      </c>
      <c r="DN37" s="419" t="str">
        <f t="shared" si="88"/>
        <v>- - -</v>
      </c>
      <c r="DO37" s="419" t="s">
        <v>9</v>
      </c>
      <c r="DP37" s="419" t="s">
        <v>10</v>
      </c>
      <c r="DQ37" s="419" t="s">
        <v>37</v>
      </c>
      <c r="DR37" s="419" t="s">
        <v>10</v>
      </c>
      <c r="DS37" s="419">
        <v>2013</v>
      </c>
      <c r="DU37" s="138" t="str">
        <f t="shared" si="89"/>
        <v>- - -</v>
      </c>
      <c r="DV37" s="138" t="str">
        <f t="shared" si="90"/>
        <v>---</v>
      </c>
    </row>
    <row r="38" spans="1:126" s="138" customFormat="1" ht="32.25" customHeight="1" x14ac:dyDescent="0.25">
      <c r="A38" s="152">
        <v>151</v>
      </c>
      <c r="B38" s="552">
        <v>20</v>
      </c>
      <c r="C38" s="142" t="str">
        <f t="shared" si="47"/>
        <v>Bà</v>
      </c>
      <c r="D38" s="153" t="s">
        <v>217</v>
      </c>
      <c r="E38" s="142" t="s">
        <v>32</v>
      </c>
      <c r="F38" s="154" t="s">
        <v>104</v>
      </c>
      <c r="G38" s="155" t="s">
        <v>10</v>
      </c>
      <c r="H38" s="155" t="s">
        <v>42</v>
      </c>
      <c r="I38" s="155" t="s">
        <v>10</v>
      </c>
      <c r="J38" s="156">
        <v>1983</v>
      </c>
      <c r="K38" s="316"/>
      <c r="L38" s="316"/>
      <c r="M38" s="316" t="e">
        <f>VLOOKUP(L38,'[2]- DLiêu Gốc -'!$B$2:$G$121,2,0)</f>
        <v>#N/A</v>
      </c>
      <c r="N38" s="317" t="s">
        <v>29</v>
      </c>
      <c r="O38" s="297" t="s">
        <v>113</v>
      </c>
      <c r="P38" s="157" t="str">
        <f>VLOOKUP(U38,'[2]- DLiêu Gốc -'!$B$2:$G$56,5,0)</f>
        <v>A1</v>
      </c>
      <c r="Q38" s="157" t="str">
        <f>VLOOKUP(U38,'[2]- DLiêu Gốc -'!$B$2:$G$56,6,0)</f>
        <v>- - -</v>
      </c>
      <c r="R38" s="158" t="s">
        <v>34</v>
      </c>
      <c r="S38" s="298" t="str">
        <f t="shared" si="48"/>
        <v>Giảng viên (hạng III)</v>
      </c>
      <c r="T38" s="159" t="str">
        <f t="shared" si="49"/>
        <v>V.07.01.03</v>
      </c>
      <c r="U38" s="160" t="s">
        <v>35</v>
      </c>
      <c r="V38" s="159" t="str">
        <f>VLOOKUP(U38,'[2]- DLiêu Gốc -'!$B$1:$G$121,2,0)</f>
        <v>V.07.01.03</v>
      </c>
      <c r="W38" s="161" t="str">
        <f t="shared" si="50"/>
        <v>Lương</v>
      </c>
      <c r="X38" s="162">
        <v>3</v>
      </c>
      <c r="Y38" s="163" t="str">
        <f t="shared" si="51"/>
        <v>/</v>
      </c>
      <c r="Z38" s="164">
        <f t="shared" si="52"/>
        <v>9</v>
      </c>
      <c r="AA38" s="165">
        <f t="shared" si="53"/>
        <v>3</v>
      </c>
      <c r="AB38" s="166">
        <f t="shared" si="91"/>
        <v>4</v>
      </c>
      <c r="AC38" s="316" t="str">
        <f t="shared" si="54"/>
        <v>/</v>
      </c>
      <c r="AD38" s="164">
        <f t="shared" si="55"/>
        <v>9</v>
      </c>
      <c r="AE38" s="318">
        <f t="shared" si="56"/>
        <v>3.33</v>
      </c>
      <c r="AF38" s="167" t="s">
        <v>9</v>
      </c>
      <c r="AG38" s="168" t="s">
        <v>10</v>
      </c>
      <c r="AH38" s="169" t="s">
        <v>37</v>
      </c>
      <c r="AI38" s="170" t="s">
        <v>10</v>
      </c>
      <c r="AJ38" s="171">
        <v>2016</v>
      </c>
      <c r="AK38" s="172"/>
      <c r="AL38" s="173"/>
      <c r="AM38" s="145">
        <f t="shared" si="57"/>
        <v>3</v>
      </c>
      <c r="AN38" s="145">
        <f t="shared" si="58"/>
        <v>-24194</v>
      </c>
      <c r="AO38" s="139"/>
      <c r="AP38" s="174"/>
      <c r="AQ38" s="147">
        <f>VLOOKUP(U38,'[2]- DLiêu Gốc -'!$B$1:$E$56,3,0)</f>
        <v>2.34</v>
      </c>
      <c r="AR38" s="141">
        <f>VLOOKUP(U38,'[2]- DLiêu Gốc -'!$B$1:$E$56,4,0)</f>
        <v>0.33</v>
      </c>
      <c r="AS38" s="175"/>
      <c r="AT38" s="176" t="str">
        <f t="shared" si="59"/>
        <v>PCTN</v>
      </c>
      <c r="AU38" s="177">
        <v>7</v>
      </c>
      <c r="AV38" s="177" t="s">
        <v>38</v>
      </c>
      <c r="AW38" s="141">
        <f t="shared" si="60"/>
        <v>8</v>
      </c>
      <c r="AX38" s="178" t="s">
        <v>38</v>
      </c>
      <c r="AY38" s="319" t="s">
        <v>37</v>
      </c>
      <c r="AZ38" s="144" t="s">
        <v>10</v>
      </c>
      <c r="BA38" s="144">
        <v>2015</v>
      </c>
      <c r="BB38" s="144"/>
      <c r="BC38" s="144"/>
      <c r="BD38" s="144"/>
      <c r="BE38" s="144">
        <v>2</v>
      </c>
      <c r="BF38" s="146">
        <f t="shared" si="61"/>
        <v>-24182</v>
      </c>
      <c r="BG38" s="179" t="str">
        <f t="shared" si="62"/>
        <v>- - -</v>
      </c>
      <c r="BH38" s="553" t="str">
        <f t="shared" si="63"/>
        <v>VC</v>
      </c>
      <c r="BI38" s="508"/>
      <c r="BJ38" s="412"/>
      <c r="BK38" s="413" t="s">
        <v>101</v>
      </c>
      <c r="BL38" s="414" t="str">
        <f t="shared" si="64"/>
        <v>A</v>
      </c>
      <c r="BM38" s="413" t="str">
        <f t="shared" si="65"/>
        <v>=&gt; s</v>
      </c>
      <c r="BN38" s="415">
        <f t="shared" si="66"/>
        <v>24218</v>
      </c>
      <c r="BO38" s="416" t="str">
        <f t="shared" si="67"/>
        <v>---</v>
      </c>
      <c r="BP38" s="417"/>
      <c r="BQ38" s="418"/>
      <c r="BR38" s="418"/>
      <c r="BS38" s="418"/>
      <c r="BT38" s="417" t="str">
        <f t="shared" si="68"/>
        <v>- - -</v>
      </c>
      <c r="BU38" s="416" t="str">
        <f t="shared" si="69"/>
        <v>- - -</v>
      </c>
      <c r="BV38" s="413"/>
      <c r="BW38" s="413"/>
      <c r="BX38" s="419"/>
      <c r="BY38" s="419"/>
      <c r="BZ38" s="419" t="str">
        <f t="shared" si="70"/>
        <v>- - -</v>
      </c>
      <c r="CA38" s="419"/>
      <c r="CB38" s="419"/>
      <c r="CC38" s="419"/>
      <c r="CD38" s="419"/>
      <c r="CE38" s="419" t="str">
        <f t="shared" si="71"/>
        <v>---</v>
      </c>
      <c r="CF38" s="419" t="str">
        <f t="shared" si="72"/>
        <v>/-/ /-/</v>
      </c>
      <c r="CG38" s="419">
        <f t="shared" si="73"/>
        <v>1</v>
      </c>
      <c r="CH38" s="419">
        <f t="shared" si="74"/>
        <v>2039</v>
      </c>
      <c r="CI38" s="419">
        <f t="shared" si="75"/>
        <v>10</v>
      </c>
      <c r="CJ38" s="419">
        <f t="shared" si="76"/>
        <v>2038</v>
      </c>
      <c r="CK38" s="419">
        <f t="shared" si="77"/>
        <v>7</v>
      </c>
      <c r="CL38" s="419">
        <f t="shared" si="78"/>
        <v>2038</v>
      </c>
      <c r="CM38" s="419" t="str">
        <f t="shared" si="79"/>
        <v>- - -</v>
      </c>
      <c r="CN38" s="509" t="str">
        <f t="shared" si="80"/>
        <v>. .</v>
      </c>
      <c r="CO38" s="417"/>
      <c r="CP38" s="510">
        <f t="shared" si="81"/>
        <v>660</v>
      </c>
      <c r="CQ38" s="511">
        <f t="shared" si="82"/>
        <v>-23796</v>
      </c>
      <c r="CR38" s="429">
        <f t="shared" si="83"/>
        <v>-1983</v>
      </c>
      <c r="CS38" s="512" t="str">
        <f t="shared" si="84"/>
        <v>Nữ dưới 30</v>
      </c>
      <c r="CT38" s="508"/>
      <c r="CU38" s="429"/>
      <c r="CV38" s="513" t="str">
        <f t="shared" si="85"/>
        <v>Đến 30</v>
      </c>
      <c r="CW38" s="514" t="str">
        <f t="shared" si="86"/>
        <v>TD</v>
      </c>
      <c r="CX38" s="514">
        <v>2012</v>
      </c>
      <c r="CY38" s="508"/>
      <c r="CZ38" s="515"/>
      <c r="DA38" s="430"/>
      <c r="DB38" s="419"/>
      <c r="DC38" s="419"/>
      <c r="DD38" s="419"/>
      <c r="DE38" s="419"/>
      <c r="DF38" s="419"/>
      <c r="DG38" s="419" t="s">
        <v>29</v>
      </c>
      <c r="DH38" s="419" t="s">
        <v>9</v>
      </c>
      <c r="DI38" s="419" t="s">
        <v>10</v>
      </c>
      <c r="DJ38" s="419" t="s">
        <v>37</v>
      </c>
      <c r="DK38" s="419" t="s">
        <v>10</v>
      </c>
      <c r="DL38" s="419">
        <v>2013</v>
      </c>
      <c r="DM38" s="419">
        <f t="shared" si="87"/>
        <v>0</v>
      </c>
      <c r="DN38" s="419" t="str">
        <f t="shared" si="88"/>
        <v>- - -</v>
      </c>
      <c r="DO38" s="419" t="s">
        <v>9</v>
      </c>
      <c r="DP38" s="419" t="s">
        <v>10</v>
      </c>
      <c r="DQ38" s="419" t="s">
        <v>37</v>
      </c>
      <c r="DR38" s="419" t="s">
        <v>10</v>
      </c>
      <c r="DS38" s="419">
        <v>2013</v>
      </c>
      <c r="DU38" s="138" t="str">
        <f t="shared" si="89"/>
        <v>- - -</v>
      </c>
      <c r="DV38" s="138" t="str">
        <f t="shared" si="90"/>
        <v>---</v>
      </c>
    </row>
    <row r="39" spans="1:126" s="138" customFormat="1" ht="32.25" customHeight="1" x14ac:dyDescent="0.25">
      <c r="A39" s="152">
        <v>174</v>
      </c>
      <c r="B39" s="552">
        <v>21</v>
      </c>
      <c r="C39" s="142" t="str">
        <f t="shared" si="47"/>
        <v>Ông</v>
      </c>
      <c r="D39" s="153" t="s">
        <v>218</v>
      </c>
      <c r="E39" s="142" t="s">
        <v>39</v>
      </c>
      <c r="F39" s="154" t="s">
        <v>154</v>
      </c>
      <c r="G39" s="155" t="s">
        <v>10</v>
      </c>
      <c r="H39" s="155" t="s">
        <v>46</v>
      </c>
      <c r="I39" s="155" t="s">
        <v>10</v>
      </c>
      <c r="J39" s="156">
        <v>1963</v>
      </c>
      <c r="K39" s="316" t="str">
        <f>IF(AND((M39+0)&gt;0.3,(M39+0)&lt;1.5),"CVụ","- -")</f>
        <v>CVụ</v>
      </c>
      <c r="L39" s="316" t="s">
        <v>121</v>
      </c>
      <c r="M39" s="316" t="str">
        <f>VLOOKUP(L39,'[2]- DLiêu Gốc -'!$B$2:$G$121,2,0)</f>
        <v>0,8</v>
      </c>
      <c r="N39" s="317"/>
      <c r="O39" s="297" t="s">
        <v>93</v>
      </c>
      <c r="P39" s="157" t="str">
        <f>VLOOKUP(U39,'[2]- DLiêu Gốc -'!$B$2:$G$56,5,0)</f>
        <v>A2</v>
      </c>
      <c r="Q39" s="157" t="str">
        <f>VLOOKUP(U39,'[2]- DLiêu Gốc -'!$B$2:$G$56,6,0)</f>
        <v>A2.1</v>
      </c>
      <c r="R39" s="158" t="s">
        <v>34</v>
      </c>
      <c r="S39" s="298" t="str">
        <f t="shared" si="48"/>
        <v>Giảng viên chính (hạng II)</v>
      </c>
      <c r="T39" s="159" t="str">
        <f t="shared" si="49"/>
        <v>V.07.01.02</v>
      </c>
      <c r="U39" s="160" t="s">
        <v>45</v>
      </c>
      <c r="V39" s="159" t="str">
        <f>VLOOKUP(U39,'[2]- DLiêu Gốc -'!$B$1:$G$121,2,0)</f>
        <v>V.07.01.02</v>
      </c>
      <c r="W39" s="161" t="str">
        <f t="shared" si="50"/>
        <v>Lương</v>
      </c>
      <c r="X39" s="162">
        <v>4</v>
      </c>
      <c r="Y39" s="163" t="str">
        <f t="shared" si="51"/>
        <v>/</v>
      </c>
      <c r="Z39" s="164">
        <f t="shared" si="52"/>
        <v>8</v>
      </c>
      <c r="AA39" s="165">
        <f t="shared" si="53"/>
        <v>5.42</v>
      </c>
      <c r="AB39" s="166">
        <f t="shared" si="91"/>
        <v>5</v>
      </c>
      <c r="AC39" s="316" t="str">
        <f t="shared" si="54"/>
        <v>/</v>
      </c>
      <c r="AD39" s="164">
        <f t="shared" si="55"/>
        <v>8</v>
      </c>
      <c r="AE39" s="318">
        <f t="shared" si="56"/>
        <v>5.76</v>
      </c>
      <c r="AF39" s="167" t="s">
        <v>9</v>
      </c>
      <c r="AG39" s="168" t="s">
        <v>10</v>
      </c>
      <c r="AH39" s="169" t="s">
        <v>37</v>
      </c>
      <c r="AI39" s="170" t="s">
        <v>10</v>
      </c>
      <c r="AJ39" s="171">
        <v>2016</v>
      </c>
      <c r="AK39" s="172" t="s">
        <v>219</v>
      </c>
      <c r="AL39" s="173"/>
      <c r="AM39" s="145">
        <f t="shared" si="57"/>
        <v>3</v>
      </c>
      <c r="AN39" s="145">
        <f t="shared" si="58"/>
        <v>-24194</v>
      </c>
      <c r="AO39" s="139"/>
      <c r="AP39" s="174"/>
      <c r="AQ39" s="147">
        <f>VLOOKUP(U39,'[2]- DLiêu Gốc -'!$B$1:$E$56,3,0)</f>
        <v>4.4000000000000004</v>
      </c>
      <c r="AR39" s="141">
        <f>VLOOKUP(U39,'[2]- DLiêu Gốc -'!$B$1:$E$56,4,0)</f>
        <v>0.34</v>
      </c>
      <c r="AS39" s="175"/>
      <c r="AT39" s="176" t="str">
        <f t="shared" si="59"/>
        <v>PCTN</v>
      </c>
      <c r="AU39" s="177">
        <v>13</v>
      </c>
      <c r="AV39" s="177" t="s">
        <v>38</v>
      </c>
      <c r="AW39" s="141">
        <f t="shared" si="60"/>
        <v>14</v>
      </c>
      <c r="AX39" s="178" t="s">
        <v>38</v>
      </c>
      <c r="AY39" s="319">
        <v>3</v>
      </c>
      <c r="AZ39" s="144" t="s">
        <v>10</v>
      </c>
      <c r="BA39" s="144">
        <v>2015</v>
      </c>
      <c r="BB39" s="144"/>
      <c r="BC39" s="144"/>
      <c r="BD39" s="144"/>
      <c r="BE39" s="144">
        <v>3</v>
      </c>
      <c r="BF39" s="146">
        <f t="shared" si="61"/>
        <v>-24183</v>
      </c>
      <c r="BG39" s="179" t="str">
        <f t="shared" si="62"/>
        <v>- - -</v>
      </c>
      <c r="BH39" s="553" t="str">
        <f t="shared" si="63"/>
        <v>VC</v>
      </c>
      <c r="BI39" s="508"/>
      <c r="BJ39" s="412" t="s">
        <v>220</v>
      </c>
      <c r="BK39" s="413" t="s">
        <v>101</v>
      </c>
      <c r="BL39" s="414" t="str">
        <f t="shared" si="64"/>
        <v>A</v>
      </c>
      <c r="BM39" s="413" t="str">
        <f t="shared" si="65"/>
        <v>=&gt; s</v>
      </c>
      <c r="BN39" s="415">
        <f t="shared" si="66"/>
        <v>24218</v>
      </c>
      <c r="BO39" s="416" t="str">
        <f t="shared" si="67"/>
        <v>S</v>
      </c>
      <c r="BP39" s="417">
        <v>2013</v>
      </c>
      <c r="BQ39" s="418" t="s">
        <v>109</v>
      </c>
      <c r="BR39" s="418"/>
      <c r="BS39" s="418"/>
      <c r="BT39" s="417" t="str">
        <f t="shared" si="68"/>
        <v>Cùg Ng</v>
      </c>
      <c r="BU39" s="416" t="str">
        <f t="shared" si="69"/>
        <v>NN</v>
      </c>
      <c r="BV39" s="413">
        <v>1</v>
      </c>
      <c r="BW39" s="413">
        <v>2009</v>
      </c>
      <c r="BX39" s="419"/>
      <c r="BY39" s="419"/>
      <c r="BZ39" s="419" t="str">
        <f t="shared" si="70"/>
        <v>- - -</v>
      </c>
      <c r="CA39" s="419"/>
      <c r="CB39" s="419"/>
      <c r="CC39" s="419"/>
      <c r="CD39" s="419"/>
      <c r="CE39" s="419" t="str">
        <f t="shared" si="71"/>
        <v>---</v>
      </c>
      <c r="CF39" s="419" t="str">
        <f t="shared" si="72"/>
        <v>/-/ /-/</v>
      </c>
      <c r="CG39" s="419">
        <f t="shared" si="73"/>
        <v>11</v>
      </c>
      <c r="CH39" s="419">
        <f t="shared" si="74"/>
        <v>2023</v>
      </c>
      <c r="CI39" s="419">
        <f t="shared" si="75"/>
        <v>8</v>
      </c>
      <c r="CJ39" s="419">
        <f t="shared" si="76"/>
        <v>2023</v>
      </c>
      <c r="CK39" s="419">
        <f t="shared" si="77"/>
        <v>5</v>
      </c>
      <c r="CL39" s="419">
        <f t="shared" si="78"/>
        <v>2023</v>
      </c>
      <c r="CM39" s="419" t="str">
        <f t="shared" si="79"/>
        <v>- - -</v>
      </c>
      <c r="CN39" s="509" t="str">
        <f t="shared" si="80"/>
        <v>. .</v>
      </c>
      <c r="CO39" s="417"/>
      <c r="CP39" s="510">
        <f t="shared" si="81"/>
        <v>720</v>
      </c>
      <c r="CQ39" s="511">
        <f t="shared" si="82"/>
        <v>-23554</v>
      </c>
      <c r="CR39" s="429">
        <f t="shared" si="83"/>
        <v>-1963</v>
      </c>
      <c r="CS39" s="512" t="str">
        <f t="shared" si="84"/>
        <v>Nam dưới 35</v>
      </c>
      <c r="CT39" s="508"/>
      <c r="CU39" s="429"/>
      <c r="CV39" s="513" t="str">
        <f t="shared" si="85"/>
        <v>Đến 30</v>
      </c>
      <c r="CW39" s="514" t="str">
        <f t="shared" si="86"/>
        <v>--</v>
      </c>
      <c r="CX39" s="514"/>
      <c r="CY39" s="508"/>
      <c r="CZ39" s="515"/>
      <c r="DA39" s="430"/>
      <c r="DB39" s="419"/>
      <c r="DC39" s="419"/>
      <c r="DD39" s="419"/>
      <c r="DE39" s="419"/>
      <c r="DF39" s="419"/>
      <c r="DG39" s="419"/>
      <c r="DH39" s="419" t="s">
        <v>9</v>
      </c>
      <c r="DI39" s="419" t="s">
        <v>10</v>
      </c>
      <c r="DJ39" s="419" t="s">
        <v>37</v>
      </c>
      <c r="DK39" s="419" t="s">
        <v>10</v>
      </c>
      <c r="DL39" s="419">
        <v>2013</v>
      </c>
      <c r="DM39" s="419">
        <f t="shared" si="87"/>
        <v>0</v>
      </c>
      <c r="DN39" s="419" t="str">
        <f t="shared" si="88"/>
        <v>- - -</v>
      </c>
      <c r="DO39" s="419" t="s">
        <v>9</v>
      </c>
      <c r="DP39" s="419" t="s">
        <v>10</v>
      </c>
      <c r="DQ39" s="419" t="s">
        <v>37</v>
      </c>
      <c r="DR39" s="419" t="s">
        <v>10</v>
      </c>
      <c r="DS39" s="419">
        <v>2013</v>
      </c>
      <c r="DT39" s="138">
        <v>4.32</v>
      </c>
      <c r="DU39" s="138" t="str">
        <f t="shared" si="89"/>
        <v>- - -</v>
      </c>
      <c r="DV39" s="138" t="str">
        <f t="shared" si="90"/>
        <v>---</v>
      </c>
    </row>
    <row r="40" spans="1:126" s="138" customFormat="1" ht="32.25" customHeight="1" x14ac:dyDescent="0.25">
      <c r="A40" s="152">
        <v>210</v>
      </c>
      <c r="B40" s="552">
        <v>22</v>
      </c>
      <c r="C40" s="142" t="str">
        <f t="shared" si="47"/>
        <v>Bà</v>
      </c>
      <c r="D40" s="153" t="s">
        <v>221</v>
      </c>
      <c r="E40" s="142" t="s">
        <v>32</v>
      </c>
      <c r="F40" s="154" t="s">
        <v>134</v>
      </c>
      <c r="G40" s="155" t="s">
        <v>10</v>
      </c>
      <c r="H40" s="155" t="s">
        <v>40</v>
      </c>
      <c r="I40" s="155" t="s">
        <v>10</v>
      </c>
      <c r="J40" s="156">
        <v>1961</v>
      </c>
      <c r="K40" s="316"/>
      <c r="L40" s="316"/>
      <c r="M40" s="316" t="e">
        <f>VLOOKUP(L40,'[2]- DLiêu Gốc -'!$B$2:$G$121,2,0)</f>
        <v>#N/A</v>
      </c>
      <c r="N40" s="317" t="s">
        <v>132</v>
      </c>
      <c r="O40" s="297" t="s">
        <v>110</v>
      </c>
      <c r="P40" s="157" t="str">
        <f>VLOOKUP(U40,'[2]- DLiêu Gốc -'!$B$2:$G$56,5,0)</f>
        <v>A2</v>
      </c>
      <c r="Q40" s="157" t="str">
        <f>VLOOKUP(U40,'[2]- DLiêu Gốc -'!$B$2:$G$56,6,0)</f>
        <v>A2.1</v>
      </c>
      <c r="R40" s="158" t="s">
        <v>34</v>
      </c>
      <c r="S40" s="298" t="str">
        <f t="shared" si="48"/>
        <v>Giảng viên chính (hạng II)</v>
      </c>
      <c r="T40" s="159" t="str">
        <f t="shared" si="49"/>
        <v>V.07.01.02</v>
      </c>
      <c r="U40" s="160" t="s">
        <v>45</v>
      </c>
      <c r="V40" s="159" t="str">
        <f>VLOOKUP(U40,'[2]- DLiêu Gốc -'!$B$1:$G$121,2,0)</f>
        <v>V.07.01.02</v>
      </c>
      <c r="W40" s="161" t="str">
        <f t="shared" si="50"/>
        <v>Lương</v>
      </c>
      <c r="X40" s="162">
        <v>2</v>
      </c>
      <c r="Y40" s="163" t="str">
        <f t="shared" si="51"/>
        <v>/</v>
      </c>
      <c r="Z40" s="164">
        <f t="shared" si="52"/>
        <v>8</v>
      </c>
      <c r="AA40" s="165">
        <f t="shared" si="53"/>
        <v>4.74</v>
      </c>
      <c r="AB40" s="166">
        <f t="shared" si="91"/>
        <v>3</v>
      </c>
      <c r="AC40" s="316" t="str">
        <f t="shared" si="54"/>
        <v>/</v>
      </c>
      <c r="AD40" s="164">
        <f t="shared" si="55"/>
        <v>8</v>
      </c>
      <c r="AE40" s="318">
        <f t="shared" si="56"/>
        <v>5.08</v>
      </c>
      <c r="AF40" s="167" t="s">
        <v>9</v>
      </c>
      <c r="AG40" s="168" t="s">
        <v>10</v>
      </c>
      <c r="AH40" s="169" t="s">
        <v>37</v>
      </c>
      <c r="AI40" s="170" t="s">
        <v>10</v>
      </c>
      <c r="AJ40" s="171">
        <v>2016</v>
      </c>
      <c r="AK40" s="172"/>
      <c r="AL40" s="173"/>
      <c r="AM40" s="145">
        <f t="shared" si="57"/>
        <v>3</v>
      </c>
      <c r="AN40" s="145">
        <f t="shared" si="58"/>
        <v>-24194</v>
      </c>
      <c r="AO40" s="139"/>
      <c r="AP40" s="174"/>
      <c r="AQ40" s="147">
        <f>VLOOKUP(U40,'[2]- DLiêu Gốc -'!$B$1:$E$56,3,0)</f>
        <v>4.4000000000000004</v>
      </c>
      <c r="AR40" s="141">
        <f>VLOOKUP(U40,'[2]- DLiêu Gốc -'!$B$1:$E$56,4,0)</f>
        <v>0.34</v>
      </c>
      <c r="AS40" s="175"/>
      <c r="AT40" s="176" t="str">
        <f t="shared" si="59"/>
        <v>PCTN</v>
      </c>
      <c r="AU40" s="177">
        <v>15</v>
      </c>
      <c r="AV40" s="177" t="s">
        <v>38</v>
      </c>
      <c r="AW40" s="141">
        <f t="shared" si="60"/>
        <v>16</v>
      </c>
      <c r="AX40" s="178" t="s">
        <v>38</v>
      </c>
      <c r="AY40" s="319">
        <v>4</v>
      </c>
      <c r="AZ40" s="144" t="s">
        <v>10</v>
      </c>
      <c r="BA40" s="144">
        <v>2015</v>
      </c>
      <c r="BB40" s="144"/>
      <c r="BC40" s="144"/>
      <c r="BD40" s="144"/>
      <c r="BE40" s="144">
        <v>4</v>
      </c>
      <c r="BF40" s="146">
        <f t="shared" si="61"/>
        <v>-24184</v>
      </c>
      <c r="BG40" s="179" t="str">
        <f t="shared" si="62"/>
        <v>- - -</v>
      </c>
      <c r="BH40" s="553" t="str">
        <f t="shared" si="63"/>
        <v>VC</v>
      </c>
      <c r="BI40" s="508"/>
      <c r="BJ40" s="412"/>
      <c r="BK40" s="413" t="s">
        <v>101</v>
      </c>
      <c r="BL40" s="414" t="str">
        <f t="shared" si="64"/>
        <v>A</v>
      </c>
      <c r="BM40" s="413" t="str">
        <f t="shared" si="65"/>
        <v>=&gt; s</v>
      </c>
      <c r="BN40" s="415">
        <f t="shared" si="66"/>
        <v>24218</v>
      </c>
      <c r="BO40" s="416" t="str">
        <f t="shared" si="67"/>
        <v>S</v>
      </c>
      <c r="BP40" s="417">
        <v>2013</v>
      </c>
      <c r="BQ40" s="418" t="s">
        <v>109</v>
      </c>
      <c r="BR40" s="418"/>
      <c r="BS40" s="418"/>
      <c r="BT40" s="417" t="str">
        <f t="shared" si="68"/>
        <v>Cùg Ng</v>
      </c>
      <c r="BU40" s="416" t="str">
        <f t="shared" si="69"/>
        <v>NN</v>
      </c>
      <c r="BV40" s="413">
        <v>1</v>
      </c>
      <c r="BW40" s="413" t="s">
        <v>31</v>
      </c>
      <c r="BX40" s="419"/>
      <c r="BY40" s="419"/>
      <c r="BZ40" s="419" t="str">
        <f t="shared" si="70"/>
        <v>- - -</v>
      </c>
      <c r="CA40" s="419"/>
      <c r="CB40" s="419"/>
      <c r="CC40" s="419"/>
      <c r="CD40" s="419"/>
      <c r="CE40" s="419" t="str">
        <f t="shared" si="71"/>
        <v>---</v>
      </c>
      <c r="CF40" s="419" t="str">
        <f t="shared" si="72"/>
        <v>/-/ /-/</v>
      </c>
      <c r="CG40" s="419">
        <f t="shared" si="73"/>
        <v>12</v>
      </c>
      <c r="CH40" s="419">
        <f t="shared" si="74"/>
        <v>2016</v>
      </c>
      <c r="CI40" s="419">
        <f t="shared" si="75"/>
        <v>9</v>
      </c>
      <c r="CJ40" s="419">
        <f t="shared" si="76"/>
        <v>2016</v>
      </c>
      <c r="CK40" s="419">
        <f t="shared" si="77"/>
        <v>6</v>
      </c>
      <c r="CL40" s="419">
        <f t="shared" si="78"/>
        <v>2016</v>
      </c>
      <c r="CM40" s="419" t="str">
        <f t="shared" si="79"/>
        <v>- - -</v>
      </c>
      <c r="CN40" s="509" t="str">
        <f t="shared" si="80"/>
        <v>. .</v>
      </c>
      <c r="CO40" s="417"/>
      <c r="CP40" s="510">
        <f t="shared" si="81"/>
        <v>660</v>
      </c>
      <c r="CQ40" s="511">
        <f t="shared" si="82"/>
        <v>-23531</v>
      </c>
      <c r="CR40" s="429">
        <f t="shared" si="83"/>
        <v>-1961</v>
      </c>
      <c r="CS40" s="512" t="str">
        <f t="shared" si="84"/>
        <v>Nữ dưới 30</v>
      </c>
      <c r="CT40" s="508"/>
      <c r="CU40" s="429"/>
      <c r="CV40" s="513" t="str">
        <f t="shared" si="85"/>
        <v>Đến 30</v>
      </c>
      <c r="CW40" s="514" t="str">
        <f t="shared" si="86"/>
        <v>--</v>
      </c>
      <c r="CX40" s="514"/>
      <c r="CY40" s="508"/>
      <c r="CZ40" s="515"/>
      <c r="DA40" s="430"/>
      <c r="DB40" s="419"/>
      <c r="DC40" s="419"/>
      <c r="DD40" s="419"/>
      <c r="DE40" s="419"/>
      <c r="DF40" s="419"/>
      <c r="DG40" s="419" t="s">
        <v>132</v>
      </c>
      <c r="DH40" s="419" t="s">
        <v>9</v>
      </c>
      <c r="DI40" s="419" t="s">
        <v>10</v>
      </c>
      <c r="DJ40" s="419" t="s">
        <v>37</v>
      </c>
      <c r="DK40" s="419" t="s">
        <v>10</v>
      </c>
      <c r="DL40" s="419">
        <v>2013</v>
      </c>
      <c r="DM40" s="419">
        <f t="shared" si="87"/>
        <v>0</v>
      </c>
      <c r="DN40" s="419" t="str">
        <f t="shared" si="88"/>
        <v>- - -</v>
      </c>
      <c r="DO40" s="419" t="s">
        <v>9</v>
      </c>
      <c r="DP40" s="419" t="s">
        <v>10</v>
      </c>
      <c r="DQ40" s="419" t="s">
        <v>37</v>
      </c>
      <c r="DR40" s="419" t="s">
        <v>10</v>
      </c>
      <c r="DS40" s="419">
        <v>2013</v>
      </c>
      <c r="DT40" s="138">
        <v>3.66</v>
      </c>
      <c r="DU40" s="138" t="str">
        <f t="shared" si="89"/>
        <v>- - -</v>
      </c>
      <c r="DV40" s="138" t="str">
        <f t="shared" si="90"/>
        <v>---</v>
      </c>
    </row>
    <row r="41" spans="1:126" s="403" customFormat="1" ht="33" customHeight="1" x14ac:dyDescent="0.25">
      <c r="A41" s="453">
        <v>248</v>
      </c>
      <c r="B41" s="552">
        <v>23</v>
      </c>
      <c r="C41" s="385" t="str">
        <f t="shared" si="47"/>
        <v>Bà</v>
      </c>
      <c r="D41" s="342" t="s">
        <v>222</v>
      </c>
      <c r="E41" s="385" t="s">
        <v>32</v>
      </c>
      <c r="F41" s="454">
        <v>11</v>
      </c>
      <c r="G41" s="455" t="s">
        <v>10</v>
      </c>
      <c r="H41" s="455" t="s">
        <v>9</v>
      </c>
      <c r="I41" s="455" t="s">
        <v>10</v>
      </c>
      <c r="J41" s="456">
        <v>1958</v>
      </c>
      <c r="K41" s="457"/>
      <c r="L41" s="457"/>
      <c r="M41" s="457" t="e">
        <f>VLOOKUP(L41,'[2]- DLiêu Gốc -'!$B$2:$G$121,2,0)</f>
        <v>#N/A</v>
      </c>
      <c r="N41" s="458"/>
      <c r="O41" s="459" t="s">
        <v>119</v>
      </c>
      <c r="P41" s="460" t="str">
        <f>VLOOKUP(U41,'[2]- DLiêu Gốc -'!$B$2:$G$56,5,0)</f>
        <v>A3</v>
      </c>
      <c r="Q41" s="460" t="str">
        <f>VLOOKUP(U41,'[2]- DLiêu Gốc -'!$B$2:$G$56,6,0)</f>
        <v>A3.1</v>
      </c>
      <c r="R41" s="461" t="s">
        <v>34</v>
      </c>
      <c r="S41" s="462" t="str">
        <f t="shared" si="48"/>
        <v>Giảng viên cao cấp (hạng I)</v>
      </c>
      <c r="T41" s="463" t="str">
        <f t="shared" si="49"/>
        <v>V.07.01.01</v>
      </c>
      <c r="U41" s="464" t="s">
        <v>88</v>
      </c>
      <c r="V41" s="463" t="str">
        <f>VLOOKUP(U41,'[2]- DLiêu Gốc -'!$B$1:$G$121,2,0)</f>
        <v>V.07.01.01</v>
      </c>
      <c r="W41" s="465" t="str">
        <f t="shared" si="50"/>
        <v>Lương</v>
      </c>
      <c r="X41" s="466">
        <v>2</v>
      </c>
      <c r="Y41" s="467" t="str">
        <f t="shared" si="51"/>
        <v>/</v>
      </c>
      <c r="Z41" s="468">
        <f t="shared" si="52"/>
        <v>6</v>
      </c>
      <c r="AA41" s="390">
        <f t="shared" si="53"/>
        <v>6.5600000000000005</v>
      </c>
      <c r="AB41" s="469">
        <f t="shared" si="91"/>
        <v>3</v>
      </c>
      <c r="AC41" s="457" t="str">
        <f t="shared" si="54"/>
        <v>/</v>
      </c>
      <c r="AD41" s="468">
        <f t="shared" si="55"/>
        <v>6</v>
      </c>
      <c r="AE41" s="470">
        <f t="shared" si="56"/>
        <v>6.9200000000000008</v>
      </c>
      <c r="AF41" s="471" t="s">
        <v>9</v>
      </c>
      <c r="AG41" s="472" t="s">
        <v>10</v>
      </c>
      <c r="AH41" s="401" t="s">
        <v>37</v>
      </c>
      <c r="AI41" s="473" t="s">
        <v>10</v>
      </c>
      <c r="AJ41" s="474">
        <v>2016</v>
      </c>
      <c r="AK41" s="475"/>
      <c r="AL41" s="476"/>
      <c r="AM41" s="477">
        <f t="shared" si="57"/>
        <v>3</v>
      </c>
      <c r="AN41" s="477">
        <f t="shared" si="58"/>
        <v>-24194</v>
      </c>
      <c r="AO41" s="384"/>
      <c r="AP41" s="478"/>
      <c r="AQ41" s="396">
        <f>VLOOKUP(U41,'[2]- DLiêu Gốc -'!$B$1:$E$56,3,0)</f>
        <v>6.2</v>
      </c>
      <c r="AR41" s="394">
        <f>VLOOKUP(U41,'[2]- DLiêu Gốc -'!$B$1:$E$56,4,0)</f>
        <v>0.36</v>
      </c>
      <c r="AS41" s="479"/>
      <c r="AT41" s="480" t="str">
        <f t="shared" si="59"/>
        <v>PCTN</v>
      </c>
      <c r="AU41" s="393">
        <v>32</v>
      </c>
      <c r="AV41" s="393" t="s">
        <v>38</v>
      </c>
      <c r="AW41" s="394">
        <f t="shared" si="60"/>
        <v>33</v>
      </c>
      <c r="AX41" s="481" t="s">
        <v>38</v>
      </c>
      <c r="AY41" s="482">
        <v>3</v>
      </c>
      <c r="AZ41" s="395" t="s">
        <v>10</v>
      </c>
      <c r="BA41" s="395">
        <v>2015</v>
      </c>
      <c r="BB41" s="395"/>
      <c r="BC41" s="395"/>
      <c r="BD41" s="395"/>
      <c r="BE41" s="395">
        <v>3</v>
      </c>
      <c r="BF41" s="483">
        <f t="shared" si="61"/>
        <v>-24183</v>
      </c>
      <c r="BG41" s="484" t="str">
        <f t="shared" si="62"/>
        <v>- - -</v>
      </c>
      <c r="BH41" s="555" t="str">
        <f t="shared" si="63"/>
        <v>VC</v>
      </c>
      <c r="BI41" s="222"/>
      <c r="BJ41" s="209"/>
      <c r="BK41" s="210" t="s">
        <v>101</v>
      </c>
      <c r="BL41" s="211" t="str">
        <f t="shared" si="64"/>
        <v>A</v>
      </c>
      <c r="BM41" s="210" t="str">
        <f t="shared" si="65"/>
        <v>=&gt; s</v>
      </c>
      <c r="BN41" s="212">
        <f t="shared" si="66"/>
        <v>24218</v>
      </c>
      <c r="BO41" s="213" t="str">
        <f t="shared" si="67"/>
        <v>---</v>
      </c>
      <c r="BP41" s="214"/>
      <c r="BQ41" s="215"/>
      <c r="BR41" s="215"/>
      <c r="BS41" s="215"/>
      <c r="BT41" s="214" t="str">
        <f t="shared" si="68"/>
        <v>- - -</v>
      </c>
      <c r="BU41" s="213" t="str">
        <f t="shared" si="69"/>
        <v>NN</v>
      </c>
      <c r="BV41" s="210">
        <v>5</v>
      </c>
      <c r="BW41" s="210">
        <v>2012</v>
      </c>
      <c r="BX41" s="216"/>
      <c r="BY41" s="216"/>
      <c r="BZ41" s="216" t="str">
        <f t="shared" si="70"/>
        <v>- - -</v>
      </c>
      <c r="CA41" s="216"/>
      <c r="CB41" s="216"/>
      <c r="CC41" s="216"/>
      <c r="CD41" s="216"/>
      <c r="CE41" s="216" t="str">
        <f t="shared" si="71"/>
        <v>---</v>
      </c>
      <c r="CF41" s="216" t="str">
        <f t="shared" si="72"/>
        <v>/-/ /-/</v>
      </c>
      <c r="CG41" s="216">
        <f t="shared" si="73"/>
        <v>2</v>
      </c>
      <c r="CH41" s="216">
        <f t="shared" si="74"/>
        <v>2020</v>
      </c>
      <c r="CI41" s="216">
        <f t="shared" si="75"/>
        <v>11</v>
      </c>
      <c r="CJ41" s="216">
        <f t="shared" si="76"/>
        <v>2019</v>
      </c>
      <c r="CK41" s="216">
        <f t="shared" si="77"/>
        <v>8</v>
      </c>
      <c r="CL41" s="216">
        <f t="shared" si="78"/>
        <v>2019</v>
      </c>
      <c r="CM41" s="216" t="str">
        <f t="shared" si="79"/>
        <v>- - -</v>
      </c>
      <c r="CN41" s="217" t="str">
        <f t="shared" si="80"/>
        <v>K.Dài</v>
      </c>
      <c r="CO41" s="214">
        <v>7</v>
      </c>
      <c r="CP41" s="218">
        <f t="shared" si="81"/>
        <v>744</v>
      </c>
      <c r="CQ41" s="219">
        <f t="shared" si="82"/>
        <v>-23485</v>
      </c>
      <c r="CR41" s="220">
        <f t="shared" si="83"/>
        <v>-1958</v>
      </c>
      <c r="CS41" s="221" t="str">
        <f t="shared" si="84"/>
        <v>Nữ dưới 30</v>
      </c>
      <c r="CT41" s="222"/>
      <c r="CU41" s="220"/>
      <c r="CV41" s="223" t="str">
        <f t="shared" si="85"/>
        <v>Đến 30</v>
      </c>
      <c r="CW41" s="307" t="str">
        <f t="shared" si="86"/>
        <v>--</v>
      </c>
      <c r="CX41" s="307"/>
      <c r="CY41" s="222"/>
      <c r="CZ41" s="308"/>
      <c r="DA41" s="309"/>
      <c r="DB41" s="216" t="s">
        <v>145</v>
      </c>
      <c r="DC41" s="216"/>
      <c r="DD41" s="216"/>
      <c r="DE41" s="216"/>
      <c r="DF41" s="216"/>
      <c r="DG41" s="216"/>
      <c r="DH41" s="216" t="s">
        <v>9</v>
      </c>
      <c r="DI41" s="216" t="s">
        <v>10</v>
      </c>
      <c r="DJ41" s="216" t="s">
        <v>37</v>
      </c>
      <c r="DK41" s="216" t="s">
        <v>10</v>
      </c>
      <c r="DL41" s="216">
        <v>2013</v>
      </c>
      <c r="DM41" s="216">
        <f t="shared" si="87"/>
        <v>0</v>
      </c>
      <c r="DN41" s="216" t="str">
        <f t="shared" si="88"/>
        <v>- - -</v>
      </c>
      <c r="DO41" s="216" t="s">
        <v>9</v>
      </c>
      <c r="DP41" s="216" t="s">
        <v>10</v>
      </c>
      <c r="DQ41" s="216" t="s">
        <v>37</v>
      </c>
      <c r="DR41" s="216" t="s">
        <v>10</v>
      </c>
      <c r="DS41" s="216">
        <v>2013</v>
      </c>
      <c r="DT41" s="403">
        <v>6.1</v>
      </c>
      <c r="DU41" s="403" t="str">
        <f t="shared" si="89"/>
        <v>- - -</v>
      </c>
      <c r="DV41" s="403" t="str">
        <f t="shared" si="90"/>
        <v>---</v>
      </c>
    </row>
    <row r="42" spans="1:126" s="403" customFormat="1" ht="35.25" customHeight="1" x14ac:dyDescent="0.25">
      <c r="A42" s="453">
        <v>266</v>
      </c>
      <c r="B42" s="552">
        <v>24</v>
      </c>
      <c r="C42" s="385" t="str">
        <f t="shared" si="47"/>
        <v>Ông</v>
      </c>
      <c r="D42" s="342" t="s">
        <v>223</v>
      </c>
      <c r="E42" s="385" t="s">
        <v>39</v>
      </c>
      <c r="F42" s="454" t="s">
        <v>134</v>
      </c>
      <c r="G42" s="455" t="s">
        <v>10</v>
      </c>
      <c r="H42" s="455" t="s">
        <v>11</v>
      </c>
      <c r="I42" s="455" t="s">
        <v>10</v>
      </c>
      <c r="J42" s="456">
        <v>1953</v>
      </c>
      <c r="K42" s="457" t="str">
        <f>IF(AND((M42+0)&gt;0.3,(M42+0)&lt;1.5),"CVụ","- -")</f>
        <v>CVụ</v>
      </c>
      <c r="L42" s="457" t="s">
        <v>153</v>
      </c>
      <c r="M42" s="457" t="str">
        <f>VLOOKUP(L42,'[2]- DLiêu Gốc -'!$B$2:$G$121,2,0)</f>
        <v>1,0</v>
      </c>
      <c r="N42" s="458"/>
      <c r="O42" s="459" t="s">
        <v>106</v>
      </c>
      <c r="P42" s="460" t="str">
        <f>VLOOKUP(U42,'[2]- DLiêu Gốc -'!$B$2:$G$56,5,0)</f>
        <v>A3</v>
      </c>
      <c r="Q42" s="460" t="str">
        <f>VLOOKUP(U42,'[2]- DLiêu Gốc -'!$B$2:$G$56,6,0)</f>
        <v>A3.1</v>
      </c>
      <c r="R42" s="461" t="s">
        <v>34</v>
      </c>
      <c r="S42" s="462" t="str">
        <f t="shared" si="48"/>
        <v>Giảng viên cao cấp (hạng I)</v>
      </c>
      <c r="T42" s="463" t="str">
        <f t="shared" si="49"/>
        <v>V.07.01.01</v>
      </c>
      <c r="U42" s="464" t="s">
        <v>88</v>
      </c>
      <c r="V42" s="463" t="str">
        <f>VLOOKUP(U42,'[2]- DLiêu Gốc -'!$B$1:$G$121,2,0)</f>
        <v>V.07.01.01</v>
      </c>
      <c r="W42" s="465" t="str">
        <f t="shared" si="50"/>
        <v>Lương</v>
      </c>
      <c r="X42" s="466">
        <v>5</v>
      </c>
      <c r="Y42" s="467" t="str">
        <f t="shared" si="51"/>
        <v>/</v>
      </c>
      <c r="Z42" s="468">
        <f t="shared" si="52"/>
        <v>6</v>
      </c>
      <c r="AA42" s="390">
        <f t="shared" si="53"/>
        <v>7.6400000000000006</v>
      </c>
      <c r="AB42" s="469">
        <f t="shared" si="91"/>
        <v>6</v>
      </c>
      <c r="AC42" s="457" t="str">
        <f t="shared" si="54"/>
        <v>/</v>
      </c>
      <c r="AD42" s="468">
        <f t="shared" si="55"/>
        <v>6</v>
      </c>
      <c r="AE42" s="470">
        <f t="shared" si="56"/>
        <v>8</v>
      </c>
      <c r="AF42" s="471" t="s">
        <v>9</v>
      </c>
      <c r="AG42" s="472" t="s">
        <v>10</v>
      </c>
      <c r="AH42" s="401" t="s">
        <v>37</v>
      </c>
      <c r="AI42" s="473" t="s">
        <v>10</v>
      </c>
      <c r="AJ42" s="474">
        <v>2016</v>
      </c>
      <c r="AK42" s="475"/>
      <c r="AL42" s="476"/>
      <c r="AM42" s="477">
        <f t="shared" si="57"/>
        <v>3</v>
      </c>
      <c r="AN42" s="477">
        <f t="shared" si="58"/>
        <v>-24194</v>
      </c>
      <c r="AO42" s="384"/>
      <c r="AP42" s="478"/>
      <c r="AQ42" s="396">
        <f>VLOOKUP(U42,'[2]- DLiêu Gốc -'!$B$1:$E$56,3,0)</f>
        <v>6.2</v>
      </c>
      <c r="AR42" s="394">
        <f>VLOOKUP(U42,'[2]- DLiêu Gốc -'!$B$1:$E$56,4,0)</f>
        <v>0.36</v>
      </c>
      <c r="AS42" s="479"/>
      <c r="AT42" s="480" t="str">
        <f t="shared" si="59"/>
        <v>PCTN</v>
      </c>
      <c r="AU42" s="393">
        <v>27</v>
      </c>
      <c r="AV42" s="393" t="s">
        <v>38</v>
      </c>
      <c r="AW42" s="394">
        <f t="shared" si="60"/>
        <v>28</v>
      </c>
      <c r="AX42" s="481" t="s">
        <v>38</v>
      </c>
      <c r="AY42" s="482" t="s">
        <v>37</v>
      </c>
      <c r="AZ42" s="395" t="s">
        <v>10</v>
      </c>
      <c r="BA42" s="395">
        <v>2015</v>
      </c>
      <c r="BB42" s="395"/>
      <c r="BC42" s="395"/>
      <c r="BD42" s="395"/>
      <c r="BE42" s="395">
        <v>2</v>
      </c>
      <c r="BF42" s="483">
        <f t="shared" si="61"/>
        <v>-24182</v>
      </c>
      <c r="BG42" s="484" t="str">
        <f t="shared" si="62"/>
        <v>- - -</v>
      </c>
      <c r="BH42" s="555" t="str">
        <f t="shared" si="63"/>
        <v>VC</v>
      </c>
      <c r="BI42" s="222"/>
      <c r="BJ42" s="209"/>
      <c r="BK42" s="210" t="s">
        <v>101</v>
      </c>
      <c r="BL42" s="211" t="str">
        <f t="shared" si="64"/>
        <v>A</v>
      </c>
      <c r="BM42" s="210" t="str">
        <f t="shared" si="65"/>
        <v>=&gt; s</v>
      </c>
      <c r="BN42" s="212">
        <f t="shared" si="66"/>
        <v>24218</v>
      </c>
      <c r="BO42" s="213" t="str">
        <f t="shared" si="67"/>
        <v>S</v>
      </c>
      <c r="BP42" s="214">
        <v>2013</v>
      </c>
      <c r="BQ42" s="215" t="s">
        <v>224</v>
      </c>
      <c r="BR42" s="215">
        <v>2007</v>
      </c>
      <c r="BS42" s="215" t="s">
        <v>225</v>
      </c>
      <c r="BT42" s="214" t="str">
        <f t="shared" si="68"/>
        <v>Cùg Ng</v>
      </c>
      <c r="BU42" s="213" t="str">
        <f t="shared" si="69"/>
        <v>- - -</v>
      </c>
      <c r="BV42" s="210"/>
      <c r="BW42" s="210"/>
      <c r="BX42" s="216"/>
      <c r="BY42" s="216"/>
      <c r="BZ42" s="216" t="str">
        <f t="shared" si="70"/>
        <v>- - -</v>
      </c>
      <c r="CA42" s="216"/>
      <c r="CB42" s="216"/>
      <c r="CC42" s="216"/>
      <c r="CD42" s="216"/>
      <c r="CE42" s="216" t="str">
        <f t="shared" si="71"/>
        <v>---</v>
      </c>
      <c r="CF42" s="216" t="str">
        <f t="shared" si="72"/>
        <v>/-/ /-/</v>
      </c>
      <c r="CG42" s="216">
        <f t="shared" si="73"/>
        <v>8</v>
      </c>
      <c r="CH42" s="216">
        <f t="shared" si="74"/>
        <v>2020</v>
      </c>
      <c r="CI42" s="216">
        <f t="shared" si="75"/>
        <v>5</v>
      </c>
      <c r="CJ42" s="216">
        <f t="shared" si="76"/>
        <v>2020</v>
      </c>
      <c r="CK42" s="216">
        <f t="shared" si="77"/>
        <v>2</v>
      </c>
      <c r="CL42" s="216">
        <f t="shared" si="78"/>
        <v>2020</v>
      </c>
      <c r="CM42" s="216" t="str">
        <f t="shared" si="79"/>
        <v>- - -</v>
      </c>
      <c r="CN42" s="217" t="str">
        <f t="shared" si="80"/>
        <v>K.Dài</v>
      </c>
      <c r="CO42" s="214">
        <v>7</v>
      </c>
      <c r="CP42" s="218">
        <f t="shared" si="81"/>
        <v>804</v>
      </c>
      <c r="CQ42" s="219">
        <f t="shared" si="82"/>
        <v>-23431</v>
      </c>
      <c r="CR42" s="220">
        <f t="shared" si="83"/>
        <v>-1953</v>
      </c>
      <c r="CS42" s="221" t="str">
        <f t="shared" si="84"/>
        <v>Nam dưới 35</v>
      </c>
      <c r="CT42" s="222"/>
      <c r="CU42" s="220"/>
      <c r="CV42" s="223" t="str">
        <f t="shared" si="85"/>
        <v>Đến 30</v>
      </c>
      <c r="CW42" s="307" t="str">
        <f t="shared" si="86"/>
        <v>--</v>
      </c>
      <c r="CX42" s="307"/>
      <c r="CY42" s="222"/>
      <c r="CZ42" s="308"/>
      <c r="DA42" s="309"/>
      <c r="DB42" s="216" t="s">
        <v>145</v>
      </c>
      <c r="DC42" s="216"/>
      <c r="DD42" s="216"/>
      <c r="DE42" s="216"/>
      <c r="DF42" s="216"/>
      <c r="DG42" s="216"/>
      <c r="DH42" s="216" t="s">
        <v>9</v>
      </c>
      <c r="DI42" s="216" t="s">
        <v>10</v>
      </c>
      <c r="DJ42" s="216" t="s">
        <v>37</v>
      </c>
      <c r="DK42" s="216" t="s">
        <v>10</v>
      </c>
      <c r="DL42" s="216">
        <v>2013</v>
      </c>
      <c r="DM42" s="216">
        <f t="shared" si="87"/>
        <v>0</v>
      </c>
      <c r="DN42" s="216" t="str">
        <f t="shared" si="88"/>
        <v>- - -</v>
      </c>
      <c r="DO42" s="216" t="s">
        <v>9</v>
      </c>
      <c r="DP42" s="216" t="s">
        <v>10</v>
      </c>
      <c r="DQ42" s="216" t="s">
        <v>37</v>
      </c>
      <c r="DR42" s="216" t="s">
        <v>10</v>
      </c>
      <c r="DS42" s="216">
        <v>2013</v>
      </c>
      <c r="DU42" s="403" t="str">
        <f t="shared" si="89"/>
        <v>- - -</v>
      </c>
      <c r="DV42" s="403" t="str">
        <f t="shared" si="90"/>
        <v>---</v>
      </c>
    </row>
    <row r="43" spans="1:126" s="138" customFormat="1" ht="38.25" customHeight="1" x14ac:dyDescent="0.25">
      <c r="A43" s="152">
        <v>335</v>
      </c>
      <c r="B43" s="552">
        <v>25</v>
      </c>
      <c r="C43" s="142" t="str">
        <f t="shared" si="47"/>
        <v>Bà</v>
      </c>
      <c r="D43" s="153" t="s">
        <v>226</v>
      </c>
      <c r="E43" s="142" t="s">
        <v>32</v>
      </c>
      <c r="F43" s="154" t="s">
        <v>126</v>
      </c>
      <c r="G43" s="155" t="s">
        <v>10</v>
      </c>
      <c r="H43" s="155" t="s">
        <v>30</v>
      </c>
      <c r="I43" s="155" t="s">
        <v>10</v>
      </c>
      <c r="J43" s="156" t="s">
        <v>150</v>
      </c>
      <c r="K43" s="316" t="str">
        <f>IF(AND((M43+0)&gt;0.3,(M43+0)&lt;1.5),"CVụ","- -")</f>
        <v>CVụ</v>
      </c>
      <c r="L43" s="316" t="s">
        <v>155</v>
      </c>
      <c r="M43" s="316" t="str">
        <f>VLOOKUP(L43,'[2]- DLiêu Gốc -'!$B$2:$G$121,2,0)</f>
        <v>1,0</v>
      </c>
      <c r="N43" s="320"/>
      <c r="O43" s="297" t="s">
        <v>123</v>
      </c>
      <c r="P43" s="157" t="str">
        <f>VLOOKUP(U43,'[2]- DLiêu Gốc -'!$B$2:$G$56,5,0)</f>
        <v>A2</v>
      </c>
      <c r="Q43" s="157" t="str">
        <f>VLOOKUP(U43,'[2]- DLiêu Gốc -'!$B$2:$G$56,6,0)</f>
        <v>A2.1</v>
      </c>
      <c r="R43" s="158" t="s">
        <v>34</v>
      </c>
      <c r="S43" s="298" t="str">
        <f t="shared" si="48"/>
        <v>Giảng viên chính (hạng II)</v>
      </c>
      <c r="T43" s="159" t="str">
        <f t="shared" si="49"/>
        <v>V.07.01.02</v>
      </c>
      <c r="U43" s="160" t="s">
        <v>45</v>
      </c>
      <c r="V43" s="159" t="str">
        <f>VLOOKUP(U43,'[2]- DLiêu Gốc -'!$B$1:$G$121,2,0)</f>
        <v>V.07.01.02</v>
      </c>
      <c r="W43" s="161" t="str">
        <f t="shared" si="50"/>
        <v>Lương</v>
      </c>
      <c r="X43" s="162">
        <v>3</v>
      </c>
      <c r="Y43" s="163" t="str">
        <f t="shared" si="51"/>
        <v>/</v>
      </c>
      <c r="Z43" s="164">
        <f t="shared" si="52"/>
        <v>8</v>
      </c>
      <c r="AA43" s="165">
        <f t="shared" si="53"/>
        <v>5.08</v>
      </c>
      <c r="AB43" s="166">
        <f t="shared" si="91"/>
        <v>4</v>
      </c>
      <c r="AC43" s="316" t="str">
        <f t="shared" si="54"/>
        <v>/</v>
      </c>
      <c r="AD43" s="164">
        <f t="shared" si="55"/>
        <v>8</v>
      </c>
      <c r="AE43" s="318">
        <f t="shared" si="56"/>
        <v>5.42</v>
      </c>
      <c r="AF43" s="167" t="s">
        <v>9</v>
      </c>
      <c r="AG43" s="168" t="s">
        <v>10</v>
      </c>
      <c r="AH43" s="169" t="s">
        <v>37</v>
      </c>
      <c r="AI43" s="170" t="s">
        <v>10</v>
      </c>
      <c r="AJ43" s="171">
        <v>2016</v>
      </c>
      <c r="AK43" s="172" t="s">
        <v>227</v>
      </c>
      <c r="AL43" s="173"/>
      <c r="AM43" s="145">
        <f t="shared" si="57"/>
        <v>3</v>
      </c>
      <c r="AN43" s="145">
        <f t="shared" si="58"/>
        <v>-24194</v>
      </c>
      <c r="AO43" s="139"/>
      <c r="AP43" s="174"/>
      <c r="AQ43" s="147">
        <f>VLOOKUP(U43,'[2]- DLiêu Gốc -'!$B$1:$E$56,3,0)</f>
        <v>4.4000000000000004</v>
      </c>
      <c r="AR43" s="141">
        <f>VLOOKUP(U43,'[2]- DLiêu Gốc -'!$B$1:$E$56,4,0)</f>
        <v>0.34</v>
      </c>
      <c r="AS43" s="175"/>
      <c r="AT43" s="176" t="str">
        <f t="shared" si="59"/>
        <v>PCTN</v>
      </c>
      <c r="AU43" s="177">
        <v>13</v>
      </c>
      <c r="AV43" s="177" t="s">
        <v>38</v>
      </c>
      <c r="AW43" s="141">
        <f t="shared" si="60"/>
        <v>14</v>
      </c>
      <c r="AX43" s="178" t="s">
        <v>38</v>
      </c>
      <c r="AY43" s="319" t="s">
        <v>94</v>
      </c>
      <c r="AZ43" s="144" t="s">
        <v>10</v>
      </c>
      <c r="BA43" s="144">
        <v>2015</v>
      </c>
      <c r="BB43" s="144"/>
      <c r="BC43" s="144"/>
      <c r="BD43" s="144"/>
      <c r="BE43" s="144">
        <v>9</v>
      </c>
      <c r="BF43" s="146">
        <f t="shared" si="61"/>
        <v>-24189</v>
      </c>
      <c r="BG43" s="179" t="str">
        <f t="shared" si="62"/>
        <v>- - -</v>
      </c>
      <c r="BH43" s="553" t="str">
        <f t="shared" si="63"/>
        <v>VC</v>
      </c>
      <c r="BI43" s="508"/>
      <c r="BJ43" s="412" t="s">
        <v>220</v>
      </c>
      <c r="BK43" s="413" t="s">
        <v>101</v>
      </c>
      <c r="BL43" s="414" t="str">
        <f t="shared" si="64"/>
        <v>A</v>
      </c>
      <c r="BM43" s="413" t="str">
        <f t="shared" si="65"/>
        <v>=&gt; s</v>
      </c>
      <c r="BN43" s="415">
        <f t="shared" si="66"/>
        <v>24218</v>
      </c>
      <c r="BO43" s="416" t="str">
        <f t="shared" si="67"/>
        <v>S</v>
      </c>
      <c r="BP43" s="417">
        <v>2013</v>
      </c>
      <c r="BQ43" s="418" t="s">
        <v>109</v>
      </c>
      <c r="BR43" s="418"/>
      <c r="BS43" s="418"/>
      <c r="BT43" s="417" t="str">
        <f t="shared" si="68"/>
        <v>Cùg Ng</v>
      </c>
      <c r="BU43" s="416" t="str">
        <f t="shared" si="69"/>
        <v>NN</v>
      </c>
      <c r="BV43" s="413">
        <v>1</v>
      </c>
      <c r="BW43" s="413" t="s">
        <v>31</v>
      </c>
      <c r="BX43" s="419"/>
      <c r="BY43" s="419"/>
      <c r="BZ43" s="419" t="str">
        <f t="shared" si="70"/>
        <v>- - -</v>
      </c>
      <c r="CA43" s="419"/>
      <c r="CB43" s="419"/>
      <c r="CC43" s="419"/>
      <c r="CD43" s="419"/>
      <c r="CE43" s="419" t="str">
        <f t="shared" si="71"/>
        <v>---</v>
      </c>
      <c r="CF43" s="419" t="str">
        <f t="shared" si="72"/>
        <v>/-/ /-/</v>
      </c>
      <c r="CG43" s="419">
        <f t="shared" si="73"/>
        <v>9</v>
      </c>
      <c r="CH43" s="419">
        <f t="shared" si="74"/>
        <v>2026</v>
      </c>
      <c r="CI43" s="419">
        <f t="shared" si="75"/>
        <v>6</v>
      </c>
      <c r="CJ43" s="419">
        <f t="shared" si="76"/>
        <v>2026</v>
      </c>
      <c r="CK43" s="419">
        <f t="shared" si="77"/>
        <v>3</v>
      </c>
      <c r="CL43" s="419">
        <f t="shared" si="78"/>
        <v>2026</v>
      </c>
      <c r="CM43" s="419" t="str">
        <f t="shared" si="79"/>
        <v>- - -</v>
      </c>
      <c r="CN43" s="509" t="str">
        <f t="shared" si="80"/>
        <v>. .</v>
      </c>
      <c r="CO43" s="417"/>
      <c r="CP43" s="510">
        <f t="shared" si="81"/>
        <v>660</v>
      </c>
      <c r="CQ43" s="511">
        <f t="shared" si="82"/>
        <v>-23648</v>
      </c>
      <c r="CR43" s="429">
        <f t="shared" si="83"/>
        <v>-1971</v>
      </c>
      <c r="CS43" s="512" t="str">
        <f t="shared" si="84"/>
        <v>Nữ dưới 30</v>
      </c>
      <c r="CT43" s="508"/>
      <c r="CU43" s="429"/>
      <c r="CV43" s="513" t="str">
        <f t="shared" si="85"/>
        <v>Đến 30</v>
      </c>
      <c r="CW43" s="514" t="str">
        <f t="shared" si="86"/>
        <v>--</v>
      </c>
      <c r="CX43" s="514"/>
      <c r="CY43" s="508"/>
      <c r="CZ43" s="515"/>
      <c r="DA43" s="430"/>
      <c r="DB43" s="419"/>
      <c r="DC43" s="419"/>
      <c r="DD43" s="419"/>
      <c r="DE43" s="419"/>
      <c r="DF43" s="419"/>
      <c r="DG43" s="419"/>
      <c r="DH43" s="419" t="s">
        <v>9</v>
      </c>
      <c r="DI43" s="419" t="s">
        <v>10</v>
      </c>
      <c r="DJ43" s="419" t="s">
        <v>37</v>
      </c>
      <c r="DK43" s="419" t="s">
        <v>10</v>
      </c>
      <c r="DL43" s="419">
        <v>2013</v>
      </c>
      <c r="DM43" s="419">
        <f t="shared" si="87"/>
        <v>0</v>
      </c>
      <c r="DN43" s="419" t="str">
        <f t="shared" si="88"/>
        <v>- - -</v>
      </c>
      <c r="DO43" s="419" t="s">
        <v>9</v>
      </c>
      <c r="DP43" s="419" t="s">
        <v>10</v>
      </c>
      <c r="DQ43" s="419" t="s">
        <v>37</v>
      </c>
      <c r="DR43" s="419" t="s">
        <v>10</v>
      </c>
      <c r="DS43" s="419">
        <v>2013</v>
      </c>
      <c r="DT43" s="138">
        <v>3.66</v>
      </c>
      <c r="DU43" s="138" t="str">
        <f t="shared" si="89"/>
        <v>- - -</v>
      </c>
      <c r="DV43" s="138" t="str">
        <f t="shared" si="90"/>
        <v>---</v>
      </c>
    </row>
    <row r="44" spans="1:126" s="488" customFormat="1" ht="18.75" hidden="1" customHeight="1" x14ac:dyDescent="0.25">
      <c r="A44" s="485"/>
      <c r="B44" s="556" t="s">
        <v>138</v>
      </c>
      <c r="C44" s="176"/>
      <c r="D44" s="486" t="s">
        <v>228</v>
      </c>
      <c r="E44" s="487"/>
      <c r="F44" s="487"/>
      <c r="G44" s="487"/>
      <c r="H44" s="487"/>
      <c r="I44" s="487"/>
      <c r="J44" s="487"/>
      <c r="K44" s="487"/>
      <c r="L44" s="487"/>
      <c r="M44" s="487"/>
      <c r="N44" s="487"/>
      <c r="O44" s="487"/>
      <c r="P44" s="487"/>
      <c r="Q44" s="487"/>
      <c r="R44" s="487"/>
      <c r="S44" s="487"/>
      <c r="T44" s="487"/>
      <c r="U44" s="487"/>
      <c r="V44" s="487"/>
      <c r="W44" s="487"/>
      <c r="X44" s="487"/>
      <c r="Y44" s="487"/>
      <c r="Z44" s="487"/>
      <c r="AA44" s="487"/>
      <c r="AB44" s="487"/>
      <c r="AC44" s="487"/>
      <c r="AD44" s="487"/>
      <c r="AE44" s="487"/>
      <c r="AF44" s="487"/>
      <c r="AG44" s="487"/>
      <c r="AH44" s="487"/>
      <c r="AI44" s="487"/>
      <c r="AJ44" s="487"/>
      <c r="AK44" s="487"/>
      <c r="AL44" s="487"/>
      <c r="AM44" s="487"/>
      <c r="AN44" s="487"/>
      <c r="AO44" s="487"/>
      <c r="AP44" s="487"/>
      <c r="AQ44" s="487"/>
      <c r="AR44" s="487"/>
      <c r="AS44" s="487"/>
      <c r="AT44" s="487"/>
      <c r="AU44" s="487"/>
      <c r="AV44" s="487"/>
      <c r="AW44" s="487"/>
      <c r="AX44" s="487"/>
      <c r="AY44" s="487"/>
      <c r="AZ44" s="487"/>
      <c r="BA44" s="487"/>
      <c r="BB44" s="487"/>
      <c r="BC44" s="487"/>
      <c r="BD44" s="487"/>
      <c r="BE44" s="487"/>
      <c r="BF44" s="487"/>
      <c r="BG44" s="487"/>
      <c r="BH44" s="557"/>
      <c r="BI44" s="429"/>
      <c r="BJ44" s="513"/>
      <c r="BK44" s="511"/>
      <c r="BL44" s="516"/>
      <c r="BM44" s="511"/>
      <c r="BN44" s="517"/>
      <c r="BO44" s="518"/>
      <c r="BP44" s="519"/>
      <c r="BQ44" s="520"/>
      <c r="BR44" s="520"/>
      <c r="BS44" s="520"/>
      <c r="BT44" s="519"/>
      <c r="BU44" s="518"/>
      <c r="BV44" s="511"/>
      <c r="BW44" s="511"/>
      <c r="BX44" s="521"/>
      <c r="BY44" s="521"/>
      <c r="BZ44" s="521"/>
      <c r="CA44" s="521"/>
      <c r="CB44" s="521"/>
      <c r="CC44" s="521"/>
      <c r="CD44" s="521"/>
      <c r="CE44" s="521"/>
      <c r="CF44" s="521"/>
      <c r="CG44" s="521"/>
      <c r="CH44" s="521"/>
      <c r="CI44" s="521"/>
      <c r="CJ44" s="521"/>
      <c r="CK44" s="521"/>
      <c r="CL44" s="521"/>
      <c r="CM44" s="521"/>
      <c r="CN44" s="522"/>
      <c r="CO44" s="519"/>
      <c r="CP44" s="523"/>
      <c r="CQ44" s="511"/>
      <c r="CR44" s="429"/>
      <c r="CS44" s="524"/>
      <c r="CT44" s="429"/>
      <c r="CU44" s="429"/>
      <c r="CV44" s="513"/>
      <c r="CW44" s="430"/>
      <c r="CX44" s="430"/>
      <c r="CY44" s="429"/>
      <c r="CZ44" s="515"/>
      <c r="DA44" s="430"/>
      <c r="DB44" s="521"/>
      <c r="DC44" s="521"/>
      <c r="DD44" s="521"/>
      <c r="DE44" s="521"/>
      <c r="DF44" s="521"/>
      <c r="DG44" s="521"/>
      <c r="DH44" s="521"/>
      <c r="DI44" s="521"/>
      <c r="DJ44" s="521"/>
      <c r="DK44" s="521"/>
      <c r="DL44" s="521"/>
      <c r="DM44" s="521"/>
      <c r="DN44" s="521"/>
      <c r="DO44" s="521"/>
      <c r="DP44" s="521"/>
      <c r="DQ44" s="521"/>
      <c r="DR44" s="521"/>
      <c r="DS44" s="521"/>
    </row>
    <row r="45" spans="1:126" s="383" customFormat="1" ht="24" customHeight="1" x14ac:dyDescent="0.25">
      <c r="A45" s="349"/>
      <c r="B45" s="558" t="s">
        <v>229</v>
      </c>
      <c r="C45" s="350"/>
      <c r="D45" s="446" t="s">
        <v>139</v>
      </c>
      <c r="E45" s="447"/>
      <c r="F45" s="447"/>
      <c r="G45" s="447"/>
      <c r="H45" s="447"/>
      <c r="I45" s="447"/>
      <c r="J45" s="447"/>
      <c r="K45" s="447"/>
      <c r="L45" s="447"/>
      <c r="M45" s="447"/>
      <c r="N45" s="447"/>
      <c r="O45" s="448"/>
      <c r="P45" s="351"/>
      <c r="Q45" s="351"/>
      <c r="R45" s="352"/>
      <c r="S45" s="353"/>
      <c r="T45" s="354"/>
      <c r="U45" s="355"/>
      <c r="V45" s="354"/>
      <c r="W45" s="356"/>
      <c r="X45" s="357"/>
      <c r="Y45" s="358"/>
      <c r="Z45" s="359"/>
      <c r="AA45" s="360"/>
      <c r="AB45" s="361"/>
      <c r="AC45" s="362"/>
      <c r="AD45" s="363"/>
      <c r="AE45" s="364"/>
      <c r="AF45" s="365"/>
      <c r="AG45" s="366"/>
      <c r="AH45" s="367"/>
      <c r="AI45" s="368"/>
      <c r="AJ45" s="369"/>
      <c r="AK45" s="370"/>
      <c r="AL45" s="371"/>
      <c r="AM45" s="372"/>
      <c r="AN45" s="372"/>
      <c r="AO45" s="373"/>
      <c r="AP45" s="374"/>
      <c r="AQ45" s="375"/>
      <c r="AR45" s="376"/>
      <c r="AS45" s="377"/>
      <c r="AT45" s="350"/>
      <c r="AU45" s="378"/>
      <c r="AV45" s="378"/>
      <c r="AW45" s="376"/>
      <c r="AX45" s="379"/>
      <c r="AY45" s="366"/>
      <c r="AZ45" s="380"/>
      <c r="BA45" s="381"/>
      <c r="BB45" s="381"/>
      <c r="BC45" s="381"/>
      <c r="BD45" s="381"/>
      <c r="BE45" s="381"/>
      <c r="BF45" s="376"/>
      <c r="BG45" s="382"/>
      <c r="BH45" s="559"/>
      <c r="BI45" s="525"/>
      <c r="BJ45" s="405"/>
      <c r="BK45" s="406"/>
      <c r="BL45" s="407"/>
      <c r="BM45" s="406"/>
      <c r="BN45" s="420"/>
      <c r="BO45" s="408"/>
      <c r="BP45" s="409"/>
      <c r="BQ45" s="410"/>
      <c r="BR45" s="410"/>
      <c r="BS45" s="410"/>
      <c r="BT45" s="409"/>
      <c r="BU45" s="408"/>
      <c r="BV45" s="406"/>
      <c r="BW45" s="406"/>
      <c r="BX45" s="421"/>
      <c r="BY45" s="421"/>
      <c r="BZ45" s="421"/>
      <c r="CA45" s="421"/>
      <c r="CB45" s="421"/>
      <c r="CC45" s="421"/>
      <c r="CD45" s="421"/>
      <c r="CE45" s="421"/>
      <c r="CF45" s="421"/>
      <c r="CG45" s="421"/>
      <c r="CH45" s="421"/>
      <c r="CI45" s="421"/>
      <c r="CJ45" s="421"/>
      <c r="CK45" s="421"/>
      <c r="CL45" s="421"/>
      <c r="CM45" s="421"/>
      <c r="CN45" s="526"/>
      <c r="CO45" s="409"/>
      <c r="CP45" s="527"/>
      <c r="CQ45" s="406"/>
      <c r="CR45" s="525"/>
      <c r="CS45" s="528"/>
      <c r="CT45" s="525"/>
      <c r="CU45" s="525"/>
      <c r="CV45" s="405"/>
      <c r="CW45" s="529"/>
      <c r="CX45" s="529"/>
      <c r="CY45" s="525"/>
      <c r="CZ45" s="530"/>
      <c r="DA45" s="529"/>
      <c r="DB45" s="421"/>
      <c r="DC45" s="421"/>
      <c r="DD45" s="421"/>
      <c r="DE45" s="421"/>
      <c r="DF45" s="421"/>
      <c r="DG45" s="421"/>
      <c r="DH45" s="421"/>
      <c r="DI45" s="421"/>
      <c r="DJ45" s="421"/>
      <c r="DK45" s="421"/>
      <c r="DL45" s="421"/>
      <c r="DM45" s="421"/>
      <c r="DN45" s="421"/>
      <c r="DO45" s="421"/>
      <c r="DP45" s="421"/>
      <c r="DQ45" s="421"/>
      <c r="DR45" s="421"/>
      <c r="DS45" s="421"/>
    </row>
    <row r="46" spans="1:126" s="348" customFormat="1" ht="32.25" customHeight="1" x14ac:dyDescent="0.25">
      <c r="A46" s="343">
        <v>4</v>
      </c>
      <c r="B46" s="552">
        <v>1</v>
      </c>
      <c r="C46" s="142" t="str">
        <f t="shared" ref="C46:C47" si="92">IF(E46="Nam","Ông","Bà")</f>
        <v>Ông</v>
      </c>
      <c r="D46" s="153" t="s">
        <v>230</v>
      </c>
      <c r="E46" s="142" t="s">
        <v>39</v>
      </c>
      <c r="F46" s="154" t="s">
        <v>231</v>
      </c>
      <c r="G46" s="155" t="s">
        <v>10</v>
      </c>
      <c r="H46" s="155" t="s">
        <v>42</v>
      </c>
      <c r="I46" s="155" t="s">
        <v>10</v>
      </c>
      <c r="J46" s="156">
        <v>1948</v>
      </c>
      <c r="K46" s="344" t="str">
        <f>IF(AND((M46+0)&gt;0.3,(M46+0)&lt;1.5),"CVụ","- -")</f>
        <v>CVụ</v>
      </c>
      <c r="L46" s="345" t="s">
        <v>232</v>
      </c>
      <c r="M46" s="345">
        <f>VLOOKUP(L46,'[1]- DLiêu Gốc -'!$B$2:$G$121,2,0)</f>
        <v>1.3</v>
      </c>
      <c r="N46" s="489"/>
      <c r="O46" s="297" t="s">
        <v>233</v>
      </c>
      <c r="P46" s="157" t="str">
        <f>VLOOKUP(U46,'[1]- DLiêu Gốc -'!$B$2:$G$56,5,0)</f>
        <v>A3</v>
      </c>
      <c r="Q46" s="157" t="str">
        <f>VLOOKUP(U46,'[1]- DLiêu Gốc -'!$B$2:$G$56,6,0)</f>
        <v>A3.1</v>
      </c>
      <c r="R46" s="158" t="s">
        <v>41</v>
      </c>
      <c r="S46" s="298" t="str">
        <f t="shared" ref="S46:S47" si="93">IF(OR(U46="Kỹ thuật viên đánh máy",U46="Nhân viên đánh máy",U46="Nhân viên kỹ thuật",U46="Nhân viên văn thư",U46="Nhân viên phục vụ",U46="Lái xe cơ quan",U46="Nhân viên bảo vệ"),"Nhân viên",U46)</f>
        <v>Chuyên viên cao cấp</v>
      </c>
      <c r="T46" s="159" t="str">
        <f t="shared" ref="T46:T47" si="94">IF(S46="Nhân viên","01.005",V46)</f>
        <v>01.001</v>
      </c>
      <c r="U46" s="160" t="s">
        <v>175</v>
      </c>
      <c r="V46" s="159" t="str">
        <f>VLOOKUP(U46,'[1]- DLiêu Gốc -'!$B$1:$G$121,2,0)</f>
        <v>01.001</v>
      </c>
      <c r="W46" s="161" t="str">
        <f t="shared" ref="W46:W47" si="95">IF(OR(AND(AN46=36,AM46=3),AND(AN46=24,AM46=2),AND(AN46=12,AM46=1)),"Đến $",IF(AND(AN46&lt;12*10,OR(AND(AN46&gt;36,AM46=3),AND(AN46&gt;24,AN46&lt;120,AM46=2),AND(AN46&gt;12,AM46=1))),"Dừng $","Lương"))</f>
        <v>Lương</v>
      </c>
      <c r="X46" s="162">
        <v>6</v>
      </c>
      <c r="Y46" s="163" t="str">
        <f t="shared" ref="Y46:Y47" si="96">IF(Z46&gt;0,"/")</f>
        <v>/</v>
      </c>
      <c r="Z46" s="164">
        <f t="shared" ref="Z46:Z47" si="97">IF(OR(AR46=0.18,AR46=0.2),12,IF(AR46=0.31,10,IF(AR46=0.33,9,IF(AR46=0.34,8,IF(AR46=0.36,6)))))</f>
        <v>6</v>
      </c>
      <c r="AA46" s="165">
        <f t="shared" ref="AA46:AA47" si="98">AQ46+(X46-1)*AR46</f>
        <v>8</v>
      </c>
      <c r="AB46" s="166">
        <v>14</v>
      </c>
      <c r="AC46" s="164" t="str">
        <f t="shared" ref="AC46:AC47" si="99">IF(Z46=X46,"%",IF(Z46&gt;X46,"/"))</f>
        <v>%</v>
      </c>
      <c r="AD46" s="166">
        <f t="shared" ref="AD46:AD47" si="100">IF(AND(Z46=X46,AB46=4),5,IF(AND(Z46=X46,AB46&gt;4),AB46+1,IF(Z46&gt;X46,Z46)))</f>
        <v>15</v>
      </c>
      <c r="AE46" s="346" t="str">
        <f t="shared" ref="AE46:AE47" si="101">IF(Z46=X46,"%",IF(Z46&gt;X46,AA46+AR46))</f>
        <v>%</v>
      </c>
      <c r="AF46" s="167" t="s">
        <v>9</v>
      </c>
      <c r="AG46" s="168" t="s">
        <v>10</v>
      </c>
      <c r="AH46" s="169" t="s">
        <v>9</v>
      </c>
      <c r="AI46" s="170" t="s">
        <v>10</v>
      </c>
      <c r="AJ46" s="171">
        <v>2016</v>
      </c>
      <c r="AK46" s="172"/>
      <c r="AL46" s="173"/>
      <c r="AM46" s="145">
        <f t="shared" ref="AM46:AM47" si="102">IF(AND(Z46&gt;X46,OR(AR46=0.18,AR46=0.2)),2,IF(AND(Z46&gt;X46,OR(AR46=0.31,AR46=0.33,AR46=0.34,AR46=0.36)),3,IF(Z46=X46,1)))</f>
        <v>1</v>
      </c>
      <c r="AN46" s="145">
        <f t="shared" ref="AN46:AN47" si="103">12*($W$2-AJ46)+($W$4-AH46)-AO46</f>
        <v>-24193</v>
      </c>
      <c r="AO46" s="139"/>
      <c r="AP46" s="174"/>
      <c r="AQ46" s="147">
        <f>VLOOKUP(U46,'[1]- DLiêu Gốc -'!$B$1:$E$56,3,0)</f>
        <v>6.2</v>
      </c>
      <c r="AR46" s="141">
        <f>VLOOKUP(U46,'[1]- DLiêu Gốc -'!$B$1:$E$56,4,0)</f>
        <v>0.36</v>
      </c>
      <c r="AS46" s="175"/>
      <c r="AT46" s="176" t="str">
        <f t="shared" ref="AT46:AT47" si="104">IF(AND(AU46&gt;3,BF46=12),"Đến %",IF(AND(AU46&gt;3,BF46&gt;12,BF46&lt;120),"Dừng %",IF(AND(AU46&gt;3,BF46&lt;12),"PCTN","o-o-o")))</f>
        <v>o-o-o</v>
      </c>
      <c r="AU46" s="177"/>
      <c r="AV46" s="177"/>
      <c r="AW46" s="141">
        <f t="shared" ref="AW46:AW47" si="105">IF(AU46&gt;3,AU46+1,0)</f>
        <v>0</v>
      </c>
      <c r="AX46" s="178"/>
      <c r="AY46" s="347"/>
      <c r="AZ46" s="301"/>
      <c r="BA46" s="144"/>
      <c r="BB46" s="144"/>
      <c r="BC46" s="144"/>
      <c r="BD46" s="144"/>
      <c r="BE46" s="144"/>
      <c r="BF46" s="146" t="str">
        <f t="shared" ref="BF46:BF47" si="106">IF(AU46&gt;3,(($AT$2-BA46)*12+($AT$4-AY46)-BC46),"- - -")</f>
        <v>- - -</v>
      </c>
      <c r="BG46" s="179" t="str">
        <f t="shared" ref="BG46:BG47" si="107">IF(AND(CF46="Hưu",AU46&gt;3),12-(12*(CL46-BA46)+(CK46-AY46))-BC46,"- - -")</f>
        <v>- - -</v>
      </c>
      <c r="BH46" s="553" t="str">
        <f t="shared" ref="BH46:BH47" si="108">IF(BK46="công chức","CC",IF(BK46="viên chức","VC",IF(BK46="người lao động","NLĐ","- - -")))</f>
        <v>VC</v>
      </c>
      <c r="BI46" s="531"/>
      <c r="BJ46" s="422"/>
      <c r="BK46" s="422" t="s">
        <v>101</v>
      </c>
      <c r="BL46" s="423" t="str">
        <f t="shared" ref="BL46:BL47" si="109">IF(O46="Cơ sở Học viện Hành chính khu vực miền Trung","B",IF(O46="Phân viện Khu vực Tây Nguyên","C",IF(O46="Cơ sở Học viện Hành chính tại thành phố Hồ Chí Minh","D","A")))</f>
        <v>A</v>
      </c>
      <c r="BM46" s="424" t="str">
        <f t="shared" ref="BM46:BM47" si="110">IF(AND(AB46&gt;0,X46&lt;(Z46-1),BN46&gt;0,BN46&lt;13,OR(AND(BT46="Cùg Ng",($BM$2-BP46)&gt;AM46),BT46="- - -")),"Sớm TT","=&gt; s")</f>
        <v>=&gt; s</v>
      </c>
      <c r="BN46" s="425" t="str">
        <f t="shared" ref="BN46:BN47" si="111">IF(AM46=3,36-(12*($BM$2-AJ46)+(12-AH46)-AO46),IF(AM46=2,24-(12*($BM$2-AJ46)+(12-AH46)-AO46),"---"))</f>
        <v>---</v>
      </c>
      <c r="BO46" s="423" t="str">
        <f t="shared" ref="BO46:BO47" si="112">IF(BP46&gt;1,"S","---")</f>
        <v>---</v>
      </c>
      <c r="BP46" s="422"/>
      <c r="BQ46" s="422"/>
      <c r="BR46" s="422"/>
      <c r="BS46" s="422"/>
      <c r="BT46" s="423" t="str">
        <f t="shared" ref="BT46:BT47" si="113">IF(T46=BQ46,"Cùg Ng","- - -")</f>
        <v>- - -</v>
      </c>
      <c r="BU46" s="426" t="str">
        <f t="shared" ref="BU46:BU47" si="114">IF(BW46&gt;2000,"NN","- - -")</f>
        <v>- - -</v>
      </c>
      <c r="BV46" s="427"/>
      <c r="BW46" s="424"/>
      <c r="BX46" s="423"/>
      <c r="BY46" s="423"/>
      <c r="BZ46" s="423" t="str">
        <f t="shared" ref="BZ46:BZ47" si="115">IF(CB46&gt;2000,"CN","- - -")</f>
        <v>- - -</v>
      </c>
      <c r="CA46" s="423"/>
      <c r="CB46" s="423"/>
      <c r="CC46" s="423"/>
      <c r="CD46" s="423"/>
      <c r="CE46" s="423" t="str">
        <f t="shared" ref="CE46:CE47" si="116">IF(AND(CF46="Hưu",X46&lt;(Z46-1),CM46&gt;0,CM46&lt;18,OR(AU46&lt;4,AND(AU46&gt;3,OR(BG46&lt;3,BG46&gt;5)))),"Lg Sớm",IF(AND(CF46="Hưu",X46&gt;(Z46-2),OR(AR46=0.33,AR46=0.34),OR(AU46&lt;4,AND(AU46&gt;3,OR(BG46&lt;3,BG46&gt;5)))),"Nâng Ngạch",IF(AND(CF46="Hưu",AM46=1,CM46&gt;2,CM46&lt;6,OR(AU46&lt;4,AND(AU46&gt;3,OR(BG46&lt;3,BG46&gt;5)))),"Nâng PcVK cùng QĐ",IF(AND(CF46="Hưu",AU46&gt;3,BG46&gt;2,BG46&lt;6,X46&lt;(Z46-1),CM46&gt;17,OR(AM46&gt;1,AND(AM46=1,OR(CM46&lt;3,CM46&gt;5)))),"Nâng PcNG cùng QĐ",IF(AND(CF46="Hưu",X46&lt;(Z46-1),CM46&gt;0,CM46&lt;18,AU46&gt;3,BG46&gt;2,BG46&lt;6),"Nâng Lg Sớm +(PcNG cùng QĐ)",IF(AND(CF46="Hưu",X46&gt;(Z46-2),OR(AR46=0.33,AR46=0.34),AU46&gt;3,BG46&gt;2,BG46&lt;6),"Nâng Ngạch +(PcNG cùng QĐ)",IF(AND(CF46="Hưu",AM46=1,CM46&gt;2,CM46&lt;6,AU46&gt;3,BG46&gt;2,BG46&lt;6),"Nâng (PcVK +PcNG) cùng QĐ",("---"))))))))</f>
        <v>---</v>
      </c>
      <c r="CF46" s="423" t="str">
        <f t="shared" ref="CF46:CF47" si="117">IF(AND(CQ46&gt;CP46,CQ46&lt;(CP46+13)),"Hưu",IF(AND(CQ46&gt;(CP46+12),CQ46&lt;1000),"Quá","/-/ /-/"))</f>
        <v>/-/ /-/</v>
      </c>
      <c r="CG46" s="423">
        <f t="shared" ref="CG46:CG47" si="118">IF((H46+0)&lt;12,(H46+0)+1,IF((H46+0)=12,1,IF((H46+0)&gt;12,(H46+0)-12)))</f>
        <v>1</v>
      </c>
      <c r="CH46" s="423">
        <f t="shared" ref="CH46:CH47" si="119">IF(OR((H46+0)=12,(H46+0)&gt;12),J46+CP46/12+1,IF(AND((H46+0)&gt;0,(H46+0)&lt;12),J46+CP46/12,"---"))</f>
        <v>2016</v>
      </c>
      <c r="CI46" s="423">
        <f t="shared" ref="CI46:CI47" si="120">IF(AND(CG46&gt;3,CG46&lt;13),CG46-3,IF(CG46&lt;4,CG46-3+12))</f>
        <v>10</v>
      </c>
      <c r="CJ46" s="423">
        <f t="shared" ref="CJ46:CJ47" si="121">IF(CI46&lt;CG46,CH46,IF(CI46&gt;CG46,CH46-1))</f>
        <v>2015</v>
      </c>
      <c r="CK46" s="423">
        <f t="shared" ref="CK46:CK47" si="122">IF(CG46&gt;6,CG46-6,IF(CG46=6,12,IF(CG46&lt;6,CG46+6)))</f>
        <v>7</v>
      </c>
      <c r="CL46" s="423">
        <f t="shared" ref="CL46:CL47" si="123">IF(CG46&gt;6,CH46,IF(CG46&lt;7,CH46-1))</f>
        <v>2015</v>
      </c>
      <c r="CM46" s="423" t="str">
        <f t="shared" ref="CM46:CM47" si="124">IF(AND(CF46="Hưu",AM46=3),36+AO46-(12*(CL46-AJ46)+(CK46-AH46)),IF(AND(CF46="Hưu",AM46=2),24+AO46-(12*(CL46-AJ46)+(CK46-AH46)),IF(AND(CF46="Hưu",AM46=1),12+AO46-(12*(CL46-AJ46)+(CK46-AH46)),"- - -")))</f>
        <v>- - -</v>
      </c>
      <c r="CN46" s="423" t="str">
        <f t="shared" ref="CN46:CN47" si="125">IF(CO46&gt;0,"K.Dài",". .")</f>
        <v>K.Dài</v>
      </c>
      <c r="CO46" s="423">
        <v>7</v>
      </c>
      <c r="CP46" s="423">
        <f t="shared" ref="CP46:CP47" si="126">IF(E46="Nam",(60+CO46)*12,IF(E46="Nữ",(55+CO46)*12,))</f>
        <v>804</v>
      </c>
      <c r="CQ46" s="423">
        <f t="shared" ref="CQ46:CQ47" si="127">12*($CF$4-J46)+(12-H46)</f>
        <v>-23376</v>
      </c>
      <c r="CR46" s="423">
        <f t="shared" ref="CR46:CR47" si="128">$CV$4-J46</f>
        <v>-1948</v>
      </c>
      <c r="CS46" s="423" t="str">
        <f t="shared" ref="CS46:CS47" si="129">IF(AND(CR46&lt;35,E46="Nam"),"Nam dưới 35",IF(AND(CR46&lt;30,E46="Nữ"),"Nữ dưới 30",IF(AND(CR46&gt;34,CR46&lt;46,E46="Nam"),"Nam từ 35 - 45",IF(AND(CR46&gt;29,CR46&lt;41,E46="Nữ"),"Nữ từ 30 - 40",IF(AND(CR46&gt;45,CR46&lt;56,E46="Nam"),"Nam trên 45 - 55",IF(AND(CR46&gt;40,CR46&lt;51,E46="Nữ"),"Nữ trên 40 - 50",IF(AND(CR46&gt;55,E46="Nam"),"Nam trên 55","Nữ trên 50")))))))</f>
        <v>Nam dưới 35</v>
      </c>
      <c r="CT46" s="423" t="s">
        <v>234</v>
      </c>
      <c r="CU46" s="423">
        <f>COUNTIF(CS24:CS713,"Nữ dưới 30")</f>
        <v>13</v>
      </c>
      <c r="CV46" s="423" t="str">
        <f t="shared" ref="CV46:CV47" si="130">IF(CR46&lt;31,"Đến 30",IF(AND(CR46&gt;30,CR46&lt;46),"31 - 45",IF(AND(CR46&gt;45,CR46&lt;70),"Trên 45")))</f>
        <v>Đến 30</v>
      </c>
      <c r="CW46" s="423" t="str">
        <f t="shared" ref="CW46:CW47" si="131">IF(CX46&gt;0,"TD","--")</f>
        <v>--</v>
      </c>
      <c r="CX46" s="423"/>
      <c r="CY46" s="423"/>
      <c r="CZ46" s="423"/>
      <c r="DA46" s="423"/>
      <c r="DB46" s="423" t="s">
        <v>120</v>
      </c>
      <c r="DC46" s="423"/>
      <c r="DD46" s="423"/>
      <c r="DE46" s="423"/>
      <c r="DF46" s="423"/>
      <c r="DG46" s="423"/>
      <c r="DH46" s="423" t="s">
        <v>9</v>
      </c>
      <c r="DI46" s="423" t="s">
        <v>10</v>
      </c>
      <c r="DJ46" s="423" t="s">
        <v>9</v>
      </c>
      <c r="DK46" s="423" t="s">
        <v>10</v>
      </c>
      <c r="DL46" s="423">
        <v>2014</v>
      </c>
      <c r="DM46" s="423">
        <f t="shared" ref="DM46:DM47" si="132">(DH46+0)-(DO46+0)</f>
        <v>0</v>
      </c>
      <c r="DN46" s="423" t="str">
        <f t="shared" ref="DN46:DN47" si="133">IF(DM46&gt;0,"Sửa","- - -")</f>
        <v>- - -</v>
      </c>
      <c r="DO46" s="423" t="s">
        <v>9</v>
      </c>
      <c r="DP46" s="423" t="s">
        <v>10</v>
      </c>
      <c r="DQ46" s="423" t="s">
        <v>9</v>
      </c>
      <c r="DR46" s="423" t="s">
        <v>10</v>
      </c>
      <c r="DS46" s="423">
        <v>2014</v>
      </c>
      <c r="DU46" s="348" t="str">
        <f t="shared" ref="DU46:DU47" si="134">IF(AND(AR46&gt;0.34,AB46=1,OR(AQ46=6.2,AQ46=5.75)),((AQ46-DT46)-2*0.34),IF(AND(AR46&gt;0.33,AB46=1,OR(AQ46=4.4,AQ46=4)),((AQ46-DT46)-2*0.33),"- - -"))</f>
        <v>- - -</v>
      </c>
      <c r="DV46" s="348" t="str">
        <f t="shared" ref="DV46:DV47" si="135">IF(CF46="Hưu",12*(CL46-AJ46)+(CK46-AH46),"---")</f>
        <v>---</v>
      </c>
    </row>
    <row r="47" spans="1:126" s="348" customFormat="1" ht="29.25" customHeight="1" thickBot="1" x14ac:dyDescent="0.3">
      <c r="A47" s="343">
        <v>433</v>
      </c>
      <c r="B47" s="560">
        <v>2</v>
      </c>
      <c r="C47" s="561" t="str">
        <f t="shared" si="92"/>
        <v>Bà</v>
      </c>
      <c r="D47" s="562" t="s">
        <v>235</v>
      </c>
      <c r="E47" s="561" t="s">
        <v>32</v>
      </c>
      <c r="F47" s="563" t="s">
        <v>115</v>
      </c>
      <c r="G47" s="564" t="s">
        <v>10</v>
      </c>
      <c r="H47" s="564" t="s">
        <v>187</v>
      </c>
      <c r="I47" s="564" t="s">
        <v>10</v>
      </c>
      <c r="J47" s="565" t="s">
        <v>236</v>
      </c>
      <c r="K47" s="566"/>
      <c r="L47" s="567"/>
      <c r="M47" s="567" t="e">
        <f>VLOOKUP(L47,'[1]- DLiêu Gốc -'!$B$2:$G$121,2,0)</f>
        <v>#N/A</v>
      </c>
      <c r="N47" s="568" t="s">
        <v>197</v>
      </c>
      <c r="O47" s="569" t="s">
        <v>198</v>
      </c>
      <c r="P47" s="570" t="str">
        <f>VLOOKUP(U47,'[1]- DLiêu Gốc -'!$B$2:$G$56,5,0)</f>
        <v>A1</v>
      </c>
      <c r="Q47" s="570" t="str">
        <f>VLOOKUP(U47,'[1]- DLiêu Gốc -'!$B$2:$G$56,6,0)</f>
        <v>- - -</v>
      </c>
      <c r="R47" s="571" t="s">
        <v>41</v>
      </c>
      <c r="S47" s="572" t="str">
        <f t="shared" si="93"/>
        <v>Thư viện viên</v>
      </c>
      <c r="T47" s="573" t="str">
        <f t="shared" si="94"/>
        <v>17.170</v>
      </c>
      <c r="U47" s="574" t="s">
        <v>199</v>
      </c>
      <c r="V47" s="573" t="str">
        <f>VLOOKUP(U47,'[1]- DLiêu Gốc -'!$B$1:$G$121,2,0)</f>
        <v>17.170</v>
      </c>
      <c r="W47" s="575" t="str">
        <f t="shared" si="95"/>
        <v>Lương</v>
      </c>
      <c r="X47" s="576">
        <v>9</v>
      </c>
      <c r="Y47" s="577" t="str">
        <f t="shared" si="96"/>
        <v>/</v>
      </c>
      <c r="Z47" s="578">
        <f t="shared" si="97"/>
        <v>9</v>
      </c>
      <c r="AA47" s="579">
        <f t="shared" si="98"/>
        <v>4.9800000000000004</v>
      </c>
      <c r="AB47" s="580">
        <v>9</v>
      </c>
      <c r="AC47" s="578" t="str">
        <f t="shared" si="99"/>
        <v>%</v>
      </c>
      <c r="AD47" s="580">
        <f t="shared" si="100"/>
        <v>10</v>
      </c>
      <c r="AE47" s="581" t="str">
        <f t="shared" si="101"/>
        <v>%</v>
      </c>
      <c r="AF47" s="582" t="s">
        <v>9</v>
      </c>
      <c r="AG47" s="583" t="s">
        <v>10</v>
      </c>
      <c r="AH47" s="584" t="s">
        <v>9</v>
      </c>
      <c r="AI47" s="585" t="s">
        <v>10</v>
      </c>
      <c r="AJ47" s="586">
        <v>2016</v>
      </c>
      <c r="AK47" s="587"/>
      <c r="AL47" s="588"/>
      <c r="AM47" s="589">
        <f t="shared" si="102"/>
        <v>1</v>
      </c>
      <c r="AN47" s="589">
        <f t="shared" si="103"/>
        <v>-24193</v>
      </c>
      <c r="AO47" s="590"/>
      <c r="AP47" s="591"/>
      <c r="AQ47" s="592">
        <f>VLOOKUP(U47,'[1]- DLiêu Gốc -'!$B$1:$E$56,3,0)</f>
        <v>2.34</v>
      </c>
      <c r="AR47" s="593">
        <f>VLOOKUP(U47,'[1]- DLiêu Gốc -'!$B$1:$E$56,4,0)</f>
        <v>0.33</v>
      </c>
      <c r="AS47" s="594"/>
      <c r="AT47" s="595" t="str">
        <f t="shared" si="104"/>
        <v>o-o-o</v>
      </c>
      <c r="AU47" s="596"/>
      <c r="AV47" s="596"/>
      <c r="AW47" s="593">
        <f t="shared" si="105"/>
        <v>0</v>
      </c>
      <c r="AX47" s="597"/>
      <c r="AY47" s="598"/>
      <c r="AZ47" s="599"/>
      <c r="BA47" s="600"/>
      <c r="BB47" s="600"/>
      <c r="BC47" s="600"/>
      <c r="BD47" s="600"/>
      <c r="BE47" s="600"/>
      <c r="BF47" s="601" t="str">
        <f t="shared" si="106"/>
        <v>- - -</v>
      </c>
      <c r="BG47" s="602" t="str">
        <f t="shared" si="107"/>
        <v>- - -</v>
      </c>
      <c r="BH47" s="603" t="str">
        <f t="shared" si="108"/>
        <v>VC</v>
      </c>
      <c r="BI47" s="531"/>
      <c r="BJ47" s="422"/>
      <c r="BK47" s="422" t="s">
        <v>101</v>
      </c>
      <c r="BL47" s="423" t="str">
        <f t="shared" si="109"/>
        <v>A</v>
      </c>
      <c r="BM47" s="424" t="str">
        <f t="shared" si="110"/>
        <v>=&gt; s</v>
      </c>
      <c r="BN47" s="425" t="str">
        <f t="shared" si="111"/>
        <v>---</v>
      </c>
      <c r="BO47" s="423" t="str">
        <f t="shared" si="112"/>
        <v>---</v>
      </c>
      <c r="BP47" s="422"/>
      <c r="BQ47" s="422"/>
      <c r="BR47" s="422"/>
      <c r="BS47" s="422"/>
      <c r="BT47" s="423" t="str">
        <f t="shared" si="113"/>
        <v>- - -</v>
      </c>
      <c r="BU47" s="426" t="str">
        <f t="shared" si="114"/>
        <v>- - -</v>
      </c>
      <c r="BV47" s="427"/>
      <c r="BW47" s="424"/>
      <c r="BX47" s="423"/>
      <c r="BY47" s="423"/>
      <c r="BZ47" s="423" t="str">
        <f t="shared" si="115"/>
        <v>- - -</v>
      </c>
      <c r="CA47" s="423"/>
      <c r="CB47" s="423"/>
      <c r="CC47" s="423"/>
      <c r="CD47" s="423"/>
      <c r="CE47" s="423" t="str">
        <f t="shared" si="116"/>
        <v>---</v>
      </c>
      <c r="CF47" s="423" t="str">
        <f t="shared" si="117"/>
        <v>/-/ /-/</v>
      </c>
      <c r="CG47" s="423">
        <f t="shared" si="118"/>
        <v>5</v>
      </c>
      <c r="CH47" s="423">
        <f t="shared" si="119"/>
        <v>2016</v>
      </c>
      <c r="CI47" s="423">
        <f t="shared" si="120"/>
        <v>2</v>
      </c>
      <c r="CJ47" s="423">
        <f t="shared" si="121"/>
        <v>2016</v>
      </c>
      <c r="CK47" s="423">
        <f t="shared" si="122"/>
        <v>11</v>
      </c>
      <c r="CL47" s="423">
        <f t="shared" si="123"/>
        <v>2015</v>
      </c>
      <c r="CM47" s="423" t="str">
        <f t="shared" si="124"/>
        <v>- - -</v>
      </c>
      <c r="CN47" s="423" t="str">
        <f t="shared" si="125"/>
        <v>. .</v>
      </c>
      <c r="CO47" s="423"/>
      <c r="CP47" s="423">
        <f t="shared" si="126"/>
        <v>660</v>
      </c>
      <c r="CQ47" s="423">
        <f t="shared" si="127"/>
        <v>-23524</v>
      </c>
      <c r="CR47" s="423">
        <f t="shared" si="128"/>
        <v>-1961</v>
      </c>
      <c r="CS47" s="423" t="str">
        <f t="shared" si="129"/>
        <v>Nữ dưới 30</v>
      </c>
      <c r="CT47" s="423"/>
      <c r="CU47" s="423"/>
      <c r="CV47" s="423" t="str">
        <f t="shared" si="130"/>
        <v>Đến 30</v>
      </c>
      <c r="CW47" s="423" t="str">
        <f t="shared" si="131"/>
        <v>--</v>
      </c>
      <c r="CX47" s="423"/>
      <c r="CY47" s="423"/>
      <c r="CZ47" s="423"/>
      <c r="DA47" s="423"/>
      <c r="DB47" s="423"/>
      <c r="DC47" s="423"/>
      <c r="DD47" s="423"/>
      <c r="DE47" s="423"/>
      <c r="DF47" s="423"/>
      <c r="DG47" s="423" t="s">
        <v>197</v>
      </c>
      <c r="DH47" s="423" t="s">
        <v>9</v>
      </c>
      <c r="DI47" s="423" t="s">
        <v>10</v>
      </c>
      <c r="DJ47" s="423" t="s">
        <v>9</v>
      </c>
      <c r="DK47" s="423" t="s">
        <v>10</v>
      </c>
      <c r="DL47" s="423">
        <v>2014</v>
      </c>
      <c r="DM47" s="423">
        <f t="shared" si="132"/>
        <v>0</v>
      </c>
      <c r="DN47" s="423" t="str">
        <f t="shared" si="133"/>
        <v>- - -</v>
      </c>
      <c r="DO47" s="423" t="s">
        <v>9</v>
      </c>
      <c r="DP47" s="423" t="s">
        <v>10</v>
      </c>
      <c r="DQ47" s="423" t="s">
        <v>9</v>
      </c>
      <c r="DR47" s="423" t="s">
        <v>10</v>
      </c>
      <c r="DS47" s="423">
        <v>2014</v>
      </c>
      <c r="DU47" s="348" t="str">
        <f t="shared" si="134"/>
        <v>- - -</v>
      </c>
      <c r="DV47" s="348" t="str">
        <f t="shared" si="135"/>
        <v>---</v>
      </c>
    </row>
    <row r="48" spans="1:126" s="187" customFormat="1" ht="21" customHeight="1" x14ac:dyDescent="0.3">
      <c r="A48" s="181"/>
      <c r="B48" s="182" t="s">
        <v>48</v>
      </c>
      <c r="C48" s="183"/>
      <c r="D48" s="183"/>
      <c r="E48" s="183"/>
      <c r="F48" s="183"/>
      <c r="G48" s="183"/>
      <c r="H48" s="183"/>
      <c r="I48" s="183"/>
      <c r="J48" s="183"/>
      <c r="K48" s="183"/>
      <c r="L48" s="183"/>
      <c r="M48" s="183"/>
      <c r="N48" s="183"/>
      <c r="O48" s="183"/>
      <c r="P48" s="184"/>
      <c r="Q48" s="184"/>
      <c r="R48" s="184"/>
      <c r="S48" s="185"/>
      <c r="T48" s="186"/>
      <c r="U48" s="185"/>
      <c r="V48" s="127"/>
      <c r="W48" s="127"/>
      <c r="X48" s="442" t="s">
        <v>49</v>
      </c>
      <c r="Y48" s="442"/>
      <c r="Z48" s="442"/>
      <c r="AA48" s="442"/>
      <c r="AB48" s="442"/>
      <c r="AC48" s="442"/>
      <c r="AD48" s="442"/>
      <c r="AE48" s="442"/>
      <c r="AF48" s="442"/>
      <c r="AG48" s="442"/>
      <c r="AH48" s="442"/>
      <c r="AI48" s="442"/>
      <c r="AJ48" s="442"/>
      <c r="AK48" s="442"/>
      <c r="AL48" s="442"/>
      <c r="AM48" s="442"/>
      <c r="AN48" s="442"/>
      <c r="AO48" s="442"/>
      <c r="AP48" s="442"/>
      <c r="AQ48" s="442"/>
      <c r="AR48" s="442"/>
      <c r="AS48" s="442"/>
      <c r="AT48" s="442"/>
      <c r="AU48" s="442"/>
      <c r="AV48" s="442"/>
      <c r="AW48" s="442"/>
      <c r="AX48" s="442"/>
      <c r="AY48" s="442"/>
      <c r="AZ48" s="442"/>
      <c r="BA48" s="442"/>
      <c r="BB48" s="442"/>
      <c r="BC48" s="442"/>
      <c r="BD48" s="442"/>
      <c r="BE48" s="442"/>
      <c r="BF48" s="442"/>
      <c r="BG48" s="442"/>
      <c r="BH48" s="442"/>
      <c r="BI48" s="323"/>
      <c r="BJ48" s="323"/>
      <c r="BK48" s="323"/>
      <c r="BL48" s="323"/>
      <c r="BM48" s="323"/>
      <c r="BN48" s="323"/>
      <c r="BO48" s="323"/>
      <c r="BP48" s="323"/>
      <c r="BQ48" s="323"/>
      <c r="BR48" s="323"/>
      <c r="BS48" s="323"/>
      <c r="BT48" s="323"/>
      <c r="BU48" s="323"/>
      <c r="BV48" s="323"/>
      <c r="BW48" s="323"/>
      <c r="BX48" s="323"/>
      <c r="BY48" s="323"/>
      <c r="BZ48" s="323"/>
      <c r="CA48" s="323"/>
      <c r="CB48" s="323"/>
      <c r="CC48" s="323"/>
      <c r="CD48" s="323"/>
      <c r="CE48" s="323"/>
      <c r="CF48" s="323"/>
      <c r="CG48" s="323"/>
      <c r="CH48" s="323"/>
      <c r="CI48" s="323"/>
      <c r="CJ48" s="323"/>
      <c r="CK48" s="323"/>
      <c r="CL48" s="323"/>
      <c r="CM48" s="323"/>
      <c r="CN48" s="323"/>
      <c r="CO48" s="323"/>
      <c r="CP48" s="323"/>
      <c r="CQ48" s="323"/>
      <c r="CR48" s="323"/>
      <c r="CS48" s="323"/>
      <c r="CT48" s="323"/>
      <c r="CU48" s="323"/>
      <c r="CV48" s="323"/>
      <c r="CW48" s="323"/>
      <c r="CX48" s="323"/>
      <c r="CY48" s="323"/>
      <c r="CZ48" s="532"/>
      <c r="DA48" s="532"/>
      <c r="DB48" s="532"/>
      <c r="DC48" s="532"/>
      <c r="DD48" s="532"/>
      <c r="DE48" s="532"/>
      <c r="DF48" s="532"/>
      <c r="DG48" s="532"/>
      <c r="DH48" s="532"/>
      <c r="DI48" s="532"/>
      <c r="DJ48" s="532"/>
      <c r="DK48" s="532"/>
      <c r="DL48" s="532"/>
      <c r="DM48" s="532"/>
      <c r="DN48" s="532"/>
      <c r="DO48" s="532"/>
      <c r="DP48" s="532"/>
      <c r="DQ48" s="532"/>
      <c r="DR48" s="532"/>
      <c r="DS48" s="532"/>
    </row>
    <row r="49" spans="1:123" s="195" customFormat="1" ht="15.75" x14ac:dyDescent="0.25">
      <c r="A49" s="188"/>
      <c r="B49" s="197" t="s">
        <v>52</v>
      </c>
      <c r="C49" s="189"/>
      <c r="D49" s="187"/>
      <c r="E49" s="190"/>
      <c r="F49" s="189"/>
      <c r="G49" s="191"/>
      <c r="H49" s="187"/>
      <c r="I49" s="192"/>
      <c r="J49" s="192"/>
      <c r="K49" s="192"/>
      <c r="L49" s="192"/>
      <c r="M49" s="192"/>
      <c r="N49" s="193"/>
      <c r="O49" s="193"/>
      <c r="P49" s="192"/>
      <c r="Q49" s="192"/>
      <c r="R49" s="192"/>
      <c r="S49" s="193"/>
      <c r="T49" s="190"/>
      <c r="U49" s="193"/>
      <c r="V49" s="194"/>
      <c r="W49" s="194"/>
      <c r="X49" s="442" t="s">
        <v>51</v>
      </c>
      <c r="Y49" s="442"/>
      <c r="Z49" s="442"/>
      <c r="AA49" s="442"/>
      <c r="AB49" s="442"/>
      <c r="AC49" s="442"/>
      <c r="AD49" s="442"/>
      <c r="AE49" s="442"/>
      <c r="AF49" s="442"/>
      <c r="AG49" s="442"/>
      <c r="AH49" s="442"/>
      <c r="AI49" s="442"/>
      <c r="AJ49" s="442"/>
      <c r="AK49" s="442"/>
      <c r="AL49" s="442"/>
      <c r="AM49" s="442"/>
      <c r="AN49" s="442"/>
      <c r="AO49" s="442"/>
      <c r="AP49" s="442"/>
      <c r="AQ49" s="442"/>
      <c r="AR49" s="442"/>
      <c r="AS49" s="442"/>
      <c r="AT49" s="442"/>
      <c r="AU49" s="442"/>
      <c r="AV49" s="442"/>
      <c r="AW49" s="442"/>
      <c r="AX49" s="442"/>
      <c r="AY49" s="442"/>
      <c r="AZ49" s="442"/>
      <c r="BA49" s="442"/>
      <c r="BB49" s="442"/>
      <c r="BC49" s="442"/>
      <c r="BD49" s="442"/>
      <c r="BE49" s="442"/>
      <c r="BF49" s="442"/>
      <c r="BG49" s="442"/>
      <c r="BH49" s="442"/>
      <c r="BI49" s="324"/>
      <c r="BJ49" s="324"/>
      <c r="BK49" s="324"/>
      <c r="BL49" s="324"/>
      <c r="BM49" s="324"/>
      <c r="BN49" s="324"/>
      <c r="BO49" s="324"/>
      <c r="BP49" s="324"/>
      <c r="BQ49" s="324"/>
      <c r="BR49" s="324"/>
      <c r="BS49" s="324"/>
      <c r="BT49" s="324"/>
      <c r="BU49" s="324"/>
      <c r="BV49" s="324"/>
      <c r="BW49" s="324"/>
      <c r="BX49" s="324"/>
      <c r="BY49" s="324"/>
      <c r="BZ49" s="324"/>
      <c r="CA49" s="324"/>
      <c r="CB49" s="324"/>
      <c r="CC49" s="324"/>
      <c r="CD49" s="324"/>
      <c r="CE49" s="324"/>
      <c r="CF49" s="324"/>
      <c r="CG49" s="324"/>
      <c r="CH49" s="324"/>
      <c r="CI49" s="324"/>
      <c r="CJ49" s="324"/>
      <c r="CK49" s="324"/>
      <c r="CL49" s="324"/>
      <c r="CM49" s="324"/>
      <c r="CN49" s="324"/>
      <c r="CO49" s="324"/>
      <c r="CP49" s="324"/>
      <c r="CQ49" s="324"/>
      <c r="CR49" s="324"/>
      <c r="CS49" s="324"/>
      <c r="CT49" s="324"/>
      <c r="CU49" s="324"/>
      <c r="CV49" s="324"/>
      <c r="CW49" s="324"/>
      <c r="CX49" s="324"/>
      <c r="CY49" s="324"/>
      <c r="CZ49" s="533"/>
      <c r="DA49" s="533"/>
      <c r="DB49" s="533"/>
      <c r="DC49" s="533"/>
      <c r="DD49" s="533"/>
      <c r="DE49" s="533"/>
      <c r="DF49" s="533"/>
      <c r="DG49" s="533"/>
      <c r="DH49" s="533"/>
      <c r="DI49" s="533"/>
      <c r="DJ49" s="533"/>
      <c r="DK49" s="533"/>
      <c r="DL49" s="533"/>
      <c r="DM49" s="533"/>
      <c r="DN49" s="533"/>
      <c r="DO49" s="533"/>
      <c r="DP49" s="533"/>
      <c r="DQ49" s="533"/>
      <c r="DR49" s="533"/>
      <c r="DS49" s="533"/>
    </row>
    <row r="50" spans="1:123" s="202" customFormat="1" ht="15.75" x14ac:dyDescent="0.25">
      <c r="A50" s="196">
        <v>690</v>
      </c>
      <c r="B50" s="197" t="s">
        <v>54</v>
      </c>
      <c r="C50" s="189"/>
      <c r="D50" s="187"/>
      <c r="E50" s="190"/>
      <c r="F50" s="189"/>
      <c r="G50" s="191"/>
      <c r="H50" s="187"/>
      <c r="I50" s="192"/>
      <c r="J50" s="192"/>
      <c r="K50" s="192"/>
      <c r="L50" s="192"/>
      <c r="M50" s="192"/>
      <c r="N50" s="193"/>
      <c r="O50" s="193"/>
      <c r="P50" s="192"/>
      <c r="Q50" s="192"/>
      <c r="R50" s="192"/>
      <c r="S50" s="193"/>
      <c r="T50" s="190"/>
      <c r="U50" s="193"/>
      <c r="V50" s="194"/>
      <c r="W50" s="194"/>
      <c r="X50" s="198"/>
      <c r="Y50" s="198"/>
      <c r="Z50" s="198"/>
      <c r="AA50" s="198"/>
      <c r="AB50" s="198"/>
      <c r="AC50" s="198"/>
      <c r="AD50" s="198"/>
      <c r="AE50" s="198"/>
      <c r="AF50" s="198"/>
      <c r="AG50" s="198"/>
      <c r="AH50" s="198"/>
      <c r="AI50" s="198"/>
      <c r="AJ50" s="198"/>
      <c r="AK50" s="199"/>
      <c r="AL50" s="200"/>
      <c r="AM50" s="200"/>
      <c r="AN50" s="200"/>
      <c r="AO50" s="200"/>
      <c r="AP50" s="200"/>
      <c r="AQ50" s="200"/>
      <c r="AR50" s="200"/>
      <c r="AS50" s="200"/>
      <c r="AT50" s="200"/>
      <c r="AU50" s="201"/>
      <c r="AV50" s="201"/>
      <c r="AW50" s="200"/>
      <c r="AX50" s="200"/>
      <c r="AY50" s="200"/>
      <c r="AZ50" s="200"/>
      <c r="BA50" s="200"/>
      <c r="BB50" s="200"/>
      <c r="BC50" s="200"/>
      <c r="BD50" s="200"/>
      <c r="BE50" s="200"/>
      <c r="BF50" s="200"/>
      <c r="BG50" s="200"/>
      <c r="BH50" s="200"/>
      <c r="BI50" s="322"/>
      <c r="BJ50" s="225"/>
      <c r="BK50" s="226"/>
      <c r="BL50" s="227"/>
      <c r="BM50" s="226"/>
      <c r="BN50" s="325"/>
      <c r="BO50" s="326"/>
      <c r="BP50" s="327"/>
      <c r="BQ50" s="328"/>
      <c r="BR50" s="328"/>
      <c r="BS50" s="328"/>
      <c r="BT50" s="327"/>
      <c r="BU50" s="326"/>
      <c r="BV50" s="226"/>
      <c r="BW50" s="226"/>
      <c r="BX50" s="329"/>
      <c r="BY50" s="329"/>
      <c r="BZ50" s="329"/>
      <c r="CA50" s="329"/>
      <c r="CB50" s="329"/>
      <c r="CC50" s="329"/>
      <c r="CD50" s="329"/>
      <c r="CE50" s="329"/>
      <c r="CF50" s="329"/>
      <c r="CG50" s="329"/>
      <c r="CH50" s="329"/>
      <c r="CI50" s="329"/>
      <c r="CJ50" s="329"/>
      <c r="CK50" s="329"/>
      <c r="CL50" s="329"/>
      <c r="CM50" s="329"/>
      <c r="CN50" s="330"/>
      <c r="CO50" s="501"/>
      <c r="CP50" s="502"/>
      <c r="CQ50" s="503"/>
      <c r="CR50" s="504"/>
      <c r="CS50" s="505"/>
      <c r="CT50" s="322"/>
      <c r="CU50" s="504"/>
      <c r="CV50" s="506"/>
      <c r="CW50" s="507"/>
      <c r="CX50" s="507"/>
      <c r="CY50" s="322"/>
      <c r="CZ50" s="534"/>
      <c r="DA50" s="535"/>
      <c r="DB50" s="424"/>
      <c r="DC50" s="424"/>
      <c r="DD50" s="536"/>
      <c r="DE50" s="536"/>
      <c r="DF50" s="536"/>
      <c r="DG50" s="536"/>
      <c r="DH50" s="536"/>
      <c r="DI50" s="536"/>
      <c r="DJ50" s="536"/>
      <c r="DK50" s="536"/>
      <c r="DL50" s="536"/>
      <c r="DM50" s="536"/>
      <c r="DN50" s="536"/>
      <c r="DO50" s="536"/>
      <c r="DP50" s="536"/>
      <c r="DQ50" s="536"/>
      <c r="DR50" s="536"/>
      <c r="DS50" s="536"/>
    </row>
    <row r="51" spans="1:123" s="202" customFormat="1" ht="15.75" x14ac:dyDescent="0.25">
      <c r="A51" s="196">
        <v>721</v>
      </c>
      <c r="B51" s="197"/>
      <c r="C51" s="189"/>
      <c r="D51" s="187"/>
      <c r="E51" s="190"/>
      <c r="F51" s="189"/>
      <c r="G51" s="191"/>
      <c r="H51" s="187"/>
      <c r="I51" s="203"/>
      <c r="J51" s="203"/>
      <c r="K51" s="203"/>
      <c r="L51" s="203"/>
      <c r="M51" s="203"/>
      <c r="N51" s="204"/>
      <c r="O51" s="204"/>
      <c r="P51" s="203"/>
      <c r="Q51" s="203"/>
      <c r="R51" s="203"/>
      <c r="S51" s="204"/>
      <c r="T51" s="205"/>
      <c r="U51" s="204"/>
      <c r="V51" s="194"/>
      <c r="W51" s="194"/>
      <c r="X51" s="443" t="s">
        <v>53</v>
      </c>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443"/>
      <c r="AY51" s="443"/>
      <c r="AZ51" s="443"/>
      <c r="BA51" s="443"/>
      <c r="BB51" s="443"/>
      <c r="BC51" s="443"/>
      <c r="BD51" s="443"/>
      <c r="BE51" s="443"/>
      <c r="BF51" s="443"/>
      <c r="BG51" s="443"/>
      <c r="BH51" s="443"/>
      <c r="BI51" s="322"/>
      <c r="BJ51" s="225"/>
      <c r="BK51" s="226"/>
      <c r="BL51" s="227"/>
      <c r="BM51" s="226"/>
      <c r="BN51" s="325"/>
      <c r="BO51" s="326"/>
      <c r="BP51" s="327"/>
      <c r="BQ51" s="328"/>
      <c r="BR51" s="328"/>
      <c r="BS51" s="328"/>
      <c r="BT51" s="327"/>
      <c r="BU51" s="326"/>
      <c r="BV51" s="226"/>
      <c r="BW51" s="226"/>
      <c r="BX51" s="329"/>
      <c r="BY51" s="329"/>
      <c r="BZ51" s="329"/>
      <c r="CA51" s="329"/>
      <c r="CB51" s="329"/>
      <c r="CC51" s="329"/>
      <c r="CD51" s="329"/>
      <c r="CE51" s="329"/>
      <c r="CF51" s="329"/>
      <c r="CG51" s="329"/>
      <c r="CH51" s="329"/>
      <c r="CI51" s="329"/>
      <c r="CJ51" s="329"/>
      <c r="CK51" s="329"/>
      <c r="CL51" s="329"/>
      <c r="CM51" s="329"/>
      <c r="CN51" s="330"/>
      <c r="CO51" s="501"/>
      <c r="CP51" s="502"/>
      <c r="CQ51" s="503"/>
      <c r="CR51" s="504"/>
      <c r="CS51" s="505"/>
      <c r="CT51" s="322"/>
      <c r="CU51" s="504"/>
      <c r="CV51" s="506"/>
      <c r="CW51" s="507"/>
      <c r="CX51" s="507"/>
      <c r="CY51" s="322"/>
      <c r="CZ51" s="534"/>
      <c r="DA51" s="535"/>
      <c r="DB51" s="424"/>
      <c r="DC51" s="424"/>
      <c r="DD51" s="536"/>
      <c r="DE51" s="536"/>
      <c r="DF51" s="536"/>
      <c r="DG51" s="536"/>
      <c r="DH51" s="536"/>
      <c r="DI51" s="536"/>
      <c r="DJ51" s="536"/>
      <c r="DK51" s="536"/>
      <c r="DL51" s="536"/>
      <c r="DM51" s="536"/>
      <c r="DN51" s="536"/>
      <c r="DO51" s="536"/>
      <c r="DP51" s="536"/>
      <c r="DQ51" s="536"/>
      <c r="DR51" s="536"/>
      <c r="DS51" s="536"/>
    </row>
    <row r="52" spans="1:123" s="202" customFormat="1" ht="15.75" x14ac:dyDescent="0.25">
      <c r="A52" s="196">
        <v>746</v>
      </c>
      <c r="C52" s="189"/>
      <c r="D52" s="187"/>
      <c r="E52" s="190"/>
      <c r="F52" s="189"/>
      <c r="G52" s="191"/>
      <c r="H52" s="187"/>
      <c r="I52" s="203"/>
      <c r="J52" s="203"/>
      <c r="K52" s="203"/>
      <c r="L52" s="203"/>
      <c r="M52" s="203"/>
      <c r="N52" s="204"/>
      <c r="O52" s="204"/>
      <c r="P52" s="203"/>
      <c r="Q52" s="203"/>
      <c r="R52" s="203"/>
      <c r="S52" s="204"/>
      <c r="T52" s="205"/>
      <c r="U52" s="204"/>
      <c r="V52" s="194"/>
      <c r="W52" s="194"/>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322"/>
      <c r="BJ52" s="225"/>
      <c r="BK52" s="226"/>
      <c r="BL52" s="227"/>
      <c r="BM52" s="226"/>
      <c r="BN52" s="325"/>
      <c r="BO52" s="326"/>
      <c r="BP52" s="327"/>
      <c r="BQ52" s="328"/>
      <c r="BR52" s="328"/>
      <c r="BS52" s="328"/>
      <c r="BT52" s="327"/>
      <c r="BU52" s="326"/>
      <c r="BV52" s="226"/>
      <c r="BW52" s="226"/>
      <c r="BX52" s="329"/>
      <c r="BY52" s="329"/>
      <c r="BZ52" s="329"/>
      <c r="CA52" s="329"/>
      <c r="CB52" s="329"/>
      <c r="CC52" s="329"/>
      <c r="CD52" s="329"/>
      <c r="CE52" s="329"/>
      <c r="CF52" s="329"/>
      <c r="CG52" s="329"/>
      <c r="CH52" s="329"/>
      <c r="CI52" s="329"/>
      <c r="CJ52" s="329"/>
      <c r="CK52" s="329"/>
      <c r="CL52" s="329"/>
      <c r="CM52" s="329"/>
      <c r="CN52" s="330"/>
      <c r="CO52" s="501"/>
      <c r="CP52" s="502"/>
      <c r="CQ52" s="503"/>
      <c r="CR52" s="504"/>
      <c r="CS52" s="505"/>
      <c r="CT52" s="322"/>
      <c r="CU52" s="504"/>
      <c r="CV52" s="506"/>
      <c r="CW52" s="507"/>
      <c r="CX52" s="507"/>
      <c r="CY52" s="322"/>
      <c r="CZ52" s="534"/>
      <c r="DA52" s="535"/>
      <c r="DB52" s="424"/>
      <c r="DC52" s="424"/>
      <c r="DD52" s="536"/>
      <c r="DE52" s="536"/>
      <c r="DF52" s="536"/>
      <c r="DG52" s="536"/>
      <c r="DH52" s="536"/>
      <c r="DI52" s="536"/>
      <c r="DJ52" s="536"/>
      <c r="DK52" s="536"/>
      <c r="DL52" s="536"/>
      <c r="DM52" s="536"/>
      <c r="DN52" s="536"/>
      <c r="DO52" s="536"/>
      <c r="DP52" s="536"/>
      <c r="DQ52" s="536"/>
      <c r="DR52" s="536"/>
      <c r="DS52" s="536"/>
    </row>
    <row r="53" spans="1:123" s="202" customFormat="1" ht="16.5" customHeight="1" x14ac:dyDescent="0.3">
      <c r="A53" s="196">
        <v>749</v>
      </c>
      <c r="B53" s="207"/>
      <c r="C53" s="189"/>
      <c r="D53" s="208"/>
      <c r="E53" s="190"/>
      <c r="F53" s="189"/>
      <c r="G53" s="191"/>
      <c r="H53" s="187"/>
      <c r="I53" s="203"/>
      <c r="J53" s="203"/>
      <c r="K53" s="203"/>
      <c r="L53" s="203"/>
      <c r="M53" s="203"/>
      <c r="N53" s="204"/>
      <c r="O53" s="204"/>
      <c r="P53" s="203"/>
      <c r="Q53" s="203"/>
      <c r="R53" s="203"/>
      <c r="S53" s="204"/>
      <c r="T53" s="205"/>
      <c r="U53" s="204"/>
      <c r="V53" s="194"/>
      <c r="W53" s="194"/>
      <c r="X53" s="444" t="s">
        <v>100</v>
      </c>
      <c r="Y53" s="444"/>
      <c r="Z53" s="444"/>
      <c r="AA53" s="444"/>
      <c r="AB53" s="444"/>
      <c r="AC53" s="444"/>
      <c r="AD53" s="444"/>
      <c r="AE53" s="444"/>
      <c r="AF53" s="444"/>
      <c r="AG53" s="444"/>
      <c r="AH53" s="444"/>
      <c r="AI53" s="444"/>
      <c r="AJ53" s="444"/>
      <c r="AK53" s="444"/>
      <c r="AL53" s="444"/>
      <c r="AM53" s="444"/>
      <c r="AN53" s="444"/>
      <c r="AO53" s="444"/>
      <c r="AP53" s="444"/>
      <c r="AQ53" s="444"/>
      <c r="AR53" s="444"/>
      <c r="AS53" s="444"/>
      <c r="AT53" s="444"/>
      <c r="AU53" s="444"/>
      <c r="AV53" s="444"/>
      <c r="AW53" s="444"/>
      <c r="AX53" s="444"/>
      <c r="AY53" s="444"/>
      <c r="AZ53" s="444"/>
      <c r="BA53" s="444"/>
      <c r="BB53" s="444"/>
      <c r="BC53" s="444"/>
      <c r="BD53" s="444"/>
      <c r="BE53" s="444"/>
      <c r="BF53" s="444"/>
      <c r="BG53" s="444"/>
      <c r="BH53" s="444"/>
      <c r="BI53" s="537"/>
      <c r="BJ53" s="225"/>
      <c r="BK53" s="226"/>
      <c r="BL53" s="227"/>
      <c r="BM53" s="226"/>
      <c r="BN53" s="325"/>
      <c r="BO53" s="326"/>
      <c r="BP53" s="327"/>
      <c r="BQ53" s="328"/>
      <c r="BR53" s="328"/>
      <c r="BS53" s="328"/>
      <c r="BT53" s="327"/>
      <c r="BU53" s="326"/>
      <c r="BV53" s="226"/>
      <c r="BW53" s="226"/>
      <c r="BX53" s="329"/>
      <c r="BY53" s="329"/>
      <c r="BZ53" s="329"/>
      <c r="CA53" s="329"/>
      <c r="CB53" s="329"/>
      <c r="CC53" s="329"/>
      <c r="CD53" s="329"/>
      <c r="CE53" s="329"/>
      <c r="CF53" s="329"/>
      <c r="CG53" s="329"/>
      <c r="CH53" s="329"/>
      <c r="CI53" s="329"/>
      <c r="CJ53" s="329"/>
      <c r="CK53" s="329"/>
      <c r="CL53" s="329"/>
      <c r="CM53" s="329"/>
      <c r="CN53" s="330"/>
      <c r="CO53" s="501"/>
      <c r="CP53" s="502"/>
      <c r="CQ53" s="503"/>
      <c r="CR53" s="504"/>
      <c r="CS53" s="505"/>
      <c r="CT53" s="322"/>
      <c r="CU53" s="504"/>
      <c r="CV53" s="506"/>
      <c r="CW53" s="507"/>
      <c r="CX53" s="507"/>
      <c r="CY53" s="322"/>
      <c r="CZ53" s="534"/>
      <c r="DA53" s="535"/>
      <c r="DB53" s="424"/>
      <c r="DC53" s="424"/>
      <c r="DD53" s="536"/>
      <c r="DE53" s="536"/>
      <c r="DF53" s="536"/>
      <c r="DG53" s="536"/>
      <c r="DH53" s="536"/>
      <c r="DI53" s="536"/>
      <c r="DJ53" s="536"/>
      <c r="DK53" s="536"/>
      <c r="DL53" s="536"/>
      <c r="DM53" s="536"/>
      <c r="DN53" s="536"/>
      <c r="DO53" s="536"/>
      <c r="DP53" s="536"/>
      <c r="DQ53" s="536"/>
      <c r="DR53" s="536"/>
      <c r="DS53" s="536"/>
    </row>
  </sheetData>
  <mergeCells count="33">
    <mergeCell ref="X48:BH48"/>
    <mergeCell ref="X49:BH49"/>
    <mergeCell ref="X51:BH51"/>
    <mergeCell ref="X53:BH53"/>
    <mergeCell ref="N15:O15"/>
    <mergeCell ref="S15:T15"/>
    <mergeCell ref="X15:Z15"/>
    <mergeCell ref="AB15:AD15"/>
    <mergeCell ref="AF15:AJ15"/>
    <mergeCell ref="D44:BH44"/>
    <mergeCell ref="D45:O45"/>
    <mergeCell ref="AK13:AK14"/>
    <mergeCell ref="AM13:AM14"/>
    <mergeCell ref="AX13:AX14"/>
    <mergeCell ref="BH13:BH14"/>
    <mergeCell ref="X14:Z14"/>
    <mergeCell ref="AB14:AD14"/>
    <mergeCell ref="AF14:AJ14"/>
    <mergeCell ref="AF6:AJ6"/>
    <mergeCell ref="B13:B14"/>
    <mergeCell ref="D13:D14"/>
    <mergeCell ref="E13:E14"/>
    <mergeCell ref="N13:O14"/>
    <mergeCell ref="S13:T14"/>
    <mergeCell ref="U13:U14"/>
    <mergeCell ref="V13:V14"/>
    <mergeCell ref="X13:AJ13"/>
    <mergeCell ref="A4:BH5"/>
    <mergeCell ref="B1:N1"/>
    <mergeCell ref="S1:AE1"/>
    <mergeCell ref="B2:N2"/>
    <mergeCell ref="S2:AE2"/>
    <mergeCell ref="S3:AE3"/>
  </mergeCells>
  <conditionalFormatting sqref="BI12:BI14">
    <cfRule type="expression" dxfId="472" priority="3482" stopIfTrue="1">
      <formula>IF(BJ12="Trên 45",1,0)</formula>
    </cfRule>
    <cfRule type="expression" dxfId="471" priority="3483" stopIfTrue="1">
      <formula>IF(BJ12="30 - 45",1,0)</formula>
    </cfRule>
    <cfRule type="expression" dxfId="470" priority="3484" stopIfTrue="1">
      <formula>IF(BJ12="Dưới 30",1,0)</formula>
    </cfRule>
  </conditionalFormatting>
  <conditionalFormatting sqref="CU12:CU14">
    <cfRule type="expression" dxfId="469" priority="3485" stopIfTrue="1">
      <formula>IF(CV12&gt;0,1,0)</formula>
    </cfRule>
    <cfRule type="expression" dxfId="468" priority="3486" stopIfTrue="1">
      <formula>IF(CV12=0,1,0)</formula>
    </cfRule>
  </conditionalFormatting>
  <conditionalFormatting sqref="CT12:CT14">
    <cfRule type="expression" dxfId="467" priority="3476" stopIfTrue="1">
      <formula>12*(#REF!-CM12)+(#REF!-CK12)</formula>
    </cfRule>
  </conditionalFormatting>
  <conditionalFormatting sqref="CY12:CY14">
    <cfRule type="expression" dxfId="466" priority="3477" stopIfTrue="1">
      <formula>12*(#REF!-CQ12)+(#REF!-CO12)</formula>
    </cfRule>
  </conditionalFormatting>
  <conditionalFormatting sqref="BJ10">
    <cfRule type="expression" dxfId="465" priority="3262" stopIfTrue="1">
      <formula>IF(BK10="Trên 45",1,0)</formula>
    </cfRule>
    <cfRule type="expression" dxfId="464" priority="3263" stopIfTrue="1">
      <formula>IF(BK10="30 - 45",1,0)</formula>
    </cfRule>
    <cfRule type="expression" dxfId="463" priority="3264" stopIfTrue="1">
      <formula>IF(BK10="Dưới 30",1,0)</formula>
    </cfRule>
  </conditionalFormatting>
  <conditionalFormatting sqref="CV10">
    <cfRule type="expression" dxfId="462" priority="3265" stopIfTrue="1">
      <formula>IF(CW10&gt;0,1,0)</formula>
    </cfRule>
    <cfRule type="expression" dxfId="461" priority="3266" stopIfTrue="1">
      <formula>IF(CW10=0,1,0)</formula>
    </cfRule>
  </conditionalFormatting>
  <conditionalFormatting sqref="BI10">
    <cfRule type="cellIs" dxfId="460" priority="3267" stopIfTrue="1" operator="between">
      <formula>"720"</formula>
      <formula>"720"</formula>
    </cfRule>
    <cfRule type="cellIs" dxfId="459" priority="3268" stopIfTrue="1" operator="between">
      <formula>"660"</formula>
      <formula>"660"</formula>
    </cfRule>
  </conditionalFormatting>
  <conditionalFormatting sqref="CY10">
    <cfRule type="expression" dxfId="458" priority="3274" stopIfTrue="1">
      <formula>IF(OR(CY10=0.36),1,0)</formula>
    </cfRule>
    <cfRule type="expression" dxfId="457" priority="3275" stopIfTrue="1">
      <formula>IF(CY10=0.34,1,0)</formula>
    </cfRule>
    <cfRule type="expression" dxfId="456" priority="3276" stopIfTrue="1">
      <formula>IF(CY10&lt;0.33,1,0)</formula>
    </cfRule>
  </conditionalFormatting>
  <conditionalFormatting sqref="DB10">
    <cfRule type="cellIs" dxfId="455" priority="3277" stopIfTrue="1" operator="between">
      <formula>"Hưu"</formula>
      <formula>"Hưu"</formula>
    </cfRule>
    <cfRule type="cellIs" dxfId="454" priority="3278" stopIfTrue="1" operator="between">
      <formula>"---"</formula>
      <formula>"---"</formula>
    </cfRule>
    <cfRule type="cellIs" dxfId="453" priority="3279" stopIfTrue="1" operator="between">
      <formula>"Quá"</formula>
      <formula>"Quá"</formula>
    </cfRule>
  </conditionalFormatting>
  <conditionalFormatting sqref="CX10">
    <cfRule type="expression" dxfId="452" priority="3280" stopIfTrue="1">
      <formula>IF(OR(CX10=5.57,CX10=6.2),1,0)</formula>
    </cfRule>
    <cfRule type="expression" dxfId="451" priority="3281" stopIfTrue="1">
      <formula>IF(OR(CX10=4,CX10=4.4),1,0)</formula>
    </cfRule>
    <cfRule type="expression" dxfId="450" priority="3282" stopIfTrue="1">
      <formula>IF(AND(CX10&gt;0.9,CX10&lt;2.34),1,0)</formula>
    </cfRule>
  </conditionalFormatting>
  <conditionalFormatting sqref="CT10">
    <cfRule type="cellIs" dxfId="449" priority="3283" stopIfTrue="1" operator="between">
      <formula>1</formula>
      <formula>1</formula>
    </cfRule>
    <cfRule type="cellIs" dxfId="448" priority="3284" stopIfTrue="1" operator="between">
      <formula>2</formula>
      <formula>2</formula>
    </cfRule>
    <cfRule type="cellIs" dxfId="447" priority="3285" stopIfTrue="1" operator="between">
      <formula>3</formula>
      <formula>3</formula>
    </cfRule>
  </conditionalFormatting>
  <conditionalFormatting sqref="CW10">
    <cfRule type="expression" dxfId="446" priority="3286" stopIfTrue="1">
      <formula>IF(CW10&gt;0,1,0)</formula>
    </cfRule>
    <cfRule type="expression" dxfId="445" priority="3287" stopIfTrue="1">
      <formula>IF(CW10&lt;1,1,0)</formula>
    </cfRule>
  </conditionalFormatting>
  <conditionalFormatting sqref="CS10">
    <cfRule type="cellIs" dxfId="444" priority="3288" stopIfTrue="1" operator="between">
      <formula>"Đến"</formula>
      <formula>"Đến"</formula>
    </cfRule>
    <cfRule type="cellIs" dxfId="443" priority="3289" stopIfTrue="1" operator="between">
      <formula>"Quá"</formula>
      <formula>"Quá"</formula>
    </cfRule>
    <cfRule type="expression" dxfId="442" priority="3290" stopIfTrue="1">
      <formula>IF(OR(CS10="Lương Sớm Hưu",CS10="Nâng Ngạch Hưu"),1,0)</formula>
    </cfRule>
  </conditionalFormatting>
  <conditionalFormatting sqref="DC10:DD10">
    <cfRule type="expression" dxfId="441" priority="3291" stopIfTrue="1">
      <formula>IF(DC10&gt;0,1,0)</formula>
    </cfRule>
  </conditionalFormatting>
  <conditionalFormatting sqref="CR10">
    <cfRule type="cellIs" dxfId="440" priority="3292" stopIfTrue="1" operator="between">
      <formula>"B"</formula>
      <formula>"B"</formula>
    </cfRule>
    <cfRule type="cellIs" dxfId="439" priority="3293" stopIfTrue="1" operator="between">
      <formula>"C"</formula>
      <formula>"C"</formula>
    </cfRule>
    <cfRule type="cellIs" dxfId="438" priority="3294" stopIfTrue="1" operator="between">
      <formula>"D"</formula>
      <formula>"D"</formula>
    </cfRule>
  </conditionalFormatting>
  <conditionalFormatting sqref="CQ10">
    <cfRule type="cellIs" dxfId="437" priority="3295" stopIfTrue="1" operator="between">
      <formula>"công chức, viên chức"</formula>
      <formula>"công chức, viên chức"</formula>
    </cfRule>
    <cfRule type="cellIs" dxfId="436" priority="3296" stopIfTrue="1" operator="between">
      <formula>"lao động hợp đồng"</formula>
      <formula>"lao động hợp đồng"</formula>
    </cfRule>
  </conditionalFormatting>
  <conditionalFormatting sqref="DA10">
    <cfRule type="expression" dxfId="435" priority="3297" stopIfTrue="1">
      <formula>IF(DA10="Nâg Ngạch sau TB",1,0)</formula>
    </cfRule>
    <cfRule type="expression" dxfId="434" priority="3298" stopIfTrue="1">
      <formula>IF(DA10="Nâg Lươg Sớm sau TB",1,0)</formula>
    </cfRule>
    <cfRule type="expression" dxfId="433" priority="3299" stopIfTrue="1">
      <formula>IF(DA10="Nâg PC TNVK cùng QĐ",1,0)</formula>
    </cfRule>
  </conditionalFormatting>
  <conditionalFormatting sqref="CP10">
    <cfRule type="expression" dxfId="432" priority="3300" stopIfTrue="1">
      <formula>IF(CP10=0,1,0)</formula>
    </cfRule>
    <cfRule type="expression" dxfId="431" priority="3301" stopIfTrue="1">
      <formula>IF(CP10&gt;0,1,0)</formula>
    </cfRule>
  </conditionalFormatting>
  <conditionalFormatting sqref="BK10">
    <cfRule type="expression" dxfId="430" priority="3269" stopIfTrue="1">
      <formula>IF(BK10="Trên 45",1,0)</formula>
    </cfRule>
    <cfRule type="expression" dxfId="429" priority="3270" stopIfTrue="1">
      <formula>IF(BK10="30 - 45",1,0)</formula>
    </cfRule>
    <cfRule type="expression" dxfId="428" priority="3271" stopIfTrue="1">
      <formula>IF(BK10="Dưới 30",1,0)</formula>
    </cfRule>
  </conditionalFormatting>
  <conditionalFormatting sqref="BM10">
    <cfRule type="cellIs" dxfId="427" priority="3272" stopIfTrue="1" operator="between">
      <formula>"Có hạn"</formula>
      <formula>"Có hạn"</formula>
    </cfRule>
    <cfRule type="cellIs" dxfId="426" priority="3273" stopIfTrue="1" operator="between">
      <formula>"Ko hạn"</formula>
      <formula>"Ko hạn"</formula>
    </cfRule>
  </conditionalFormatting>
  <conditionalFormatting sqref="CX12:CX14">
    <cfRule type="expression" dxfId="425" priority="3234" stopIfTrue="1">
      <formula>IF(OR(CX12=0.36),1,0)</formula>
    </cfRule>
    <cfRule type="expression" dxfId="424" priority="3235" stopIfTrue="1">
      <formula>IF(CX12=0.34,1,0)</formula>
    </cfRule>
    <cfRule type="expression" dxfId="423" priority="3236" stopIfTrue="1">
      <formula>IF(CX12&lt;0.33,1,0)</formula>
    </cfRule>
  </conditionalFormatting>
  <conditionalFormatting sqref="DA12:DA14">
    <cfRule type="cellIs" dxfId="422" priority="3237" stopIfTrue="1" operator="between">
      <formula>"Hưu"</formula>
      <formula>"Hưu"</formula>
    </cfRule>
    <cfRule type="cellIs" dxfId="421" priority="3238" stopIfTrue="1" operator="between">
      <formula>"---"</formula>
      <formula>"---"</formula>
    </cfRule>
    <cfRule type="cellIs" dxfId="420" priority="3239" stopIfTrue="1" operator="between">
      <formula>"Quá"</formula>
      <formula>"Quá"</formula>
    </cfRule>
  </conditionalFormatting>
  <conditionalFormatting sqref="CW12:CW14">
    <cfRule type="expression" dxfId="419" priority="3240" stopIfTrue="1">
      <formula>IF(OR(CW12=5.57,CW12=6.2),1,0)</formula>
    </cfRule>
    <cfRule type="expression" dxfId="418" priority="3241" stopIfTrue="1">
      <formula>IF(OR(CW12=4,CW12=4.4),1,0)</formula>
    </cfRule>
    <cfRule type="expression" dxfId="417" priority="3242" stopIfTrue="1">
      <formula>IF(AND(CW12&gt;0.9,CW12&lt;2.34),1,0)</formula>
    </cfRule>
  </conditionalFormatting>
  <conditionalFormatting sqref="CS12:CS14">
    <cfRule type="cellIs" dxfId="416" priority="3243" stopIfTrue="1" operator="between">
      <formula>1</formula>
      <formula>1</formula>
    </cfRule>
    <cfRule type="cellIs" dxfId="415" priority="3244" stopIfTrue="1" operator="between">
      <formula>2</formula>
      <formula>2</formula>
    </cfRule>
    <cfRule type="cellIs" dxfId="414" priority="3245" stopIfTrue="1" operator="between">
      <formula>3</formula>
      <formula>3</formula>
    </cfRule>
  </conditionalFormatting>
  <conditionalFormatting sqref="CV12:CV14">
    <cfRule type="expression" dxfId="413" priority="3246" stopIfTrue="1">
      <formula>IF(CV12&gt;0,1,0)</formula>
    </cfRule>
    <cfRule type="expression" dxfId="412" priority="3247" stopIfTrue="1">
      <formula>IF(CV12&lt;1,1,0)</formula>
    </cfRule>
  </conditionalFormatting>
  <conditionalFormatting sqref="CR12:CR14">
    <cfRule type="cellIs" dxfId="411" priority="3248" stopIfTrue="1" operator="between">
      <formula>"Đến"</formula>
      <formula>"Đến"</formula>
    </cfRule>
    <cfRule type="cellIs" dxfId="410" priority="3249" stopIfTrue="1" operator="between">
      <formula>"Quá"</formula>
      <formula>"Quá"</formula>
    </cfRule>
    <cfRule type="expression" dxfId="409" priority="3250" stopIfTrue="1">
      <formula>IF(OR(CR12="Lương Sớm Hưu",CR12="Nâng Ngạch Hưu"),1,0)</formula>
    </cfRule>
  </conditionalFormatting>
  <conditionalFormatting sqref="DB12:DC14">
    <cfRule type="expression" dxfId="408" priority="3251" stopIfTrue="1">
      <formula>IF(DB12&gt;0,1,0)</formula>
    </cfRule>
  </conditionalFormatting>
  <conditionalFormatting sqref="CQ12:CQ14">
    <cfRule type="cellIs" dxfId="407" priority="3252" stopIfTrue="1" operator="between">
      <formula>"B"</formula>
      <formula>"B"</formula>
    </cfRule>
    <cfRule type="cellIs" dxfId="406" priority="3253" stopIfTrue="1" operator="between">
      <formula>"C"</formula>
      <formula>"C"</formula>
    </cfRule>
    <cfRule type="cellIs" dxfId="405" priority="3254" stopIfTrue="1" operator="between">
      <formula>"D"</formula>
      <formula>"D"</formula>
    </cfRule>
  </conditionalFormatting>
  <conditionalFormatting sqref="CP12:CP14">
    <cfRule type="cellIs" dxfId="404" priority="3255" stopIfTrue="1" operator="between">
      <formula>"công chức, viên chức"</formula>
      <formula>"công chức, viên chức"</formula>
    </cfRule>
    <cfRule type="cellIs" dxfId="403" priority="3256" stopIfTrue="1" operator="between">
      <formula>"lao động hợp đồng"</formula>
      <formula>"lao động hợp đồng"</formula>
    </cfRule>
  </conditionalFormatting>
  <conditionalFormatting sqref="CZ12:CZ14">
    <cfRule type="expression" dxfId="402" priority="3257" stopIfTrue="1">
      <formula>IF(CZ12="Nâg Ngạch sau TB",1,0)</formula>
    </cfRule>
    <cfRule type="expression" dxfId="401" priority="3258" stopIfTrue="1">
      <formula>IF(CZ12="Nâg Lươg Sớm sau TB",1,0)</formula>
    </cfRule>
    <cfRule type="expression" dxfId="400" priority="3259" stopIfTrue="1">
      <formula>IF(CZ12="Nâg PC TNVK cùng QĐ",1,0)</formula>
    </cfRule>
  </conditionalFormatting>
  <conditionalFormatting sqref="CO12:CO14">
    <cfRule type="expression" dxfId="399" priority="3260" stopIfTrue="1">
      <formula>IF(CO12=0,1,0)</formula>
    </cfRule>
    <cfRule type="expression" dxfId="398" priority="3261" stopIfTrue="1">
      <formula>IF(CO12&gt;0,1,0)</formula>
    </cfRule>
  </conditionalFormatting>
  <conditionalFormatting sqref="BJ12:BJ14">
    <cfRule type="expression" dxfId="397" priority="3229" stopIfTrue="1">
      <formula>IF(BJ12="Trên 45",1,0)</formula>
    </cfRule>
    <cfRule type="expression" dxfId="396" priority="3230" stopIfTrue="1">
      <formula>IF(BJ12="30 - 45",1,0)</formula>
    </cfRule>
    <cfRule type="expression" dxfId="395" priority="3231" stopIfTrue="1">
      <formula>IF(BJ12="Dưới 30",1,0)</formula>
    </cfRule>
  </conditionalFormatting>
  <conditionalFormatting sqref="BL12:BL14">
    <cfRule type="cellIs" dxfId="394" priority="3232" stopIfTrue="1" operator="between">
      <formula>"Có hạn"</formula>
      <formula>"Có hạn"</formula>
    </cfRule>
    <cfRule type="cellIs" dxfId="393" priority="3233" stopIfTrue="1" operator="between">
      <formula>"Ko hạn"</formula>
      <formula>"Ko hạn"</formula>
    </cfRule>
  </conditionalFormatting>
  <conditionalFormatting sqref="CZ10">
    <cfRule type="expression" dxfId="392" priority="3532" stopIfTrue="1">
      <formula>12*(#REF!-CR10)+(#REF!-CP10)</formula>
    </cfRule>
  </conditionalFormatting>
  <conditionalFormatting sqref="CU10">
    <cfRule type="expression" dxfId="391" priority="3533" stopIfTrue="1">
      <formula>12*(#REF!-CN10)+(#REF!-CL10)</formula>
    </cfRule>
  </conditionalFormatting>
  <conditionalFormatting sqref="BI50:BI52">
    <cfRule type="expression" dxfId="390" priority="3185" stopIfTrue="1">
      <formula>IF(BJ50="Trên 45",1,0)</formula>
    </cfRule>
    <cfRule type="expression" dxfId="389" priority="3186" stopIfTrue="1">
      <formula>IF(BJ50="30 - 45",1,0)</formula>
    </cfRule>
    <cfRule type="expression" dxfId="388" priority="3187" stopIfTrue="1">
      <formula>IF(BJ50="Dưới 30",1,0)</formula>
    </cfRule>
  </conditionalFormatting>
  <conditionalFormatting sqref="CU50:CU53">
    <cfRule type="expression" dxfId="387" priority="3188" stopIfTrue="1">
      <formula>IF(CV50&gt;0,1,0)</formula>
    </cfRule>
    <cfRule type="expression" dxfId="386" priority="3189" stopIfTrue="1">
      <formula>IF(CV50=0,1,0)</formula>
    </cfRule>
  </conditionalFormatting>
  <conditionalFormatting sqref="CT50:CT53">
    <cfRule type="expression" dxfId="385" priority="3190" stopIfTrue="1">
      <formula>12*(#REF!-CM50)+(#REF!-CK50)</formula>
    </cfRule>
  </conditionalFormatting>
  <conditionalFormatting sqref="CY50:CY53">
    <cfRule type="expression" dxfId="384" priority="3191" stopIfTrue="1">
      <formula>12*(#REF!-CQ50)+(#REF!-CO50)</formula>
    </cfRule>
  </conditionalFormatting>
  <conditionalFormatting sqref="AV50 CX50:CX53">
    <cfRule type="expression" dxfId="383" priority="3197" stopIfTrue="1">
      <formula>IF(OR(AV50=0.36),1,0)</formula>
    </cfRule>
    <cfRule type="expression" dxfId="382" priority="3198" stopIfTrue="1">
      <formula>IF(AV50=0.34,1,0)</formula>
    </cfRule>
    <cfRule type="expression" dxfId="381" priority="3199" stopIfTrue="1">
      <formula>IF(AV50&lt;0.33,1,0)</formula>
    </cfRule>
  </conditionalFormatting>
  <conditionalFormatting sqref="DA50:DA53">
    <cfRule type="cellIs" dxfId="380" priority="3200" stopIfTrue="1" operator="between">
      <formula>"Hưu"</formula>
      <formula>"Hưu"</formula>
    </cfRule>
    <cfRule type="cellIs" dxfId="379" priority="3201" stopIfTrue="1" operator="between">
      <formula>"---"</formula>
      <formula>"---"</formula>
    </cfRule>
    <cfRule type="cellIs" dxfId="378" priority="3202" stopIfTrue="1" operator="between">
      <formula>"Quá"</formula>
      <formula>"Quá"</formula>
    </cfRule>
  </conditionalFormatting>
  <conditionalFormatting sqref="AU50 CW50:CW53">
    <cfRule type="expression" dxfId="377" priority="3203" stopIfTrue="1">
      <formula>IF(OR(AU50=5.57,AU50=6.2),1,0)</formula>
    </cfRule>
    <cfRule type="expression" dxfId="376" priority="3204" stopIfTrue="1">
      <formula>IF(OR(AU50=4,AU50=4.4),1,0)</formula>
    </cfRule>
    <cfRule type="expression" dxfId="375" priority="3205" stopIfTrue="1">
      <formula>IF(AND(AU50&gt;0.9,AU50&lt;2.34),1,0)</formula>
    </cfRule>
  </conditionalFormatting>
  <conditionalFormatting sqref="CS50:CS53">
    <cfRule type="cellIs" dxfId="374" priority="3206" stopIfTrue="1" operator="between">
      <formula>1</formula>
      <formula>1</formula>
    </cfRule>
    <cfRule type="cellIs" dxfId="373" priority="3207" stopIfTrue="1" operator="between">
      <formula>2</formula>
      <formula>2</formula>
    </cfRule>
    <cfRule type="cellIs" dxfId="372" priority="3208" stopIfTrue="1" operator="between">
      <formula>3</formula>
      <formula>3</formula>
    </cfRule>
  </conditionalFormatting>
  <conditionalFormatting sqref="CV50:CV53">
    <cfRule type="expression" dxfId="371" priority="3209" stopIfTrue="1">
      <formula>IF(CV50&gt;0,1,0)</formula>
    </cfRule>
    <cfRule type="expression" dxfId="370" priority="3210" stopIfTrue="1">
      <formula>IF(CV50&lt;1,1,0)</formula>
    </cfRule>
  </conditionalFormatting>
  <conditionalFormatting sqref="CR50:CR53">
    <cfRule type="cellIs" dxfId="369" priority="3211" stopIfTrue="1" operator="between">
      <formula>"Đến"</formula>
      <formula>"Đến"</formula>
    </cfRule>
    <cfRule type="cellIs" dxfId="368" priority="3212" stopIfTrue="1" operator="between">
      <formula>"Quá"</formula>
      <formula>"Quá"</formula>
    </cfRule>
    <cfRule type="expression" dxfId="367" priority="3213" stopIfTrue="1">
      <formula>IF(OR(CR50="Lương Sớm Hưu",CR50="Nâng Ngạch Hưu"),1,0)</formula>
    </cfRule>
  </conditionalFormatting>
  <conditionalFormatting sqref="DB50:DC53">
    <cfRule type="expression" dxfId="366" priority="3214" stopIfTrue="1">
      <formula>IF(DB50&gt;0,1,0)</formula>
    </cfRule>
  </conditionalFormatting>
  <conditionalFormatting sqref="CQ50:CQ53">
    <cfRule type="cellIs" dxfId="365" priority="3215" stopIfTrue="1" operator="between">
      <formula>"B"</formula>
      <formula>"B"</formula>
    </cfRule>
    <cfRule type="cellIs" dxfId="364" priority="3216" stopIfTrue="1" operator="between">
      <formula>"C"</formula>
      <formula>"C"</formula>
    </cfRule>
    <cfRule type="cellIs" dxfId="363" priority="3217" stopIfTrue="1" operator="between">
      <formula>"D"</formula>
      <formula>"D"</formula>
    </cfRule>
  </conditionalFormatting>
  <conditionalFormatting sqref="CP50:CP53">
    <cfRule type="cellIs" dxfId="362" priority="3218" stopIfTrue="1" operator="between">
      <formula>"công chức, viên chức"</formula>
      <formula>"công chức, viên chức"</formula>
    </cfRule>
    <cfRule type="cellIs" dxfId="361" priority="3219" stopIfTrue="1" operator="between">
      <formula>"lao động hợp đồng"</formula>
      <formula>"lao động hợp đồng"</formula>
    </cfRule>
  </conditionalFormatting>
  <conditionalFormatting sqref="CZ50:CZ53">
    <cfRule type="expression" dxfId="360" priority="3220" stopIfTrue="1">
      <formula>IF(CZ50="Nâg Ngạch sau TB",1,0)</formula>
    </cfRule>
    <cfRule type="expression" dxfId="359" priority="3221" stopIfTrue="1">
      <formula>IF(CZ50="Nâg Lươg Sớm sau TB",1,0)</formula>
    </cfRule>
    <cfRule type="expression" dxfId="358" priority="3222" stopIfTrue="1">
      <formula>IF(CZ50="Nâg PC TNVK cùng QĐ",1,0)</formula>
    </cfRule>
  </conditionalFormatting>
  <conditionalFormatting sqref="CO50:CO53">
    <cfRule type="expression" dxfId="357" priority="3223" stopIfTrue="1">
      <formula>IF(CO50=0,1,0)</formula>
    </cfRule>
    <cfRule type="expression" dxfId="356" priority="3224" stopIfTrue="1">
      <formula>IF(CO50&gt;0,1,0)</formula>
    </cfRule>
  </conditionalFormatting>
  <conditionalFormatting sqref="BJ50:BJ53">
    <cfRule type="expression" dxfId="355" priority="3192" stopIfTrue="1">
      <formula>IF(BJ50="Trên 45",1,0)</formula>
    </cfRule>
    <cfRule type="expression" dxfId="354" priority="3193" stopIfTrue="1">
      <formula>IF(BJ50="30 - 45",1,0)</formula>
    </cfRule>
    <cfRule type="expression" dxfId="353" priority="3194" stopIfTrue="1">
      <formula>IF(BJ50="Dưới 30",1,0)</formula>
    </cfRule>
  </conditionalFormatting>
  <conditionalFormatting sqref="BL50:BL53">
    <cfRule type="cellIs" dxfId="352" priority="3195" stopIfTrue="1" operator="between">
      <formula>"Có hạn"</formula>
      <formula>"Có hạn"</formula>
    </cfRule>
    <cfRule type="cellIs" dxfId="351" priority="3196" stopIfTrue="1" operator="between">
      <formula>"Ko hạn"</formula>
      <formula>"Ko hạn"</formula>
    </cfRule>
  </conditionalFormatting>
  <conditionalFormatting sqref="A51:A53">
    <cfRule type="expression" dxfId="350" priority="3225" stopIfTrue="1">
      <formula>IF(#REF!="Hưu",1,0)</formula>
    </cfRule>
    <cfRule type="expression" dxfId="349" priority="3226" stopIfTrue="1">
      <formula>IF(#REF!="Quá",1,0)</formula>
    </cfRule>
  </conditionalFormatting>
  <conditionalFormatting sqref="A50">
    <cfRule type="expression" dxfId="348" priority="3227" stopIfTrue="1">
      <formula>IF(#REF!="Hưu",1,0)</formula>
    </cfRule>
    <cfRule type="expression" dxfId="347" priority="3228" stopIfTrue="1">
      <formula>IF(#REF!="Quá",1,0)</formula>
    </cfRule>
  </conditionalFormatting>
  <conditionalFormatting sqref="BD15">
    <cfRule type="expression" dxfId="346" priority="3140" stopIfTrue="1">
      <formula>IF(BA15&gt;6,BB15,IF(BA15&lt;7,BB15-1))</formula>
    </cfRule>
  </conditionalFormatting>
  <conditionalFormatting sqref="AT15">
    <cfRule type="expression" dxfId="345" priority="3141" stopIfTrue="1">
      <formula>IF(AU15&gt;0,1,0)</formula>
    </cfRule>
    <cfRule type="expression" dxfId="344" priority="3142" stopIfTrue="1">
      <formula>IF(AU15=0,1,0)</formula>
    </cfRule>
  </conditionalFormatting>
  <conditionalFormatting sqref="BF15">
    <cfRule type="expression" dxfId="343" priority="3143" stopIfTrue="1">
      <formula>IF(BC15&gt;6,BD15,IF(BC15&lt;7,BD15-1))</formula>
    </cfRule>
  </conditionalFormatting>
  <conditionalFormatting sqref="AW15">
    <cfRule type="expression" dxfId="342" priority="3144" stopIfTrue="1">
      <formula>IF(OR(AW15=0.36),1,0)</formula>
    </cfRule>
    <cfRule type="expression" dxfId="341" priority="3145" stopIfTrue="1">
      <formula>IF(AW15=0.34,1,0)</formula>
    </cfRule>
    <cfRule type="expression" dxfId="340" priority="3146" stopIfTrue="1">
      <formula>IF(AW15&lt;0.33,1,0)</formula>
    </cfRule>
  </conditionalFormatting>
  <conditionalFormatting sqref="AZ15">
    <cfRule type="cellIs" dxfId="339" priority="3147" stopIfTrue="1" operator="between">
      <formula>"Hưu"</formula>
      <formula>"Hưu"</formula>
    </cfRule>
    <cfRule type="cellIs" dxfId="338" priority="3148" stopIfTrue="1" operator="between">
      <formula>"---"</formula>
      <formula>"---"</formula>
    </cfRule>
    <cfRule type="cellIs" dxfId="337" priority="3149" stopIfTrue="1" operator="between">
      <formula>"Quá"</formula>
      <formula>"Quá"</formula>
    </cfRule>
  </conditionalFormatting>
  <conditionalFormatting sqref="AV15">
    <cfRule type="expression" dxfId="336" priority="3150" stopIfTrue="1">
      <formula>IF(OR(AV15=5.57,AV15=6.2),1,0)</formula>
    </cfRule>
    <cfRule type="expression" dxfId="335" priority="3151" stopIfTrue="1">
      <formula>IF(OR(AV15=4,AV15=4.4),1,0)</formula>
    </cfRule>
    <cfRule type="expression" dxfId="334" priority="3152" stopIfTrue="1">
      <formula>IF(AND(AV15&gt;0.9,AV15&lt;2.34),1,0)</formula>
    </cfRule>
  </conditionalFormatting>
  <conditionalFormatting sqref="AR15">
    <cfRule type="cellIs" dxfId="333" priority="3153" stopIfTrue="1" operator="between">
      <formula>1</formula>
      <formula>1</formula>
    </cfRule>
    <cfRule type="cellIs" dxfId="332" priority="3154" stopIfTrue="1" operator="between">
      <formula>2</formula>
      <formula>2</formula>
    </cfRule>
    <cfRule type="cellIs" dxfId="331" priority="3155" stopIfTrue="1" operator="between">
      <formula>3</formula>
      <formula>3</formula>
    </cfRule>
  </conditionalFormatting>
  <conditionalFormatting sqref="AU15">
    <cfRule type="expression" dxfId="330" priority="3156" stopIfTrue="1">
      <formula>IF(AU15&gt;0,1,0)</formula>
    </cfRule>
    <cfRule type="expression" dxfId="329" priority="3157" stopIfTrue="1">
      <formula>IF(AU15&lt;1,1,0)</formula>
    </cfRule>
  </conditionalFormatting>
  <conditionalFormatting sqref="AQ15">
    <cfRule type="cellIs" dxfId="328" priority="3158" stopIfTrue="1" operator="between">
      <formula>"Đến"</formula>
      <formula>"Đến"</formula>
    </cfRule>
    <cfRule type="cellIs" dxfId="327" priority="3159" stopIfTrue="1" operator="between">
      <formula>"Quá"</formula>
      <formula>"Quá"</formula>
    </cfRule>
    <cfRule type="expression" dxfId="326" priority="3160" stopIfTrue="1">
      <formula>IF(OR(AQ15="Lương Sớm Hưu",AQ15="Nâng Ngạch Hưu"),1,0)</formula>
    </cfRule>
  </conditionalFormatting>
  <conditionalFormatting sqref="BA15:BB15 G15">
    <cfRule type="expression" dxfId="325" priority="3161" stopIfTrue="1">
      <formula>IF(G15&gt;0,1,0)</formula>
    </cfRule>
  </conditionalFormatting>
  <conditionalFormatting sqref="AP15">
    <cfRule type="cellIs" dxfId="324" priority="3162" stopIfTrue="1" operator="between">
      <formula>"B"</formula>
      <formula>"B"</formula>
    </cfRule>
    <cfRule type="cellIs" dxfId="323" priority="3163" stopIfTrue="1" operator="between">
      <formula>"C"</formula>
      <formula>"C"</formula>
    </cfRule>
    <cfRule type="cellIs" dxfId="322" priority="3164" stopIfTrue="1" operator="between">
      <formula>"D"</formula>
      <formula>"D"</formula>
    </cfRule>
  </conditionalFormatting>
  <conditionalFormatting sqref="AO15">
    <cfRule type="cellIs" dxfId="321" priority="3165" stopIfTrue="1" operator="between">
      <formula>"công chức, viên chức"</formula>
      <formula>"công chức, viên chức"</formula>
    </cfRule>
    <cfRule type="cellIs" dxfId="320" priority="3166" stopIfTrue="1" operator="between">
      <formula>"lao động hợp đồng"</formula>
      <formula>"lao động hợp đồng"</formula>
    </cfRule>
  </conditionalFormatting>
  <conditionalFormatting sqref="AY15">
    <cfRule type="expression" dxfId="319" priority="3167" stopIfTrue="1">
      <formula>IF(AY15="Nâg Ngạch sau TB",1,0)</formula>
    </cfRule>
    <cfRule type="expression" dxfId="318" priority="3168" stopIfTrue="1">
      <formula>IF(AY15="Nâg Lươg Sớm sau TB",1,0)</formula>
    </cfRule>
    <cfRule type="expression" dxfId="317" priority="3169" stopIfTrue="1">
      <formula>IF(AY15="Nâg PC TNVK cùng QĐ",1,0)</formula>
    </cfRule>
  </conditionalFormatting>
  <conditionalFormatting sqref="AN15">
    <cfRule type="expression" dxfId="316" priority="3170" stopIfTrue="1">
      <formula>IF(AN15=0,1,0)</formula>
    </cfRule>
    <cfRule type="expression" dxfId="315" priority="3171" stopIfTrue="1">
      <formula>IF(AN15&gt;0,1,0)</formula>
    </cfRule>
  </conditionalFormatting>
  <conditionalFormatting sqref="BE15">
    <cfRule type="expression" dxfId="314" priority="3172" stopIfTrue="1">
      <formula>IF(#REF!&gt;6,#REF!-6,IF(#REF!=6,12,IF(#REF!&lt;6,#REF!+6)))</formula>
    </cfRule>
  </conditionalFormatting>
  <conditionalFormatting sqref="BG15">
    <cfRule type="cellIs" dxfId="313" priority="3173" stopIfTrue="1" operator="between">
      <formula>"-"</formula>
      <formula>"-"</formula>
    </cfRule>
    <cfRule type="cellIs" dxfId="312" priority="3174" stopIfTrue="1" operator="between">
      <formula>1</formula>
      <formula>40</formula>
    </cfRule>
  </conditionalFormatting>
  <conditionalFormatting sqref="U15">
    <cfRule type="expression" dxfId="311" priority="3175" stopIfTrue="1">
      <formula>IF(U15="A0-CĐ",1,0)</formula>
    </cfRule>
    <cfRule type="expression" dxfId="310" priority="3176" stopIfTrue="1">
      <formula>IF(U15="B-TC",1,0)</formula>
    </cfRule>
    <cfRule type="expression" dxfId="309" priority="3177" stopIfTrue="1">
      <formula>IF(U15="C-NV",1,0)</formula>
    </cfRule>
  </conditionalFormatting>
  <conditionalFormatting sqref="F15">
    <cfRule type="cellIs" dxfId="308" priority="3178" stopIfTrue="1" operator="between">
      <formula>"Nam"</formula>
      <formula>"Nam"</formula>
    </cfRule>
    <cfRule type="cellIs" dxfId="307" priority="3179" stopIfTrue="1" operator="between">
      <formula>"Nữ"</formula>
      <formula>"Nữ"</formula>
    </cfRule>
  </conditionalFormatting>
  <conditionalFormatting sqref="BC15">
    <cfRule type="expression" dxfId="306" priority="3180" stopIfTrue="1">
      <formula>IF(#REF!&gt;6,#REF!-6,IF(#REF!=6,12,IF(#REF!&lt;6,#REF!+6)))</formula>
    </cfRule>
  </conditionalFormatting>
  <conditionalFormatting sqref="BI15">
    <cfRule type="expression" dxfId="305" priority="3100" stopIfTrue="1">
      <formula>IF(BJ15="Trên 45",1,0)</formula>
    </cfRule>
    <cfRule type="expression" dxfId="304" priority="3101" stopIfTrue="1">
      <formula>IF(BJ15="30 - 45",1,0)</formula>
    </cfRule>
    <cfRule type="expression" dxfId="303" priority="3102" stopIfTrue="1">
      <formula>IF(BJ15="Dưới 30",1,0)</formula>
    </cfRule>
  </conditionalFormatting>
  <conditionalFormatting sqref="CU15">
    <cfRule type="expression" dxfId="302" priority="3103" stopIfTrue="1">
      <formula>IF(CV15&gt;0,1,0)</formula>
    </cfRule>
    <cfRule type="expression" dxfId="301" priority="3104" stopIfTrue="1">
      <formula>IF(CV15=0,1,0)</formula>
    </cfRule>
  </conditionalFormatting>
  <conditionalFormatting sqref="CT15">
    <cfRule type="expression" dxfId="300" priority="3105" stopIfTrue="1">
      <formula>12*(#REF!-CM15)+(#REF!-CK15)</formula>
    </cfRule>
  </conditionalFormatting>
  <conditionalFormatting sqref="CY15">
    <cfRule type="expression" dxfId="299" priority="3106" stopIfTrue="1">
      <formula>12*(#REF!-CQ15)+(#REF!-CO15)</formula>
    </cfRule>
  </conditionalFormatting>
  <conditionalFormatting sqref="CX15">
    <cfRule type="expression" dxfId="298" priority="3112" stopIfTrue="1">
      <formula>IF(OR(CX15=0.36),1,0)</formula>
    </cfRule>
    <cfRule type="expression" dxfId="297" priority="3113" stopIfTrue="1">
      <formula>IF(CX15=0.34,1,0)</formula>
    </cfRule>
    <cfRule type="expression" dxfId="296" priority="3114" stopIfTrue="1">
      <formula>IF(CX15&lt;0.33,1,0)</formula>
    </cfRule>
  </conditionalFormatting>
  <conditionalFormatting sqref="DA15">
    <cfRule type="cellIs" dxfId="295" priority="3115" stopIfTrue="1" operator="between">
      <formula>"Hưu"</formula>
      <formula>"Hưu"</formula>
    </cfRule>
    <cfRule type="cellIs" dxfId="294" priority="3116" stopIfTrue="1" operator="between">
      <formula>"---"</formula>
      <formula>"---"</formula>
    </cfRule>
    <cfRule type="cellIs" dxfId="293" priority="3117" stopIfTrue="1" operator="between">
      <formula>"Quá"</formula>
      <formula>"Quá"</formula>
    </cfRule>
  </conditionalFormatting>
  <conditionalFormatting sqref="CW15">
    <cfRule type="expression" dxfId="292" priority="3118" stopIfTrue="1">
      <formula>IF(OR(CW15=5.57,CW15=6.2),1,0)</formula>
    </cfRule>
    <cfRule type="expression" dxfId="291" priority="3119" stopIfTrue="1">
      <formula>IF(OR(CW15=4,CW15=4.4),1,0)</formula>
    </cfRule>
    <cfRule type="expression" dxfId="290" priority="3120" stopIfTrue="1">
      <formula>IF(AND(CW15&gt;0.9,CW15&lt;2.34),1,0)</formula>
    </cfRule>
  </conditionalFormatting>
  <conditionalFormatting sqref="CS15">
    <cfRule type="cellIs" dxfId="289" priority="3121" stopIfTrue="1" operator="between">
      <formula>1</formula>
      <formula>1</formula>
    </cfRule>
    <cfRule type="cellIs" dxfId="288" priority="3122" stopIfTrue="1" operator="between">
      <formula>2</formula>
      <formula>2</formula>
    </cfRule>
    <cfRule type="cellIs" dxfId="287" priority="3123" stopIfTrue="1" operator="between">
      <formula>3</formula>
      <formula>3</formula>
    </cfRule>
  </conditionalFormatting>
  <conditionalFormatting sqref="CV15">
    <cfRule type="expression" dxfId="286" priority="3124" stopIfTrue="1">
      <formula>IF(CV15&gt;0,1,0)</formula>
    </cfRule>
    <cfRule type="expression" dxfId="285" priority="3125" stopIfTrue="1">
      <formula>IF(CV15&lt;1,1,0)</formula>
    </cfRule>
  </conditionalFormatting>
  <conditionalFormatting sqref="CR15">
    <cfRule type="cellIs" dxfId="284" priority="3126" stopIfTrue="1" operator="between">
      <formula>"Đến"</formula>
      <formula>"Đến"</formula>
    </cfRule>
    <cfRule type="cellIs" dxfId="283" priority="3127" stopIfTrue="1" operator="between">
      <formula>"Quá"</formula>
      <formula>"Quá"</formula>
    </cfRule>
    <cfRule type="expression" dxfId="282" priority="3128" stopIfTrue="1">
      <formula>IF(OR(CR15="Lương Sớm Hưu",CR15="Nâng Ngạch Hưu"),1,0)</formula>
    </cfRule>
  </conditionalFormatting>
  <conditionalFormatting sqref="DB15:DC15">
    <cfRule type="expression" dxfId="281" priority="3129" stopIfTrue="1">
      <formula>IF(DB15&gt;0,1,0)</formula>
    </cfRule>
  </conditionalFormatting>
  <conditionalFormatting sqref="CQ15">
    <cfRule type="cellIs" dxfId="280" priority="3130" stopIfTrue="1" operator="between">
      <formula>"B"</formula>
      <formula>"B"</formula>
    </cfRule>
    <cfRule type="cellIs" dxfId="279" priority="3131" stopIfTrue="1" operator="between">
      <formula>"C"</formula>
      <formula>"C"</formula>
    </cfRule>
    <cfRule type="cellIs" dxfId="278" priority="3132" stopIfTrue="1" operator="between">
      <formula>"D"</formula>
      <formula>"D"</formula>
    </cfRule>
  </conditionalFormatting>
  <conditionalFormatting sqref="CP15">
    <cfRule type="cellIs" dxfId="277" priority="3133" stopIfTrue="1" operator="between">
      <formula>"công chức, viên chức"</formula>
      <formula>"công chức, viên chức"</formula>
    </cfRule>
    <cfRule type="cellIs" dxfId="276" priority="3134" stopIfTrue="1" operator="between">
      <formula>"lao động hợp đồng"</formula>
      <formula>"lao động hợp đồng"</formula>
    </cfRule>
  </conditionalFormatting>
  <conditionalFormatting sqref="CZ15">
    <cfRule type="expression" dxfId="275" priority="3135" stopIfTrue="1">
      <formula>IF(CZ15="Nâg Ngạch sau TB",1,0)</formula>
    </cfRule>
    <cfRule type="expression" dxfId="274" priority="3136" stopIfTrue="1">
      <formula>IF(CZ15="Nâg Lươg Sớm sau TB",1,0)</formula>
    </cfRule>
    <cfRule type="expression" dxfId="273" priority="3137" stopIfTrue="1">
      <formula>IF(CZ15="Nâg PC TNVK cùng QĐ",1,0)</formula>
    </cfRule>
  </conditionalFormatting>
  <conditionalFormatting sqref="CO15">
    <cfRule type="expression" dxfId="272" priority="3138" stopIfTrue="1">
      <formula>IF(CO15=0,1,0)</formula>
    </cfRule>
    <cfRule type="expression" dxfId="271" priority="3139" stopIfTrue="1">
      <formula>IF(CO15&gt;0,1,0)</formula>
    </cfRule>
  </conditionalFormatting>
  <conditionalFormatting sqref="BJ15">
    <cfRule type="expression" dxfId="270" priority="3107" stopIfTrue="1">
      <formula>IF(BJ15="Trên 45",1,0)</formula>
    </cfRule>
    <cfRule type="expression" dxfId="269" priority="3108" stopIfTrue="1">
      <formula>IF(BJ15="30 - 45",1,0)</formula>
    </cfRule>
    <cfRule type="expression" dxfId="268" priority="3109" stopIfTrue="1">
      <formula>IF(BJ15="Dưới 30",1,0)</formula>
    </cfRule>
  </conditionalFormatting>
  <conditionalFormatting sqref="BL15">
    <cfRule type="cellIs" dxfId="267" priority="3110" stopIfTrue="1" operator="between">
      <formula>"Có hạn"</formula>
      <formula>"Có hạn"</formula>
    </cfRule>
    <cfRule type="cellIs" dxfId="266" priority="3111" stopIfTrue="1" operator="between">
      <formula>"Ko hạn"</formula>
      <formula>"Ko hạn"</formula>
    </cfRule>
  </conditionalFormatting>
  <conditionalFormatting sqref="A15">
    <cfRule type="expression" dxfId="265" priority="3181" stopIfTrue="1">
      <formula>IF(#REF!="Hưu",1,0)</formula>
    </cfRule>
    <cfRule type="expression" dxfId="264" priority="3182" stopIfTrue="1">
      <formula>IF(#REF!="Quá",1,0)</formula>
    </cfRule>
  </conditionalFormatting>
  <conditionalFormatting sqref="AX15">
    <cfRule type="expression" dxfId="263" priority="3183" stopIfTrue="1">
      <formula>12*(#REF!-AP15)+(#REF!-AN15)</formula>
    </cfRule>
  </conditionalFormatting>
  <conditionalFormatting sqref="AS15">
    <cfRule type="expression" dxfId="262" priority="3184" stopIfTrue="1">
      <formula>12*(#REF!-AK15)+(#REF!-#REF!)</formula>
    </cfRule>
  </conditionalFormatting>
  <conditionalFormatting sqref="A10">
    <cfRule type="expression" dxfId="261" priority="3536" stopIfTrue="1">
      <formula>IF(#REF!="Hưu",1,0)</formula>
    </cfRule>
    <cfRule type="expression" dxfId="260" priority="3537" stopIfTrue="1">
      <formula>IF(#REF!="Quá",1,0)</formula>
    </cfRule>
  </conditionalFormatting>
  <conditionalFormatting sqref="A12:A14">
    <cfRule type="expression" dxfId="259" priority="3540" stopIfTrue="1">
      <formula>IF(#REF!="Hưu",1,0)</formula>
    </cfRule>
    <cfRule type="expression" dxfId="258" priority="3541" stopIfTrue="1">
      <formula>IF(#REF!="Quá",1,0)</formula>
    </cfRule>
  </conditionalFormatting>
  <conditionalFormatting sqref="BI16">
    <cfRule type="expression" dxfId="257" priority="276" stopIfTrue="1">
      <formula>IF(BJ16="Trên 45",1,0)</formula>
    </cfRule>
    <cfRule type="expression" dxfId="256" priority="277" stopIfTrue="1">
      <formula>IF(BJ16="30 - 45",1,0)</formula>
    </cfRule>
    <cfRule type="expression" dxfId="255" priority="278" stopIfTrue="1">
      <formula>IF(BJ16="Dưới 30",1,0)</formula>
    </cfRule>
  </conditionalFormatting>
  <conditionalFormatting sqref="AT16 CU16">
    <cfRule type="expression" dxfId="254" priority="274" stopIfTrue="1">
      <formula>IF(AU16&gt;0,1,0)</formula>
    </cfRule>
    <cfRule type="expression" dxfId="253" priority="275" stopIfTrue="1">
      <formula>IF(AU16=0,1,0)</formula>
    </cfRule>
  </conditionalFormatting>
  <conditionalFormatting sqref="AW16 CX16">
    <cfRule type="expression" dxfId="252" priority="271" stopIfTrue="1">
      <formula>IF(OR(AW16=0.36),1,0)</formula>
    </cfRule>
    <cfRule type="expression" dxfId="251" priority="272" stopIfTrue="1">
      <formula>IF(AW16=0.34,1,0)</formula>
    </cfRule>
    <cfRule type="expression" dxfId="250" priority="273" stopIfTrue="1">
      <formula>IF(AW16&lt;0.33,1,0)</formula>
    </cfRule>
  </conditionalFormatting>
  <conditionalFormatting sqref="AV16 CW16">
    <cfRule type="expression" dxfId="249" priority="268" stopIfTrue="1">
      <formula>IF(OR(AV16=5.57,AV16=6.2),1,0)</formula>
    </cfRule>
    <cfRule type="expression" dxfId="248" priority="269" stopIfTrue="1">
      <formula>IF(OR(AV16=4,AV16=4.4),1,0)</formula>
    </cfRule>
    <cfRule type="expression" dxfId="247" priority="270" stopIfTrue="1">
      <formula>IF(AND(AV16&gt;0.9,AV16&lt;2.34),1,0)</formula>
    </cfRule>
  </conditionalFormatting>
  <conditionalFormatting sqref="BD16">
    <cfRule type="expression" dxfId="246" priority="265" stopIfTrue="1">
      <formula>IF(BA16&gt;6,BB16,IF(BA16&lt;7,BB16-1))</formula>
    </cfRule>
  </conditionalFormatting>
  <conditionalFormatting sqref="BF16">
    <cfRule type="expression" dxfId="245" priority="264" stopIfTrue="1">
      <formula>IF(BC16&gt;6,BD16,IF(BC16&lt;7,BD16-1))</formula>
    </cfRule>
  </conditionalFormatting>
  <conditionalFormatting sqref="AZ16 DA16">
    <cfRule type="cellIs" dxfId="244" priority="261" stopIfTrue="1" operator="between">
      <formula>"Hưu"</formula>
      <formula>"Hưu"</formula>
    </cfRule>
    <cfRule type="cellIs" dxfId="243" priority="262" stopIfTrue="1" operator="between">
      <formula>"---"</formula>
      <formula>"---"</formula>
    </cfRule>
    <cfRule type="cellIs" dxfId="242" priority="263" stopIfTrue="1" operator="between">
      <formula>"Quá"</formula>
      <formula>"Quá"</formula>
    </cfRule>
  </conditionalFormatting>
  <conditionalFormatting sqref="AR16 CS16">
    <cfRule type="cellIs" dxfId="241" priority="258" stopIfTrue="1" operator="between">
      <formula>1</formula>
      <formula>1</formula>
    </cfRule>
    <cfRule type="cellIs" dxfId="240" priority="259" stopIfTrue="1" operator="between">
      <formula>2</formula>
      <formula>2</formula>
    </cfRule>
    <cfRule type="cellIs" dxfId="239" priority="260" stopIfTrue="1" operator="between">
      <formula>3</formula>
      <formula>3</formula>
    </cfRule>
  </conditionalFormatting>
  <conditionalFormatting sqref="AU16 CV16">
    <cfRule type="expression" dxfId="238" priority="256" stopIfTrue="1">
      <formula>IF(AU16&gt;0,1,0)</formula>
    </cfRule>
    <cfRule type="expression" dxfId="237" priority="257" stopIfTrue="1">
      <formula>IF(AU16&lt;1,1,0)</formula>
    </cfRule>
  </conditionalFormatting>
  <conditionalFormatting sqref="AQ16 CR16">
    <cfRule type="cellIs" dxfId="236" priority="253" stopIfTrue="1" operator="between">
      <formula>"Đến"</formula>
      <formula>"Đến"</formula>
    </cfRule>
    <cfRule type="cellIs" dxfId="235" priority="254" stopIfTrue="1" operator="between">
      <formula>"Quá"</formula>
      <formula>"Quá"</formula>
    </cfRule>
    <cfRule type="expression" dxfId="234" priority="255" stopIfTrue="1">
      <formula>IF(OR(AQ16="Lương Sớm Hưu",AQ16="Nâng Ngạch Hưu"),1,0)</formula>
    </cfRule>
  </conditionalFormatting>
  <conditionalFormatting sqref="BA16:BB16 DB16:DC16">
    <cfRule type="expression" dxfId="233" priority="252" stopIfTrue="1">
      <formula>IF(BA16&gt;0,1,0)</formula>
    </cfRule>
  </conditionalFormatting>
  <conditionalFormatting sqref="AP16 CQ16">
    <cfRule type="cellIs" dxfId="232" priority="249" stopIfTrue="1" operator="between">
      <formula>"B"</formula>
      <formula>"B"</formula>
    </cfRule>
    <cfRule type="cellIs" dxfId="231" priority="250" stopIfTrue="1" operator="between">
      <formula>"C"</formula>
      <formula>"C"</formula>
    </cfRule>
    <cfRule type="cellIs" dxfId="230" priority="251" stopIfTrue="1" operator="between">
      <formula>"D"</formula>
      <formula>"D"</formula>
    </cfRule>
  </conditionalFormatting>
  <conditionalFormatting sqref="AO16 CP16">
    <cfRule type="cellIs" dxfId="229" priority="247" stopIfTrue="1" operator="between">
      <formula>"công chức, viên chức"</formula>
      <formula>"công chức, viên chức"</formula>
    </cfRule>
    <cfRule type="cellIs" dxfId="228" priority="248" stopIfTrue="1" operator="between">
      <formula>"lao động hợp đồng"</formula>
      <formula>"lao động hợp đồng"</formula>
    </cfRule>
  </conditionalFormatting>
  <conditionalFormatting sqref="AY16 CZ16">
    <cfRule type="expression" dxfId="227" priority="244" stopIfTrue="1">
      <formula>IF(AY16="Nâg Ngạch sau TB",1,0)</formula>
    </cfRule>
    <cfRule type="expression" dxfId="226" priority="245" stopIfTrue="1">
      <formula>IF(AY16="Nâg Lươg Sớm sau TB",1,0)</formula>
    </cfRule>
    <cfRule type="expression" dxfId="225" priority="246" stopIfTrue="1">
      <formula>IF(AY16="Nâg PC TNVK cùng QĐ",1,0)</formula>
    </cfRule>
  </conditionalFormatting>
  <conditionalFormatting sqref="AN16 CO16">
    <cfRule type="expression" dxfId="224" priority="242" stopIfTrue="1">
      <formula>IF(AN16=0,1,0)</formula>
    </cfRule>
    <cfRule type="expression" dxfId="223" priority="243" stopIfTrue="1">
      <formula>IF(AN16&gt;0,1,0)</formula>
    </cfRule>
  </conditionalFormatting>
  <conditionalFormatting sqref="BG16">
    <cfRule type="cellIs" dxfId="222" priority="240" stopIfTrue="1" operator="between">
      <formula>"-"</formula>
      <formula>"-"</formula>
    </cfRule>
    <cfRule type="cellIs" dxfId="221" priority="241" stopIfTrue="1" operator="between">
      <formula>1</formula>
      <formula>40</formula>
    </cfRule>
  </conditionalFormatting>
  <conditionalFormatting sqref="U16">
    <cfRule type="expression" dxfId="220" priority="237" stopIfTrue="1">
      <formula>IF(U16="A0-CĐ",1,0)</formula>
    </cfRule>
    <cfRule type="expression" dxfId="219" priority="238" stopIfTrue="1">
      <formula>IF(U16="B-TC",1,0)</formula>
    </cfRule>
    <cfRule type="expression" dxfId="218" priority="239" stopIfTrue="1">
      <formula>IF(U16="C-NV",1,0)</formula>
    </cfRule>
  </conditionalFormatting>
  <conditionalFormatting sqref="BJ16">
    <cfRule type="expression" dxfId="217" priority="234" stopIfTrue="1">
      <formula>IF(BJ16="Trên 45",1,0)</formula>
    </cfRule>
    <cfRule type="expression" dxfId="216" priority="235" stopIfTrue="1">
      <formula>IF(BJ16="30 - 45",1,0)</formula>
    </cfRule>
    <cfRule type="expression" dxfId="215" priority="236" stopIfTrue="1">
      <formula>IF(BJ16="Dưới 30",1,0)</formula>
    </cfRule>
  </conditionalFormatting>
  <conditionalFormatting sqref="BL16">
    <cfRule type="cellIs" dxfId="214" priority="232" stopIfTrue="1" operator="between">
      <formula>"Có hạn"</formula>
      <formula>"Có hạn"</formula>
    </cfRule>
    <cfRule type="cellIs" dxfId="213" priority="233" stopIfTrue="1" operator="between">
      <formula>"Ko hạn"</formula>
      <formula>"Ko hạn"</formula>
    </cfRule>
  </conditionalFormatting>
  <conditionalFormatting sqref="BE16">
    <cfRule type="expression" dxfId="212" priority="229" stopIfTrue="1">
      <formula>IF(#REF!&gt;6,#REF!-6,IF(#REF!=6,12,IF(#REF!&lt;6,#REF!+6)))</formula>
    </cfRule>
  </conditionalFormatting>
  <conditionalFormatting sqref="BC16">
    <cfRule type="expression" dxfId="211" priority="228" stopIfTrue="1">
      <formula>IF(#REF!&gt;6,#REF!-6,IF(#REF!=6,12,IF(#REF!&lt;6,#REF!+6)))</formula>
    </cfRule>
  </conditionalFormatting>
  <conditionalFormatting sqref="CT16">
    <cfRule type="expression" dxfId="210" priority="227" stopIfTrue="1">
      <formula>12*(#REF!-CM16)+(#REF!-CK16)</formula>
    </cfRule>
  </conditionalFormatting>
  <conditionalFormatting sqref="CY16">
    <cfRule type="expression" dxfId="209" priority="226" stopIfTrue="1">
      <formula>12*(#REF!-CQ16)+(#REF!-CO16)</formula>
    </cfRule>
  </conditionalFormatting>
  <conditionalFormatting sqref="A16">
    <cfRule type="expression" dxfId="208" priority="224" stopIfTrue="1">
      <formula>IF(#REF!="Hưu",1,0)</formula>
    </cfRule>
    <cfRule type="expression" dxfId="207" priority="225" stopIfTrue="1">
      <formula>IF(#REF!="Quá",1,0)</formula>
    </cfRule>
  </conditionalFormatting>
  <conditionalFormatting sqref="AX16">
    <cfRule type="expression" dxfId="206" priority="223" stopIfTrue="1">
      <formula>12*(#REF!-AP16)+(#REF!-AN16)</formula>
    </cfRule>
  </conditionalFormatting>
  <conditionalFormatting sqref="AS16">
    <cfRule type="expression" dxfId="205" priority="222" stopIfTrue="1">
      <formula>12*(#REF!-AK16)+(#REF!-#REF!)</formula>
    </cfRule>
  </conditionalFormatting>
  <conditionalFormatting sqref="BI17:BI34 BI36:BI44">
    <cfRule type="expression" dxfId="204" priority="201" stopIfTrue="1">
      <formula>IF(BJ17="Trên 45",1,0)</formula>
    </cfRule>
    <cfRule type="expression" dxfId="203" priority="202" stopIfTrue="1">
      <formula>IF(BJ17="30 - 45",1,0)</formula>
    </cfRule>
    <cfRule type="expression" dxfId="202" priority="203" stopIfTrue="1">
      <formula>IF(BJ17="Dưới 30",1,0)</formula>
    </cfRule>
  </conditionalFormatting>
  <conditionalFormatting sqref="AT17 AS18:AS34 CU17:CU34 AS36:AS43 CU36:CU44 AS46:AS47">
    <cfRule type="expression" dxfId="201" priority="199" stopIfTrue="1">
      <formula>IF(AT17&gt;0,1,0)</formula>
    </cfRule>
    <cfRule type="expression" dxfId="200" priority="200" stopIfTrue="1">
      <formula>IF(AT17=0,1,0)</formula>
    </cfRule>
  </conditionalFormatting>
  <conditionalFormatting sqref="AW17 AV18:AV34 CX17:CX34 AV36:AV43 CX36:CX44 AV46:AV47">
    <cfRule type="expression" dxfId="199" priority="196" stopIfTrue="1">
      <formula>IF(OR(AV17=0.36),1,0)</formula>
    </cfRule>
    <cfRule type="expression" dxfId="198" priority="197" stopIfTrue="1">
      <formula>IF(AV17=0.34,1,0)</formula>
    </cfRule>
    <cfRule type="expression" dxfId="197" priority="198" stopIfTrue="1">
      <formula>IF(AV17&lt;0.33,1,0)</formula>
    </cfRule>
  </conditionalFormatting>
  <conditionalFormatting sqref="AV17 AU18:AU34 CW17:CW34 AU36:AU43 CW36:CW44 AU46:AU47">
    <cfRule type="expression" dxfId="196" priority="193" stopIfTrue="1">
      <formula>IF(OR(AU17=5.57,AU17=6.2),1,0)</formula>
    </cfRule>
    <cfRule type="expression" dxfId="195" priority="194" stopIfTrue="1">
      <formula>IF(OR(AU17=4,AU17=4.4),1,0)</formula>
    </cfRule>
    <cfRule type="expression" dxfId="194" priority="195" stopIfTrue="1">
      <formula>IF(AND(AU17&gt;0.9,AU17&lt;2.34),1,0)</formula>
    </cfRule>
  </conditionalFormatting>
  <conditionalFormatting sqref="AM18:AM34 AM36:AM43 AM46:AM47">
    <cfRule type="cellIs" dxfId="193" priority="191" stopIfTrue="1" operator="between">
      <formula>"CC,VC"</formula>
      <formula>"CC,VC"</formula>
    </cfRule>
    <cfRule type="cellIs" dxfId="192" priority="192" stopIfTrue="1" operator="between">
      <formula>"LĐHĐ"</formula>
      <formula>"LĐHĐ"</formula>
    </cfRule>
  </conditionalFormatting>
  <conditionalFormatting sqref="BD17 BC18:BC34 BC36:BC43 BC46:BC47">
    <cfRule type="expression" dxfId="191" priority="190" stopIfTrue="1">
      <formula>IF(AZ17&gt;6,BA17,IF(AZ17&lt;7,BA17-1))</formula>
    </cfRule>
  </conditionalFormatting>
  <conditionalFormatting sqref="BF17 BE18:BE34 BE36:BE43 BE46:BE47">
    <cfRule type="expression" dxfId="190" priority="189" stopIfTrue="1">
      <formula>IF(BB17&gt;6,BC17,IF(BB17&lt;7,BC17-1))</formula>
    </cfRule>
  </conditionalFormatting>
  <conditionalFormatting sqref="AZ17 AY18:AY34 DA17:DA34 AY36:AY43 DA36:DA44 AY46:AY47">
    <cfRule type="cellIs" dxfId="189" priority="186" stopIfTrue="1" operator="between">
      <formula>"Hưu"</formula>
      <formula>"Hưu"</formula>
    </cfRule>
    <cfRule type="cellIs" dxfId="188" priority="187" stopIfTrue="1" operator="between">
      <formula>"---"</formula>
      <formula>"---"</formula>
    </cfRule>
    <cfRule type="cellIs" dxfId="187" priority="188" stopIfTrue="1" operator="between">
      <formula>"Quá"</formula>
      <formula>"Quá"</formula>
    </cfRule>
  </conditionalFormatting>
  <conditionalFormatting sqref="AR17 AQ18:AQ34 CS17:CS34 AQ36:AQ43 CS36:CS44 AQ46:AQ47">
    <cfRule type="cellIs" dxfId="186" priority="183" stopIfTrue="1" operator="between">
      <formula>1</formula>
      <formula>1</formula>
    </cfRule>
    <cfRule type="cellIs" dxfId="185" priority="184" stopIfTrue="1" operator="between">
      <formula>2</formula>
      <formula>2</formula>
    </cfRule>
    <cfRule type="cellIs" dxfId="184" priority="185" stopIfTrue="1" operator="between">
      <formula>3</formula>
      <formula>3</formula>
    </cfRule>
  </conditionalFormatting>
  <conditionalFormatting sqref="AU17 AT18:AT34 CV17:CV34 AT36:AT43 CV36:CV44 AT46:AT47">
    <cfRule type="expression" dxfId="183" priority="181" stopIfTrue="1">
      <formula>IF(AT17&gt;0,1,0)</formula>
    </cfRule>
    <cfRule type="expression" dxfId="182" priority="182" stopIfTrue="1">
      <formula>IF(AT17&lt;1,1,0)</formula>
    </cfRule>
  </conditionalFormatting>
  <conditionalFormatting sqref="AQ17 AP18:AP34 CR17:CR34 AP36:AP43 CR36:CR44 AP46:AP47">
    <cfRule type="cellIs" dxfId="181" priority="178" stopIfTrue="1" operator="between">
      <formula>"Đến"</formula>
      <formula>"Đến"</formula>
    </cfRule>
    <cfRule type="cellIs" dxfId="180" priority="179" stopIfTrue="1" operator="between">
      <formula>"Quá"</formula>
      <formula>"Quá"</formula>
    </cfRule>
    <cfRule type="expression" dxfId="179" priority="180" stopIfTrue="1">
      <formula>IF(OR(AP17="Lương Sớm Hưu",AP17="Nâng Ngạch Hưu"),1,0)</formula>
    </cfRule>
  </conditionalFormatting>
  <conditionalFormatting sqref="BA17:BB17 AZ18:BA34 J18:M34 F18:F34 DB17:DC34 AZ36:BA43 J36:M43 F36:F43 DB36:DC44 AZ46:BA47 F46:F47 J46:M47">
    <cfRule type="expression" dxfId="178" priority="177" stopIfTrue="1">
      <formula>IF(F17&gt;0,1,0)</formula>
    </cfRule>
  </conditionalFormatting>
  <conditionalFormatting sqref="AP17 AO18:AO34 CQ17:CQ34 AO36:AO43 CQ36:CQ44 AO46:AO47">
    <cfRule type="cellIs" dxfId="177" priority="174" stopIfTrue="1" operator="between">
      <formula>"B"</formula>
      <formula>"B"</formula>
    </cfRule>
    <cfRule type="cellIs" dxfId="176" priority="175" stopIfTrue="1" operator="between">
      <formula>"C"</formula>
      <formula>"C"</formula>
    </cfRule>
    <cfRule type="cellIs" dxfId="175" priority="176" stopIfTrue="1" operator="between">
      <formula>"D"</formula>
      <formula>"D"</formula>
    </cfRule>
  </conditionalFormatting>
  <conditionalFormatting sqref="AO17 AN18:AN34 CP17:CP34 AN36:AN43 CP36:CP44 AN46:AN47">
    <cfRule type="cellIs" dxfId="174" priority="172" stopIfTrue="1" operator="between">
      <formula>"công chức, viên chức"</formula>
      <formula>"công chức, viên chức"</formula>
    </cfRule>
    <cfRule type="cellIs" dxfId="173" priority="173" stopIfTrue="1" operator="between">
      <formula>"lao động hợp đồng"</formula>
      <formula>"lao động hợp đồng"</formula>
    </cfRule>
  </conditionalFormatting>
  <conditionalFormatting sqref="AY17 AX18:AX34 CZ17:CZ34 AX36:AX43 CZ36:CZ44 AX46:AX47">
    <cfRule type="expression" dxfId="172" priority="169" stopIfTrue="1">
      <formula>IF(AX17="Nâg Ngạch sau TB",1,0)</formula>
    </cfRule>
    <cfRule type="expression" dxfId="171" priority="170" stopIfTrue="1">
      <formula>IF(AX17="Nâg Lươg Sớm sau TB",1,0)</formula>
    </cfRule>
    <cfRule type="expression" dxfId="170" priority="171" stopIfTrue="1">
      <formula>IF(AX17="Nâg PC TNVK cùng QĐ",1,0)</formula>
    </cfRule>
  </conditionalFormatting>
  <conditionalFormatting sqref="AN17 AL18:AL34 CO17:CO34 AL36:AL43 CO36:CO44 AL46:AL47">
    <cfRule type="expression" dxfId="169" priority="167" stopIfTrue="1">
      <formula>IF(AL17=0,1,0)</formula>
    </cfRule>
    <cfRule type="expression" dxfId="168" priority="168" stopIfTrue="1">
      <formula>IF(AL17&gt;0,1,0)</formula>
    </cfRule>
  </conditionalFormatting>
  <conditionalFormatting sqref="BG17 BF18:BF34 BF36:BF43 BF46:BF47">
    <cfRule type="cellIs" dxfId="167" priority="165" stopIfTrue="1" operator="between">
      <formula>"-"</formula>
      <formula>"-"</formula>
    </cfRule>
    <cfRule type="cellIs" dxfId="166" priority="166" stopIfTrue="1" operator="between">
      <formula>1</formula>
      <formula>40</formula>
    </cfRule>
  </conditionalFormatting>
  <conditionalFormatting sqref="U17 P18:T34 P36:T43 P46:T47">
    <cfRule type="expression" dxfId="165" priority="162" stopIfTrue="1">
      <formula>IF(P17="A0-CĐ",1,0)</formula>
    </cfRule>
    <cfRule type="expression" dxfId="164" priority="163" stopIfTrue="1">
      <formula>IF(P17="B-TC",1,0)</formula>
    </cfRule>
    <cfRule type="expression" dxfId="163" priority="164" stopIfTrue="1">
      <formula>IF(P17="C-NV",1,0)</formula>
    </cfRule>
  </conditionalFormatting>
  <conditionalFormatting sqref="BJ17:BJ34 BJ36:BJ44">
    <cfRule type="expression" dxfId="162" priority="159" stopIfTrue="1">
      <formula>IF(BJ17="Trên 45",1,0)</formula>
    </cfRule>
    <cfRule type="expression" dxfId="161" priority="160" stopIfTrue="1">
      <formula>IF(BJ17="30 - 45",1,0)</formula>
    </cfRule>
    <cfRule type="expression" dxfId="160" priority="161" stopIfTrue="1">
      <formula>IF(BJ17="Dưới 30",1,0)</formula>
    </cfRule>
  </conditionalFormatting>
  <conditionalFormatting sqref="BL17:BL34 BL36:BL44">
    <cfRule type="cellIs" dxfId="159" priority="157" stopIfTrue="1" operator="between">
      <formula>"Có hạn"</formula>
      <formula>"Có hạn"</formula>
    </cfRule>
    <cfRule type="cellIs" dxfId="158" priority="158" stopIfTrue="1" operator="between">
      <formula>"Ko hạn"</formula>
      <formula>"Ko hạn"</formula>
    </cfRule>
  </conditionalFormatting>
  <conditionalFormatting sqref="A18:A31 A36:A40">
    <cfRule type="expression" dxfId="157" priority="155" stopIfTrue="1">
      <formula>IF(AY21="Hưu",1,0)</formula>
    </cfRule>
    <cfRule type="expression" dxfId="156" priority="156" stopIfTrue="1">
      <formula>IF(AY21="Quá",1,0)</formula>
    </cfRule>
  </conditionalFormatting>
  <conditionalFormatting sqref="BE17">
    <cfRule type="expression" dxfId="155" priority="154" stopIfTrue="1">
      <formula>IF(#REF!&gt;6,#REF!-6,IF(#REF!=6,12,IF(#REF!&lt;6,#REF!+6)))</formula>
    </cfRule>
  </conditionalFormatting>
  <conditionalFormatting sqref="BC17">
    <cfRule type="expression" dxfId="154" priority="153" stopIfTrue="1">
      <formula>IF(#REF!&gt;6,#REF!-6,IF(#REF!=6,12,IF(#REF!&lt;6,#REF!+6)))</formula>
    </cfRule>
  </conditionalFormatting>
  <conditionalFormatting sqref="CT17">
    <cfRule type="expression" dxfId="153" priority="152" stopIfTrue="1">
      <formula>12*(#REF!-CM17)+(#REF!-CK17)</formula>
    </cfRule>
  </conditionalFormatting>
  <conditionalFormatting sqref="CY17">
    <cfRule type="expression" dxfId="152" priority="151" stopIfTrue="1">
      <formula>12*(#REF!-CQ17)+(#REF!-CO17)</formula>
    </cfRule>
  </conditionalFormatting>
  <conditionalFormatting sqref="A17">
    <cfRule type="expression" dxfId="151" priority="149" stopIfTrue="1">
      <formula>IF(#REF!="Hưu",1,0)</formula>
    </cfRule>
    <cfRule type="expression" dxfId="150" priority="150" stopIfTrue="1">
      <formula>IF(#REF!="Quá",1,0)</formula>
    </cfRule>
  </conditionalFormatting>
  <conditionalFormatting sqref="AX17">
    <cfRule type="expression" dxfId="149" priority="148" stopIfTrue="1">
      <formula>12*(#REF!-AP17)+(#REF!-AN17)</formula>
    </cfRule>
  </conditionalFormatting>
  <conditionalFormatting sqref="AS17">
    <cfRule type="expression" dxfId="148" priority="147" stopIfTrue="1">
      <formula>12*(#REF!-AK17)+(#REF!-#REF!)</formula>
    </cfRule>
  </conditionalFormatting>
  <conditionalFormatting sqref="CT44">
    <cfRule type="expression" dxfId="147" priority="146" stopIfTrue="1">
      <formula>12*(#REF!-CM44)+(#REF!-CK44)</formula>
    </cfRule>
  </conditionalFormatting>
  <conditionalFormatting sqref="CY44">
    <cfRule type="expression" dxfId="146" priority="145" stopIfTrue="1">
      <formula>12*(#REF!-CQ44)+(#REF!-CO44)</formula>
    </cfRule>
  </conditionalFormatting>
  <conditionalFormatting sqref="A44">
    <cfRule type="expression" dxfId="145" priority="143" stopIfTrue="1">
      <formula>IF(#REF!="Hưu",1,0)</formula>
    </cfRule>
    <cfRule type="expression" dxfId="144" priority="144" stopIfTrue="1">
      <formula>IF(#REF!="Quá",1,0)</formula>
    </cfRule>
  </conditionalFormatting>
  <conditionalFormatting sqref="BD36:BD43">
    <cfRule type="expression" dxfId="143" priority="142" stopIfTrue="1">
      <formula>IF(#REF!&gt;6,#REF!-6,IF(#REF!=6,12,IF(#REF!&lt;6,#REF!+6)))</formula>
    </cfRule>
  </conditionalFormatting>
  <conditionalFormatting sqref="AW36:AW43">
    <cfRule type="expression" dxfId="142" priority="141" stopIfTrue="1">
      <formula>12*(#REF!-AO36)+(#REF!-AL36)</formula>
    </cfRule>
  </conditionalFormatting>
  <conditionalFormatting sqref="CT36:CT43">
    <cfRule type="expression" dxfId="141" priority="140" stopIfTrue="1">
      <formula>12*(#REF!-CM36)+(#REF!-CK36)</formula>
    </cfRule>
  </conditionalFormatting>
  <conditionalFormatting sqref="CY36:CY43">
    <cfRule type="expression" dxfId="140" priority="139" stopIfTrue="1">
      <formula>12*(#REF!-CQ36)+(#REF!-CO36)</formula>
    </cfRule>
  </conditionalFormatting>
  <conditionalFormatting sqref="BG36:BG43">
    <cfRule type="expression" dxfId="139" priority="136" stopIfTrue="1">
      <formula>IF(AND(#REF!&gt;0,#REF!&lt;5),1,0)</formula>
    </cfRule>
    <cfRule type="expression" dxfId="138" priority="137" stopIfTrue="1">
      <formula>IF(#REF!=5,1,0)</formula>
    </cfRule>
    <cfRule type="expression" dxfId="137" priority="138" stopIfTrue="1">
      <formula>IF(#REF!&gt;5,1,0)</formula>
    </cfRule>
  </conditionalFormatting>
  <conditionalFormatting sqref="BB36:BB43">
    <cfRule type="expression" dxfId="136" priority="135" stopIfTrue="1">
      <formula>IF(#REF!&gt;6,#REF!-6,IF(#REF!=6,12,IF(#REF!&lt;6,#REF!+6)))</formula>
    </cfRule>
  </conditionalFormatting>
  <conditionalFormatting sqref="AR36:AR43">
    <cfRule type="expression" dxfId="135" priority="134" stopIfTrue="1">
      <formula>12*(#REF!-#REF!)+(#REF!-#REF!)</formula>
    </cfRule>
  </conditionalFormatting>
  <conditionalFormatting sqref="BD18:BD34">
    <cfRule type="expression" dxfId="134" priority="133" stopIfTrue="1">
      <formula>IF(#REF!&gt;6,#REF!-6,IF(#REF!=6,12,IF(#REF!&lt;6,#REF!+6)))</formula>
    </cfRule>
  </conditionalFormatting>
  <conditionalFormatting sqref="AW18:AW34">
    <cfRule type="expression" dxfId="133" priority="132" stopIfTrue="1">
      <formula>12*(#REF!-AO18)+(#REF!-AL18)</formula>
    </cfRule>
  </conditionalFormatting>
  <conditionalFormatting sqref="CT18:CT34">
    <cfRule type="expression" dxfId="132" priority="131" stopIfTrue="1">
      <formula>12*(#REF!-CM18)+(#REF!-CK18)</formula>
    </cfRule>
  </conditionalFormatting>
  <conditionalFormatting sqref="CY18:CY34">
    <cfRule type="expression" dxfId="131" priority="130" stopIfTrue="1">
      <formula>12*(#REF!-CQ18)+(#REF!-CO18)</formula>
    </cfRule>
  </conditionalFormatting>
  <conditionalFormatting sqref="BG18:BG34">
    <cfRule type="expression" dxfId="130" priority="127" stopIfTrue="1">
      <formula>IF(AND(#REF!&gt;0,#REF!&lt;5),1,0)</formula>
    </cfRule>
    <cfRule type="expression" dxfId="129" priority="128" stopIfTrue="1">
      <formula>IF(#REF!=5,1,0)</formula>
    </cfRule>
    <cfRule type="expression" dxfId="128" priority="129" stopIfTrue="1">
      <formula>IF(#REF!&gt;5,1,0)</formula>
    </cfRule>
  </conditionalFormatting>
  <conditionalFormatting sqref="BB18:BB34">
    <cfRule type="expression" dxfId="127" priority="126" stopIfTrue="1">
      <formula>IF(#REF!&gt;6,#REF!-6,IF(#REF!=6,12,IF(#REF!&lt;6,#REF!+6)))</formula>
    </cfRule>
  </conditionalFormatting>
  <conditionalFormatting sqref="AR18:AR34">
    <cfRule type="expression" dxfId="126" priority="125" stopIfTrue="1">
      <formula>12*(#REF!-#REF!)+(#REF!-#REF!)</formula>
    </cfRule>
  </conditionalFormatting>
  <conditionalFormatting sqref="A34">
    <cfRule type="expression" dxfId="125" priority="123" stopIfTrue="1">
      <formula>IF(AY126="Hưu",1,0)</formula>
    </cfRule>
    <cfRule type="expression" dxfId="124" priority="124" stopIfTrue="1">
      <formula>IF(AY126="Quá",1,0)</formula>
    </cfRule>
  </conditionalFormatting>
  <conditionalFormatting sqref="BI35">
    <cfRule type="expression" dxfId="123" priority="120" stopIfTrue="1">
      <formula>IF(BJ35="Trên 45",1,0)</formula>
    </cfRule>
    <cfRule type="expression" dxfId="122" priority="121" stopIfTrue="1">
      <formula>IF(BJ35="30 - 45",1,0)</formula>
    </cfRule>
    <cfRule type="expression" dxfId="121" priority="122" stopIfTrue="1">
      <formula>IF(BJ35="Dưới 30",1,0)</formula>
    </cfRule>
  </conditionalFormatting>
  <conditionalFormatting sqref="AT35 CU35">
    <cfRule type="expression" dxfId="120" priority="118" stopIfTrue="1">
      <formula>IF(AU35&gt;0,1,0)</formula>
    </cfRule>
    <cfRule type="expression" dxfId="119" priority="119" stopIfTrue="1">
      <formula>IF(AU35=0,1,0)</formula>
    </cfRule>
  </conditionalFormatting>
  <conditionalFormatting sqref="AW35 CX35">
    <cfRule type="expression" dxfId="118" priority="115" stopIfTrue="1">
      <formula>IF(OR(AW35=0.36),1,0)</formula>
    </cfRule>
    <cfRule type="expression" dxfId="117" priority="116" stopIfTrue="1">
      <formula>IF(AW35=0.34,1,0)</formula>
    </cfRule>
    <cfRule type="expression" dxfId="116" priority="117" stopIfTrue="1">
      <formula>IF(AW35&lt;0.33,1,0)</formula>
    </cfRule>
  </conditionalFormatting>
  <conditionalFormatting sqref="AV35 CW35">
    <cfRule type="expression" dxfId="115" priority="112" stopIfTrue="1">
      <formula>IF(OR(AV35=5.57,AV35=6.2),1,0)</formula>
    </cfRule>
    <cfRule type="expression" dxfId="114" priority="113" stopIfTrue="1">
      <formula>IF(OR(AV35=4,AV35=4.4),1,0)</formula>
    </cfRule>
    <cfRule type="expression" dxfId="113" priority="114" stopIfTrue="1">
      <formula>IF(AND(AV35&gt;0.9,AV35&lt;2.34),1,0)</formula>
    </cfRule>
  </conditionalFormatting>
  <conditionalFormatting sqref="BD35">
    <cfRule type="expression" dxfId="112" priority="111" stopIfTrue="1">
      <formula>IF(BA35&gt;6,BB35,IF(BA35&lt;7,BB35-1))</formula>
    </cfRule>
  </conditionalFormatting>
  <conditionalFormatting sqref="BF35">
    <cfRule type="expression" dxfId="111" priority="110" stopIfTrue="1">
      <formula>IF(BC35&gt;6,BD35,IF(BC35&lt;7,BD35-1))</formula>
    </cfRule>
  </conditionalFormatting>
  <conditionalFormatting sqref="AZ35 DA35">
    <cfRule type="cellIs" dxfId="110" priority="107" stopIfTrue="1" operator="between">
      <formula>"Hưu"</formula>
      <formula>"Hưu"</formula>
    </cfRule>
    <cfRule type="cellIs" dxfId="109" priority="108" stopIfTrue="1" operator="between">
      <formula>"---"</formula>
      <formula>"---"</formula>
    </cfRule>
    <cfRule type="cellIs" dxfId="108" priority="109" stopIfTrue="1" operator="between">
      <formula>"Quá"</formula>
      <formula>"Quá"</formula>
    </cfRule>
  </conditionalFormatting>
  <conditionalFormatting sqref="AR35 CS35">
    <cfRule type="cellIs" dxfId="107" priority="104" stopIfTrue="1" operator="between">
      <formula>1</formula>
      <formula>1</formula>
    </cfRule>
    <cfRule type="cellIs" dxfId="106" priority="105" stopIfTrue="1" operator="between">
      <formula>2</formula>
      <formula>2</formula>
    </cfRule>
    <cfRule type="cellIs" dxfId="105" priority="106" stopIfTrue="1" operator="between">
      <formula>3</formula>
      <formula>3</formula>
    </cfRule>
  </conditionalFormatting>
  <conditionalFormatting sqref="AU35 CV35">
    <cfRule type="expression" dxfId="104" priority="102" stopIfTrue="1">
      <formula>IF(AU35&gt;0,1,0)</formula>
    </cfRule>
    <cfRule type="expression" dxfId="103" priority="103" stopIfTrue="1">
      <formula>IF(AU35&lt;1,1,0)</formula>
    </cfRule>
  </conditionalFormatting>
  <conditionalFormatting sqref="AQ35 CR35">
    <cfRule type="cellIs" dxfId="102" priority="99" stopIfTrue="1" operator="between">
      <formula>"Đến"</formula>
      <formula>"Đến"</formula>
    </cfRule>
    <cfRule type="cellIs" dxfId="101" priority="100" stopIfTrue="1" operator="between">
      <formula>"Quá"</formula>
      <formula>"Quá"</formula>
    </cfRule>
    <cfRule type="expression" dxfId="100" priority="101" stopIfTrue="1">
      <formula>IF(OR(AQ35="Lương Sớm Hưu",AQ35="Nâng Ngạch Hưu"),1,0)</formula>
    </cfRule>
  </conditionalFormatting>
  <conditionalFormatting sqref="BA35:BB35 DB35:DC35">
    <cfRule type="expression" dxfId="99" priority="98" stopIfTrue="1">
      <formula>IF(BA35&gt;0,1,0)</formula>
    </cfRule>
  </conditionalFormatting>
  <conditionalFormatting sqref="AP35 CQ35">
    <cfRule type="cellIs" dxfId="98" priority="95" stopIfTrue="1" operator="between">
      <formula>"B"</formula>
      <formula>"B"</formula>
    </cfRule>
    <cfRule type="cellIs" dxfId="97" priority="96" stopIfTrue="1" operator="between">
      <formula>"C"</formula>
      <formula>"C"</formula>
    </cfRule>
    <cfRule type="cellIs" dxfId="96" priority="97" stopIfTrue="1" operator="between">
      <formula>"D"</formula>
      <formula>"D"</formula>
    </cfRule>
  </conditionalFormatting>
  <conditionalFormatting sqref="AO35 CP35">
    <cfRule type="cellIs" dxfId="95" priority="93" stopIfTrue="1" operator="between">
      <formula>"công chức, viên chức"</formula>
      <formula>"công chức, viên chức"</formula>
    </cfRule>
    <cfRule type="cellIs" dxfId="94" priority="94" stopIfTrue="1" operator="between">
      <formula>"lao động hợp đồng"</formula>
      <formula>"lao động hợp đồng"</formula>
    </cfRule>
  </conditionalFormatting>
  <conditionalFormatting sqref="AY35 CZ35">
    <cfRule type="expression" dxfId="93" priority="90" stopIfTrue="1">
      <formula>IF(AY35="Nâg Ngạch sau TB",1,0)</formula>
    </cfRule>
    <cfRule type="expression" dxfId="92" priority="91" stopIfTrue="1">
      <formula>IF(AY35="Nâg Lươg Sớm sau TB",1,0)</formula>
    </cfRule>
    <cfRule type="expression" dxfId="91" priority="92" stopIfTrue="1">
      <formula>IF(AY35="Nâg PC TNVK cùng QĐ",1,0)</formula>
    </cfRule>
  </conditionalFormatting>
  <conditionalFormatting sqref="AN35 CO35">
    <cfRule type="expression" dxfId="90" priority="88" stopIfTrue="1">
      <formula>IF(AN35=0,1,0)</formula>
    </cfRule>
    <cfRule type="expression" dxfId="89" priority="89" stopIfTrue="1">
      <formula>IF(AN35&gt;0,1,0)</formula>
    </cfRule>
  </conditionalFormatting>
  <conditionalFormatting sqref="BG35">
    <cfRule type="cellIs" dxfId="88" priority="86" stopIfTrue="1" operator="between">
      <formula>"-"</formula>
      <formula>"-"</formula>
    </cfRule>
    <cfRule type="cellIs" dxfId="87" priority="87" stopIfTrue="1" operator="between">
      <formula>1</formula>
      <formula>40</formula>
    </cfRule>
  </conditionalFormatting>
  <conditionalFormatting sqref="U35">
    <cfRule type="expression" dxfId="86" priority="83" stopIfTrue="1">
      <formula>IF(U35="A0-CĐ",1,0)</formula>
    </cfRule>
    <cfRule type="expression" dxfId="85" priority="84" stopIfTrue="1">
      <formula>IF(U35="B-TC",1,0)</formula>
    </cfRule>
    <cfRule type="expression" dxfId="84" priority="85" stopIfTrue="1">
      <formula>IF(U35="C-NV",1,0)</formula>
    </cfRule>
  </conditionalFormatting>
  <conditionalFormatting sqref="BJ35">
    <cfRule type="expression" dxfId="83" priority="80" stopIfTrue="1">
      <formula>IF(BJ35="Trên 45",1,0)</formula>
    </cfRule>
    <cfRule type="expression" dxfId="82" priority="81" stopIfTrue="1">
      <formula>IF(BJ35="30 - 45",1,0)</formula>
    </cfRule>
    <cfRule type="expression" dxfId="81" priority="82" stopIfTrue="1">
      <formula>IF(BJ35="Dưới 30",1,0)</formula>
    </cfRule>
  </conditionalFormatting>
  <conditionalFormatting sqref="BL35">
    <cfRule type="cellIs" dxfId="80" priority="78" stopIfTrue="1" operator="between">
      <formula>"Có hạn"</formula>
      <formula>"Có hạn"</formula>
    </cfRule>
    <cfRule type="cellIs" dxfId="79" priority="79" stopIfTrue="1" operator="between">
      <formula>"Ko hạn"</formula>
      <formula>"Ko hạn"</formula>
    </cfRule>
  </conditionalFormatting>
  <conditionalFormatting sqref="BE35">
    <cfRule type="expression" dxfId="78" priority="77" stopIfTrue="1">
      <formula>IF(#REF!&gt;6,#REF!-6,IF(#REF!=6,12,IF(#REF!&lt;6,#REF!+6)))</formula>
    </cfRule>
  </conditionalFormatting>
  <conditionalFormatting sqref="BC35">
    <cfRule type="expression" dxfId="77" priority="76" stopIfTrue="1">
      <formula>IF(#REF!&gt;6,#REF!-6,IF(#REF!=6,12,IF(#REF!&lt;6,#REF!+6)))</formula>
    </cfRule>
  </conditionalFormatting>
  <conditionalFormatting sqref="CT35">
    <cfRule type="expression" dxfId="76" priority="75" stopIfTrue="1">
      <formula>12*(#REF!-CM35)+(#REF!-CK35)</formula>
    </cfRule>
  </conditionalFormatting>
  <conditionalFormatting sqref="CY35">
    <cfRule type="expression" dxfId="75" priority="74" stopIfTrue="1">
      <formula>12*(#REF!-CQ35)+(#REF!-CO35)</formula>
    </cfRule>
  </conditionalFormatting>
  <conditionalFormatting sqref="A35">
    <cfRule type="expression" dxfId="74" priority="72" stopIfTrue="1">
      <formula>IF(#REF!="Hưu",1,0)</formula>
    </cfRule>
    <cfRule type="expression" dxfId="73" priority="73" stopIfTrue="1">
      <formula>IF(#REF!="Quá",1,0)</formula>
    </cfRule>
  </conditionalFormatting>
  <conditionalFormatting sqref="AX35">
    <cfRule type="expression" dxfId="72" priority="71" stopIfTrue="1">
      <formula>12*(#REF!-AP35)+(#REF!-AN35)</formula>
    </cfRule>
  </conditionalFormatting>
  <conditionalFormatting sqref="AS35">
    <cfRule type="expression" dxfId="71" priority="70" stopIfTrue="1">
      <formula>12*(#REF!-AK35)+(#REF!-#REF!)</formula>
    </cfRule>
  </conditionalFormatting>
  <conditionalFormatting sqref="BI45">
    <cfRule type="expression" dxfId="70" priority="67" stopIfTrue="1">
      <formula>IF(BJ45="Trên 45",1,0)</formula>
    </cfRule>
    <cfRule type="expression" dxfId="69" priority="68" stopIfTrue="1">
      <formula>IF(BJ45="30 - 45",1,0)</formula>
    </cfRule>
    <cfRule type="expression" dxfId="68" priority="69" stopIfTrue="1">
      <formula>IF(BJ45="Dưới 30",1,0)</formula>
    </cfRule>
  </conditionalFormatting>
  <conditionalFormatting sqref="AS45 CU45">
    <cfRule type="expression" dxfId="67" priority="65" stopIfTrue="1">
      <formula>IF(AT45&gt;0,1,0)</formula>
    </cfRule>
    <cfRule type="expression" dxfId="66" priority="66" stopIfTrue="1">
      <formula>IF(AT45=0,1,0)</formula>
    </cfRule>
  </conditionalFormatting>
  <conditionalFormatting sqref="AV45 CX45">
    <cfRule type="expression" dxfId="65" priority="62" stopIfTrue="1">
      <formula>IF(OR(AV45=0.36),1,0)</formula>
    </cfRule>
    <cfRule type="expression" dxfId="64" priority="63" stopIfTrue="1">
      <formula>IF(AV45=0.34,1,0)</formula>
    </cfRule>
    <cfRule type="expression" dxfId="63" priority="64" stopIfTrue="1">
      <formula>IF(AV45&lt;0.33,1,0)</formula>
    </cfRule>
  </conditionalFormatting>
  <conditionalFormatting sqref="AU45 CW45">
    <cfRule type="expression" dxfId="62" priority="59" stopIfTrue="1">
      <formula>IF(OR(AU45=5.57,AU45=6.2),1,0)</formula>
    </cfRule>
    <cfRule type="expression" dxfId="61" priority="60" stopIfTrue="1">
      <formula>IF(OR(AU45=4,AU45=4.4),1,0)</formula>
    </cfRule>
    <cfRule type="expression" dxfId="60" priority="61" stopIfTrue="1">
      <formula>IF(AND(AU45&gt;0.9,AU45&lt;2.34),1,0)</formula>
    </cfRule>
  </conditionalFormatting>
  <conditionalFormatting sqref="AM45">
    <cfRule type="cellIs" dxfId="59" priority="57" stopIfTrue="1" operator="between">
      <formula>"CC,VC"</formula>
      <formula>"CC,VC"</formula>
    </cfRule>
    <cfRule type="cellIs" dxfId="58" priority="58" stopIfTrue="1" operator="between">
      <formula>"LĐHĐ"</formula>
      <formula>"LĐHĐ"</formula>
    </cfRule>
  </conditionalFormatting>
  <conditionalFormatting sqref="BC45">
    <cfRule type="expression" dxfId="57" priority="56" stopIfTrue="1">
      <formula>IF(AZ45&gt;6,BA45,IF(AZ45&lt;7,BA45-1))</formula>
    </cfRule>
  </conditionalFormatting>
  <conditionalFormatting sqref="BE45">
    <cfRule type="expression" dxfId="56" priority="55" stopIfTrue="1">
      <formula>IF(BB45&gt;6,BC45,IF(BB45&lt;7,BC45-1))</formula>
    </cfRule>
  </conditionalFormatting>
  <conditionalFormatting sqref="AY45 DA45">
    <cfRule type="cellIs" dxfId="55" priority="52" stopIfTrue="1" operator="between">
      <formula>"Hưu"</formula>
      <formula>"Hưu"</formula>
    </cfRule>
    <cfRule type="cellIs" dxfId="54" priority="53" stopIfTrue="1" operator="between">
      <formula>"---"</formula>
      <formula>"---"</formula>
    </cfRule>
    <cfRule type="cellIs" dxfId="53" priority="54" stopIfTrue="1" operator="between">
      <formula>"Quá"</formula>
      <formula>"Quá"</formula>
    </cfRule>
  </conditionalFormatting>
  <conditionalFormatting sqref="AQ45 CS45">
    <cfRule type="cellIs" dxfId="52" priority="49" stopIfTrue="1" operator="between">
      <formula>1</formula>
      <formula>1</formula>
    </cfRule>
    <cfRule type="cellIs" dxfId="51" priority="50" stopIfTrue="1" operator="between">
      <formula>2</formula>
      <formula>2</formula>
    </cfRule>
    <cfRule type="cellIs" dxfId="50" priority="51" stopIfTrue="1" operator="between">
      <formula>3</formula>
      <formula>3</formula>
    </cfRule>
  </conditionalFormatting>
  <conditionalFormatting sqref="AT45 CV45">
    <cfRule type="expression" dxfId="49" priority="47" stopIfTrue="1">
      <formula>IF(AT45&gt;0,1,0)</formula>
    </cfRule>
    <cfRule type="expression" dxfId="48" priority="48" stopIfTrue="1">
      <formula>IF(AT45&lt;1,1,0)</formula>
    </cfRule>
  </conditionalFormatting>
  <conditionalFormatting sqref="AP45 CR45">
    <cfRule type="cellIs" dxfId="47" priority="44" stopIfTrue="1" operator="between">
      <formula>"Đến"</formula>
      <formula>"Đến"</formula>
    </cfRule>
    <cfRule type="cellIs" dxfId="46" priority="45" stopIfTrue="1" operator="between">
      <formula>"Quá"</formula>
      <formula>"Quá"</formula>
    </cfRule>
    <cfRule type="expression" dxfId="45" priority="46" stopIfTrue="1">
      <formula>IF(OR(AP45="Lương Sớm Hưu",AP45="Nâng Ngạch Hưu"),1,0)</formula>
    </cfRule>
  </conditionalFormatting>
  <conditionalFormatting sqref="AZ45:BA45 DB45:DC45">
    <cfRule type="expression" dxfId="44" priority="43" stopIfTrue="1">
      <formula>IF(AZ45&gt;0,1,0)</formula>
    </cfRule>
  </conditionalFormatting>
  <conditionalFormatting sqref="AO45 CQ45">
    <cfRule type="cellIs" dxfId="43" priority="40" stopIfTrue="1" operator="between">
      <formula>"B"</formula>
      <formula>"B"</formula>
    </cfRule>
    <cfRule type="cellIs" dxfId="42" priority="41" stopIfTrue="1" operator="between">
      <formula>"C"</formula>
      <formula>"C"</formula>
    </cfRule>
    <cfRule type="cellIs" dxfId="41" priority="42" stopIfTrue="1" operator="between">
      <formula>"D"</formula>
      <formula>"D"</formula>
    </cfRule>
  </conditionalFormatting>
  <conditionalFormatting sqref="AN45 CP45">
    <cfRule type="cellIs" dxfId="40" priority="38" stopIfTrue="1" operator="between">
      <formula>"công chức, viên chức"</formula>
      <formula>"công chức, viên chức"</formula>
    </cfRule>
    <cfRule type="cellIs" dxfId="39" priority="39" stopIfTrue="1" operator="between">
      <formula>"lao động hợp đồng"</formula>
      <formula>"lao động hợp đồng"</formula>
    </cfRule>
  </conditionalFormatting>
  <conditionalFormatting sqref="AX45 CZ45">
    <cfRule type="expression" dxfId="38" priority="35" stopIfTrue="1">
      <formula>IF(AX45="Nâg Ngạch sau TB",1,0)</formula>
    </cfRule>
    <cfRule type="expression" dxfId="37" priority="36" stopIfTrue="1">
      <formula>IF(AX45="Nâg Lươg Sớm sau TB",1,0)</formula>
    </cfRule>
    <cfRule type="expression" dxfId="36" priority="37" stopIfTrue="1">
      <formula>IF(AX45="Nâg PC TNVK cùng QĐ",1,0)</formula>
    </cfRule>
  </conditionalFormatting>
  <conditionalFormatting sqref="AL45 CO45">
    <cfRule type="expression" dxfId="35" priority="33" stopIfTrue="1">
      <formula>IF(AL45=0,1,0)</formula>
    </cfRule>
    <cfRule type="expression" dxfId="34" priority="34" stopIfTrue="1">
      <formula>IF(AL45&gt;0,1,0)</formula>
    </cfRule>
  </conditionalFormatting>
  <conditionalFormatting sqref="BF45">
    <cfRule type="cellIs" dxfId="33" priority="31" stopIfTrue="1" operator="between">
      <formula>"-"</formula>
      <formula>"-"</formula>
    </cfRule>
    <cfRule type="cellIs" dxfId="32" priority="32" stopIfTrue="1" operator="between">
      <formula>1</formula>
      <formula>40</formula>
    </cfRule>
  </conditionalFormatting>
  <conditionalFormatting sqref="P45:T45">
    <cfRule type="expression" dxfId="31" priority="28" stopIfTrue="1">
      <formula>IF(P45="A0-CĐ",1,0)</formula>
    </cfRule>
    <cfRule type="expression" dxfId="30" priority="29" stopIfTrue="1">
      <formula>IF(P45="B-TC",1,0)</formula>
    </cfRule>
    <cfRule type="expression" dxfId="29" priority="30" stopIfTrue="1">
      <formula>IF(P45="C-NV",1,0)</formula>
    </cfRule>
  </conditionalFormatting>
  <conditionalFormatting sqref="BJ45">
    <cfRule type="expression" dxfId="28" priority="25" stopIfTrue="1">
      <formula>IF(BJ45="Trên 45",1,0)</formula>
    </cfRule>
    <cfRule type="expression" dxfId="27" priority="26" stopIfTrue="1">
      <formula>IF(BJ45="30 - 45",1,0)</formula>
    </cfRule>
    <cfRule type="expression" dxfId="26" priority="27" stopIfTrue="1">
      <formula>IF(BJ45="Dưới 30",1,0)</formula>
    </cfRule>
  </conditionalFormatting>
  <conditionalFormatting sqref="BL45">
    <cfRule type="cellIs" dxfId="25" priority="23" stopIfTrue="1" operator="between">
      <formula>"Có hạn"</formula>
      <formula>"Có hạn"</formula>
    </cfRule>
    <cfRule type="cellIs" dxfId="24" priority="24" stopIfTrue="1" operator="between">
      <formula>"Ko hạn"</formula>
      <formula>"Ko hạn"</formula>
    </cfRule>
  </conditionalFormatting>
  <conditionalFormatting sqref="BD45">
    <cfRule type="expression" dxfId="23" priority="22" stopIfTrue="1">
      <formula>IF(#REF!&gt;6,#REF!-6,IF(#REF!=6,12,IF(#REF!&lt;6,#REF!+6)))</formula>
    </cfRule>
  </conditionalFormatting>
  <conditionalFormatting sqref="AW45">
    <cfRule type="expression" dxfId="22" priority="21" stopIfTrue="1">
      <formula>12*(#REF!-AO45)+(#REF!-AL45)</formula>
    </cfRule>
  </conditionalFormatting>
  <conditionalFormatting sqref="CT45">
    <cfRule type="expression" dxfId="21" priority="20" stopIfTrue="1">
      <formula>12*(#REF!-CM45)+(#REF!-CK45)</formula>
    </cfRule>
  </conditionalFormatting>
  <conditionalFormatting sqref="CY45">
    <cfRule type="expression" dxfId="20" priority="19" stopIfTrue="1">
      <formula>12*(#REF!-CQ45)+(#REF!-CO45)</formula>
    </cfRule>
  </conditionalFormatting>
  <conditionalFormatting sqref="BG45">
    <cfRule type="expression" dxfId="19" priority="16" stopIfTrue="1">
      <formula>IF(AND(#REF!&gt;0,#REF!&lt;5),1,0)</formula>
    </cfRule>
    <cfRule type="expression" dxfId="18" priority="17" stopIfTrue="1">
      <formula>IF(#REF!=5,1,0)</formula>
    </cfRule>
    <cfRule type="expression" dxfId="17" priority="18" stopIfTrue="1">
      <formula>IF(#REF!&gt;5,1,0)</formula>
    </cfRule>
  </conditionalFormatting>
  <conditionalFormatting sqref="BB45">
    <cfRule type="expression" dxfId="16" priority="15" stopIfTrue="1">
      <formula>IF(#REF!&gt;6,#REF!-6,IF(#REF!=6,12,IF(#REF!&lt;6,#REF!+6)))</formula>
    </cfRule>
  </conditionalFormatting>
  <conditionalFormatting sqref="AR45">
    <cfRule type="expression" dxfId="15" priority="14" stopIfTrue="1">
      <formula>12*(#REF!-#REF!)+(#REF!-#REF!)</formula>
    </cfRule>
  </conditionalFormatting>
  <conditionalFormatting sqref="AW46:AW47">
    <cfRule type="expression" dxfId="14" priority="11" stopIfTrue="1">
      <formula>12*(#REF!-AO46)+(#REF!-AL46)</formula>
    </cfRule>
  </conditionalFormatting>
  <conditionalFormatting sqref="BG46:BG47">
    <cfRule type="expression" dxfId="13" priority="8" stopIfTrue="1">
      <formula>IF(AND(#REF!&gt;0,#REF!&lt;5),1,0)</formula>
    </cfRule>
    <cfRule type="expression" dxfId="12" priority="9" stopIfTrue="1">
      <formula>IF(#REF!=5,1,0)</formula>
    </cfRule>
    <cfRule type="expression" dxfId="11" priority="10" stopIfTrue="1">
      <formula>IF(#REF!&gt;5,1,0)</formula>
    </cfRule>
  </conditionalFormatting>
  <conditionalFormatting sqref="BD46:BD47">
    <cfRule type="expression" dxfId="10" priority="7" stopIfTrue="1">
      <formula>IF(#REF!&gt;6,#REF!-6,IF(#REF!=6,12,IF(#REF!&lt;6,#REF!+6)))</formula>
    </cfRule>
  </conditionalFormatting>
  <conditionalFormatting sqref="AR46:AR47">
    <cfRule type="expression" dxfId="9" priority="6" stopIfTrue="1">
      <formula>12*(#REF!-#REF!)+(#REF!-#REF!)</formula>
    </cfRule>
  </conditionalFormatting>
  <conditionalFormatting sqref="BB46:BB47">
    <cfRule type="expression" dxfId="8" priority="5" stopIfTrue="1">
      <formula>IF(#REF!&gt;6,#REF!-6,IF(#REF!=6,12,IF(#REF!&lt;6,#REF!+6)))</formula>
    </cfRule>
  </conditionalFormatting>
  <conditionalFormatting sqref="A32:A33">
    <cfRule type="expression" dxfId="7" priority="3" stopIfTrue="1">
      <formula>IF(AY83="Hưu",1,0)</formula>
    </cfRule>
    <cfRule type="expression" dxfId="6" priority="4" stopIfTrue="1">
      <formula>IF(AY83="Quá",1,0)</formula>
    </cfRule>
  </conditionalFormatting>
  <conditionalFormatting sqref="A41:A43">
    <cfRule type="expression" dxfId="5" priority="1" stopIfTrue="1">
      <formula>IF(AY94="Hưu",1,0)</formula>
    </cfRule>
    <cfRule type="expression" dxfId="4" priority="2" stopIfTrue="1">
      <formula>IF(AY94="Quá",1,0)</formula>
    </cfRule>
  </conditionalFormatting>
  <conditionalFormatting sqref="A45">
    <cfRule type="expression" dxfId="3" priority="3544" stopIfTrue="1">
      <formula>IF(#REF!="Hưu",1,0)</formula>
    </cfRule>
    <cfRule type="expression" dxfId="2" priority="3545" stopIfTrue="1">
      <formula>IF(#REF!="Quá",1,0)</formula>
    </cfRule>
  </conditionalFormatting>
  <pageMargins left="0.45" right="0.2" top="0.25" bottom="0.2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58"/>
  <sheetViews>
    <sheetView tabSelected="1" topLeftCell="B1" workbookViewId="0">
      <selection activeCell="BA9" sqref="BA9"/>
    </sheetView>
  </sheetViews>
  <sheetFormatPr defaultRowHeight="15" x14ac:dyDescent="0.25"/>
  <cols>
    <col min="1" max="1" width="9.140625" hidden="1" customWidth="1"/>
    <col min="2" max="2" width="5.5703125" customWidth="1"/>
    <col min="3" max="3" width="9.140625" hidden="1" customWidth="1"/>
    <col min="4" max="4" width="22" customWidth="1"/>
    <col min="5" max="5" width="5.140625" customWidth="1"/>
    <col min="6" max="13" width="9.140625" hidden="1" customWidth="1"/>
    <col min="14" max="14" width="12" customWidth="1"/>
    <col min="15" max="15" width="25.28515625" customWidth="1"/>
    <col min="16" max="16" width="0.140625" hidden="1" customWidth="1"/>
    <col min="17" max="18" width="9.140625" hidden="1" customWidth="1"/>
    <col min="19" max="19" width="27" customWidth="1"/>
    <col min="20" max="20" width="12.5703125" customWidth="1"/>
    <col min="21" max="45" width="9.140625" hidden="1" customWidth="1"/>
    <col min="46" max="46" width="1.85546875" hidden="1" customWidth="1"/>
    <col min="47" max="47" width="3" customWidth="1"/>
    <col min="48" max="48" width="2.42578125" customWidth="1"/>
    <col min="49" max="49" width="3.140625" customWidth="1"/>
    <col min="50" max="50" width="2.7109375" customWidth="1"/>
    <col min="51" max="51" width="3.42578125" customWidth="1"/>
    <col min="52" max="52" width="1.28515625" customWidth="1"/>
    <col min="53" max="53" width="5" customWidth="1"/>
    <col min="54" max="60" width="9.140625" hidden="1" customWidth="1"/>
    <col min="61" max="61" width="9.5703125" customWidth="1"/>
  </cols>
  <sheetData>
    <row r="1" spans="1:98" s="228" customFormat="1" ht="15.75" customHeight="1" x14ac:dyDescent="0.25">
      <c r="B1" s="450" t="s">
        <v>0</v>
      </c>
      <c r="C1" s="450"/>
      <c r="D1" s="450"/>
      <c r="E1" s="450"/>
      <c r="F1" s="450"/>
      <c r="G1" s="450"/>
      <c r="H1" s="450"/>
      <c r="I1" s="450"/>
      <c r="J1" s="450"/>
      <c r="K1" s="450"/>
      <c r="L1" s="450"/>
      <c r="M1" s="450"/>
      <c r="N1" s="450"/>
      <c r="O1" s="450" t="s">
        <v>1</v>
      </c>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0"/>
      <c r="AX1" s="450"/>
      <c r="AY1" s="450"/>
      <c r="AZ1" s="450"/>
      <c r="BA1" s="450"/>
    </row>
    <row r="2" spans="1:98" s="228" customFormat="1" ht="17.25" customHeight="1" x14ac:dyDescent="0.25">
      <c r="B2" s="450" t="s">
        <v>2</v>
      </c>
      <c r="C2" s="450"/>
      <c r="D2" s="450"/>
      <c r="E2" s="450"/>
      <c r="F2" s="450"/>
      <c r="G2" s="450"/>
      <c r="H2" s="450"/>
      <c r="I2" s="450"/>
      <c r="J2" s="450"/>
      <c r="K2" s="450"/>
      <c r="L2" s="450"/>
      <c r="M2" s="450"/>
      <c r="N2" s="450"/>
      <c r="O2" s="451" t="s">
        <v>3</v>
      </c>
      <c r="P2" s="451"/>
      <c r="Q2" s="451"/>
      <c r="R2" s="451"/>
      <c r="S2" s="451"/>
      <c r="T2" s="451"/>
      <c r="U2" s="451"/>
      <c r="V2" s="451"/>
      <c r="W2" s="451"/>
      <c r="X2" s="451"/>
      <c r="Y2" s="451"/>
      <c r="Z2" s="451"/>
      <c r="AA2" s="451"/>
      <c r="AB2" s="451"/>
      <c r="AC2" s="451"/>
      <c r="AD2" s="451"/>
      <c r="AE2" s="451"/>
      <c r="AF2" s="451"/>
      <c r="AG2" s="451"/>
      <c r="AH2" s="451"/>
      <c r="AI2" s="451"/>
      <c r="AJ2" s="451"/>
      <c r="AK2" s="451"/>
      <c r="AL2" s="451"/>
      <c r="AM2" s="451"/>
      <c r="AN2" s="451"/>
      <c r="AO2" s="451"/>
      <c r="AP2" s="451"/>
      <c r="AQ2" s="451"/>
      <c r="AR2" s="451"/>
      <c r="AS2" s="451"/>
      <c r="AT2" s="451"/>
      <c r="AU2" s="451"/>
      <c r="AV2" s="451"/>
      <c r="AW2" s="451"/>
      <c r="AX2" s="451"/>
      <c r="AY2" s="451"/>
      <c r="AZ2" s="451"/>
      <c r="BA2" s="451"/>
    </row>
    <row r="3" spans="1:98" s="235" customFormat="1" ht="22.5" customHeight="1" x14ac:dyDescent="0.25">
      <c r="A3" s="229"/>
      <c r="B3" s="230"/>
      <c r="C3" s="229"/>
      <c r="D3" s="231"/>
      <c r="E3" s="232"/>
      <c r="F3" s="232"/>
      <c r="G3" s="232"/>
      <c r="H3" s="232"/>
      <c r="I3" s="232"/>
      <c r="J3" s="232"/>
      <c r="K3" s="232"/>
      <c r="L3" s="232"/>
      <c r="M3" s="232"/>
      <c r="N3" s="233"/>
      <c r="O3" s="436" t="s">
        <v>294</v>
      </c>
      <c r="P3" s="436"/>
      <c r="Q3" s="436"/>
      <c r="R3" s="436"/>
      <c r="S3" s="436"/>
      <c r="T3" s="436"/>
      <c r="U3" s="436"/>
      <c r="V3" s="436"/>
      <c r="W3" s="436"/>
      <c r="X3" s="436"/>
      <c r="Y3" s="436"/>
      <c r="Z3" s="436"/>
      <c r="AA3" s="436"/>
      <c r="AB3" s="436"/>
      <c r="AC3" s="436"/>
      <c r="AD3" s="436"/>
      <c r="AE3" s="436"/>
      <c r="AF3" s="436"/>
      <c r="AG3" s="436"/>
      <c r="AH3" s="436"/>
      <c r="AI3" s="436"/>
      <c r="AJ3" s="436"/>
      <c r="AK3" s="436"/>
      <c r="AL3" s="436"/>
      <c r="AM3" s="436"/>
      <c r="AN3" s="436"/>
      <c r="AO3" s="436"/>
      <c r="AP3" s="436"/>
      <c r="AQ3" s="436"/>
      <c r="AR3" s="436"/>
      <c r="AS3" s="436"/>
      <c r="AT3" s="436"/>
      <c r="AU3" s="436"/>
      <c r="AV3" s="436"/>
      <c r="AW3" s="436"/>
      <c r="AX3" s="436"/>
      <c r="AY3" s="436"/>
      <c r="AZ3" s="436"/>
      <c r="BA3" s="436"/>
      <c r="BB3" s="234"/>
      <c r="BC3" s="234"/>
      <c r="BD3" s="234"/>
      <c r="BE3" s="234"/>
      <c r="BF3" s="234"/>
      <c r="BG3" s="234"/>
      <c r="BH3" s="234"/>
    </row>
    <row r="4" spans="1:98" s="236" customFormat="1" ht="24" customHeight="1" x14ac:dyDescent="0.25">
      <c r="A4" s="231" t="s">
        <v>56</v>
      </c>
      <c r="B4" s="451" t="s">
        <v>293</v>
      </c>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c r="AL4" s="451"/>
      <c r="AM4" s="451"/>
      <c r="AN4" s="451"/>
      <c r="AO4" s="451"/>
      <c r="AP4" s="451"/>
      <c r="AQ4" s="451"/>
      <c r="AR4" s="451"/>
      <c r="AS4" s="451"/>
      <c r="AT4" s="451"/>
      <c r="AU4" s="451"/>
      <c r="AV4" s="451"/>
      <c r="AW4" s="451"/>
      <c r="AX4" s="451"/>
      <c r="AY4" s="451"/>
      <c r="AZ4" s="451"/>
      <c r="BA4" s="451"/>
      <c r="BB4" s="451"/>
      <c r="BC4" s="451"/>
      <c r="BD4" s="451"/>
      <c r="BE4" s="451"/>
      <c r="BF4" s="451"/>
      <c r="BG4" s="451"/>
      <c r="BH4" s="451"/>
      <c r="BI4" s="451"/>
    </row>
    <row r="5" spans="1:98" s="239" customFormat="1" ht="15" hidden="1" customHeight="1" x14ac:dyDescent="0.25">
      <c r="A5" s="230"/>
      <c r="B5" s="230"/>
      <c r="C5" s="230"/>
      <c r="D5" s="237" t="s">
        <v>57</v>
      </c>
      <c r="E5" s="238" t="e">
        <f>#REF!</f>
        <v>#REF!</v>
      </c>
      <c r="G5" s="240"/>
      <c r="H5" s="241"/>
      <c r="I5" s="242"/>
      <c r="J5" s="240"/>
      <c r="K5" s="240"/>
      <c r="L5" s="240"/>
      <c r="M5" s="240"/>
      <c r="N5" s="243" t="s">
        <v>58</v>
      </c>
      <c r="O5" s="244"/>
      <c r="P5" s="244"/>
      <c r="Q5" s="244"/>
      <c r="R5" s="244"/>
      <c r="S5" s="236"/>
      <c r="T5" s="245"/>
      <c r="U5" s="246"/>
      <c r="V5" s="246"/>
      <c r="W5" s="240"/>
      <c r="X5" s="242"/>
      <c r="Y5" s="240"/>
      <c r="Z5" s="242"/>
      <c r="AA5" s="240"/>
      <c r="AB5" s="241"/>
      <c r="AC5" s="241"/>
      <c r="AD5" s="247"/>
      <c r="AE5" s="240"/>
      <c r="AF5" s="248"/>
      <c r="AG5" s="249"/>
      <c r="AH5" s="236" t="s">
        <v>59</v>
      </c>
      <c r="AI5" s="236"/>
      <c r="AU5" s="236"/>
      <c r="AV5" s="250"/>
      <c r="AX5" s="236"/>
      <c r="BA5" s="250"/>
    </row>
    <row r="6" spans="1:98" s="236" customFormat="1" ht="1.5" hidden="1" customHeight="1" x14ac:dyDescent="0.25">
      <c r="B6" s="251" t="s">
        <v>6</v>
      </c>
      <c r="D6" s="243"/>
      <c r="N6" s="243"/>
      <c r="O6" s="243"/>
      <c r="T6" s="251"/>
    </row>
    <row r="7" spans="1:98" s="236" customFormat="1" ht="16.5" x14ac:dyDescent="0.25">
      <c r="A7" s="138"/>
      <c r="B7" s="251"/>
      <c r="D7" s="236" t="s">
        <v>60</v>
      </c>
      <c r="G7" s="252"/>
      <c r="H7" s="253"/>
      <c r="I7" s="253"/>
      <c r="J7" s="253"/>
      <c r="K7" s="253"/>
      <c r="L7" s="253"/>
      <c r="M7" s="253"/>
      <c r="N7" s="243"/>
      <c r="O7" s="254"/>
      <c r="P7" s="255"/>
      <c r="Q7" s="255"/>
      <c r="R7" s="255"/>
      <c r="T7" s="256"/>
      <c r="AF7" s="257"/>
      <c r="BA7" s="258"/>
      <c r="BB7" s="259"/>
      <c r="BH7" s="260"/>
      <c r="BJ7" s="261"/>
      <c r="BK7" s="261"/>
      <c r="BR7" s="251"/>
      <c r="BS7" s="251"/>
      <c r="BT7" s="251"/>
      <c r="BU7" s="251"/>
      <c r="BW7" s="257"/>
      <c r="BX7" s="262"/>
      <c r="BY7" s="138"/>
    </row>
    <row r="8" spans="1:98" s="236" customFormat="1" ht="16.5" x14ac:dyDescent="0.25">
      <c r="A8" s="138"/>
      <c r="B8" s="251"/>
      <c r="D8" s="250" t="s">
        <v>61</v>
      </c>
      <c r="E8" s="250"/>
      <c r="F8" s="250"/>
      <c r="G8" s="250"/>
      <c r="H8" s="250"/>
      <c r="I8" s="250"/>
      <c r="J8" s="250"/>
      <c r="K8" s="250"/>
      <c r="L8" s="250"/>
      <c r="M8" s="250"/>
      <c r="N8" s="243"/>
      <c r="O8" s="244"/>
      <c r="P8" s="250"/>
      <c r="Q8" s="250"/>
      <c r="R8" s="250"/>
      <c r="T8" s="263"/>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V8" s="250"/>
      <c r="BA8" s="258"/>
      <c r="BB8" s="259"/>
      <c r="BH8" s="260"/>
      <c r="BJ8" s="261"/>
      <c r="BK8" s="261" t="s">
        <v>56</v>
      </c>
      <c r="BR8" s="251"/>
      <c r="BS8" s="251"/>
      <c r="BT8" s="251"/>
      <c r="BU8" s="251"/>
      <c r="BW8" s="257"/>
      <c r="BX8" s="262"/>
      <c r="BY8" s="138"/>
    </row>
    <row r="9" spans="1:98" s="236" customFormat="1" ht="15" customHeight="1" x14ac:dyDescent="0.25">
      <c r="A9" s="138"/>
      <c r="B9" s="251" t="s">
        <v>6</v>
      </c>
      <c r="D9" s="250" t="s">
        <v>295</v>
      </c>
      <c r="E9" s="250"/>
      <c r="F9" s="250"/>
      <c r="G9" s="250"/>
      <c r="H9" s="250"/>
      <c r="I9" s="250"/>
      <c r="J9" s="250"/>
      <c r="K9" s="250"/>
      <c r="L9" s="250"/>
      <c r="M9" s="250"/>
      <c r="N9" s="243"/>
      <c r="O9" s="244"/>
      <c r="P9" s="250"/>
      <c r="Q9" s="250"/>
      <c r="R9" s="250"/>
      <c r="T9" s="263"/>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V9" s="250"/>
      <c r="BA9" s="258"/>
      <c r="BB9" s="259"/>
      <c r="BH9" s="260"/>
      <c r="BJ9" s="261"/>
      <c r="BK9" s="261"/>
      <c r="BR9" s="251"/>
      <c r="BS9" s="251"/>
      <c r="BT9" s="251"/>
      <c r="BU9" s="251"/>
      <c r="BW9" s="257"/>
      <c r="BX9" s="262"/>
      <c r="BY9" s="138"/>
    </row>
    <row r="10" spans="1:98" s="239" customFormat="1" ht="16.5" x14ac:dyDescent="0.25">
      <c r="A10" s="229"/>
      <c r="B10" s="230"/>
      <c r="C10" s="229"/>
      <c r="D10" s="250" t="s">
        <v>99</v>
      </c>
      <c r="E10" s="250"/>
      <c r="F10" s="250"/>
      <c r="G10" s="250"/>
      <c r="H10" s="250"/>
      <c r="I10" s="250"/>
      <c r="J10" s="250"/>
      <c r="K10" s="250"/>
      <c r="L10" s="250"/>
      <c r="M10" s="250"/>
      <c r="N10" s="243"/>
      <c r="O10" s="244"/>
      <c r="P10" s="250"/>
      <c r="Q10" s="250"/>
      <c r="R10" s="250"/>
      <c r="S10" s="236"/>
      <c r="T10" s="263"/>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36"/>
      <c r="AV10" s="250"/>
      <c r="AW10" s="236"/>
      <c r="AX10" s="236"/>
      <c r="BA10" s="250"/>
    </row>
    <row r="11" spans="1:98" s="242" customFormat="1" ht="12.75" customHeight="1" thickBot="1" x14ac:dyDescent="0.3">
      <c r="A11" s="229"/>
      <c r="B11" s="230"/>
      <c r="C11" s="229"/>
      <c r="D11" s="264" t="s">
        <v>62</v>
      </c>
      <c r="E11" s="265">
        <v>33</v>
      </c>
      <c r="I11" s="266"/>
      <c r="J11" s="267"/>
      <c r="K11" s="267"/>
      <c r="L11" s="267"/>
      <c r="M11" s="267"/>
      <c r="N11" s="243"/>
      <c r="O11" s="268"/>
      <c r="P11" s="241"/>
      <c r="Q11" s="241"/>
      <c r="R11" s="241"/>
      <c r="S11" s="236"/>
      <c r="T11" s="240"/>
      <c r="W11" s="241"/>
      <c r="Y11" s="241"/>
      <c r="AA11" s="241"/>
      <c r="AB11" s="241"/>
      <c r="AC11" s="241"/>
      <c r="AD11" s="269"/>
      <c r="AE11" s="240"/>
      <c r="AF11" s="228"/>
      <c r="AH11" s="228"/>
      <c r="AI11" s="228"/>
      <c r="AJ11" s="267"/>
      <c r="AK11" s="267"/>
      <c r="AU11" s="236"/>
      <c r="AV11" s="241"/>
      <c r="AX11" s="232"/>
      <c r="BA11" s="241"/>
    </row>
    <row r="12" spans="1:98" s="239" customFormat="1" ht="6.75" hidden="1" customHeight="1" x14ac:dyDescent="0.25">
      <c r="A12" s="229"/>
      <c r="B12" s="230"/>
      <c r="C12" s="229"/>
      <c r="D12" s="243"/>
      <c r="E12" s="240"/>
      <c r="F12" s="242"/>
      <c r="G12" s="242"/>
      <c r="H12" s="242"/>
      <c r="I12" s="266"/>
      <c r="J12" s="267"/>
      <c r="K12" s="267"/>
      <c r="L12" s="267"/>
      <c r="M12" s="267"/>
      <c r="N12" s="243"/>
      <c r="O12" s="268"/>
      <c r="P12" s="241"/>
      <c r="Q12" s="241"/>
      <c r="R12" s="241"/>
      <c r="S12" s="236"/>
      <c r="T12" s="240"/>
      <c r="U12" s="242"/>
      <c r="V12" s="242"/>
      <c r="W12" s="241"/>
      <c r="X12" s="242"/>
      <c r="Y12" s="241"/>
      <c r="Z12" s="242"/>
      <c r="AA12" s="241"/>
      <c r="AB12" s="241"/>
      <c r="AC12" s="241"/>
      <c r="AD12" s="269"/>
      <c r="AE12" s="240"/>
      <c r="AF12" s="236"/>
      <c r="AH12" s="236"/>
      <c r="AI12" s="236"/>
      <c r="AJ12" s="267"/>
      <c r="AK12" s="267"/>
      <c r="AU12" s="236"/>
      <c r="AV12" s="250"/>
      <c r="AX12" s="236"/>
      <c r="BA12" s="250"/>
    </row>
    <row r="13" spans="1:98" s="271" customFormat="1" ht="33" customHeight="1" x14ac:dyDescent="0.25">
      <c r="A13" s="236" t="s">
        <v>12</v>
      </c>
      <c r="B13" s="608" t="s">
        <v>12</v>
      </c>
      <c r="C13" s="609"/>
      <c r="D13" s="610" t="s">
        <v>63</v>
      </c>
      <c r="E13" s="610" t="s">
        <v>98</v>
      </c>
      <c r="F13" s="609" t="s">
        <v>64</v>
      </c>
      <c r="G13" s="609"/>
      <c r="H13" s="609"/>
      <c r="I13" s="609"/>
      <c r="J13" s="609"/>
      <c r="K13" s="609"/>
      <c r="L13" s="609"/>
      <c r="M13" s="609"/>
      <c r="N13" s="610" t="s">
        <v>65</v>
      </c>
      <c r="O13" s="610"/>
      <c r="P13" s="609"/>
      <c r="Q13" s="609"/>
      <c r="R13" s="610" t="s">
        <v>66</v>
      </c>
      <c r="S13" s="610"/>
      <c r="T13" s="610"/>
      <c r="U13" s="610" t="s">
        <v>18</v>
      </c>
      <c r="V13" s="611"/>
      <c r="W13" s="611"/>
      <c r="X13" s="609" t="s">
        <v>67</v>
      </c>
      <c r="Y13" s="609"/>
      <c r="Z13" s="609"/>
      <c r="AA13" s="609"/>
      <c r="AB13" s="609"/>
      <c r="AC13" s="609"/>
      <c r="AD13" s="609"/>
      <c r="AE13" s="609" t="s">
        <v>20</v>
      </c>
      <c r="AF13" s="609"/>
      <c r="AG13" s="609"/>
      <c r="AH13" s="609"/>
      <c r="AI13" s="609"/>
      <c r="AJ13" s="609"/>
      <c r="AK13" s="609"/>
      <c r="AL13" s="609"/>
      <c r="AM13" s="609"/>
      <c r="AN13" s="609"/>
      <c r="AO13" s="609"/>
      <c r="AP13" s="609"/>
      <c r="AQ13" s="609"/>
      <c r="AR13" s="609"/>
      <c r="AS13" s="609"/>
      <c r="AT13" s="609"/>
      <c r="AU13" s="610" t="s">
        <v>68</v>
      </c>
      <c r="AV13" s="610"/>
      <c r="AW13" s="610"/>
      <c r="AX13" s="610"/>
      <c r="AY13" s="610"/>
      <c r="AZ13" s="610"/>
      <c r="BA13" s="610"/>
      <c r="BB13" s="609"/>
      <c r="BC13" s="610" t="s">
        <v>69</v>
      </c>
      <c r="BD13" s="610" t="s">
        <v>20</v>
      </c>
      <c r="BE13" s="609"/>
      <c r="BF13" s="609"/>
      <c r="BG13" s="609"/>
      <c r="BH13" s="610" t="s">
        <v>69</v>
      </c>
      <c r="BI13" s="612" t="s">
        <v>69</v>
      </c>
    </row>
    <row r="14" spans="1:98" s="236" customFormat="1" ht="27.75" customHeight="1" x14ac:dyDescent="0.25">
      <c r="B14" s="613"/>
      <c r="C14" s="333"/>
      <c r="D14" s="449"/>
      <c r="E14" s="449"/>
      <c r="F14" s="333"/>
      <c r="G14" s="333"/>
      <c r="H14" s="333"/>
      <c r="I14" s="333"/>
      <c r="J14" s="333"/>
      <c r="K14" s="333"/>
      <c r="L14" s="333"/>
      <c r="M14" s="333"/>
      <c r="N14" s="449"/>
      <c r="O14" s="449"/>
      <c r="P14" s="333"/>
      <c r="Q14" s="333"/>
      <c r="R14" s="449"/>
      <c r="S14" s="449"/>
      <c r="T14" s="449"/>
      <c r="U14" s="449"/>
      <c r="V14" s="333"/>
      <c r="W14" s="333"/>
      <c r="X14" s="333" t="s">
        <v>70</v>
      </c>
      <c r="Y14" s="333"/>
      <c r="Z14" s="333" t="s">
        <v>71</v>
      </c>
      <c r="AA14" s="333"/>
      <c r="AB14" s="333" t="s">
        <v>72</v>
      </c>
      <c r="AC14" s="333"/>
      <c r="AD14" s="333"/>
      <c r="AE14" s="333"/>
      <c r="AF14" s="333" t="s">
        <v>73</v>
      </c>
      <c r="AG14" s="333" t="s">
        <v>74</v>
      </c>
      <c r="AH14" s="272" t="s">
        <v>75</v>
      </c>
      <c r="AI14" s="333"/>
      <c r="AJ14" s="333"/>
      <c r="AK14" s="270"/>
      <c r="AL14" s="270"/>
      <c r="AM14" s="270"/>
      <c r="AN14" s="270"/>
      <c r="AO14" s="270"/>
      <c r="AP14" s="270"/>
      <c r="AQ14" s="333"/>
      <c r="AR14" s="333"/>
      <c r="AS14" s="333"/>
      <c r="AT14" s="333"/>
      <c r="AU14" s="449" t="s">
        <v>70</v>
      </c>
      <c r="AV14" s="449"/>
      <c r="AW14" s="449" t="s">
        <v>71</v>
      </c>
      <c r="AX14" s="449"/>
      <c r="AY14" s="449" t="s">
        <v>76</v>
      </c>
      <c r="AZ14" s="449"/>
      <c r="BA14" s="449"/>
      <c r="BB14" s="333"/>
      <c r="BC14" s="449"/>
      <c r="BD14" s="449"/>
      <c r="BE14" s="333"/>
      <c r="BF14" s="333"/>
      <c r="BG14" s="333"/>
      <c r="BH14" s="449"/>
      <c r="BI14" s="614"/>
    </row>
    <row r="15" spans="1:98" s="236" customFormat="1" ht="30.75" hidden="1" customHeight="1" x14ac:dyDescent="0.25">
      <c r="A15" s="236" t="s">
        <v>77</v>
      </c>
      <c r="B15" s="615"/>
      <c r="C15" s="274"/>
      <c r="D15" s="275" t="s">
        <v>78</v>
      </c>
      <c r="E15" s="274" t="s">
        <v>79</v>
      </c>
      <c r="F15" s="274"/>
      <c r="G15" s="274"/>
      <c r="H15" s="274"/>
      <c r="I15" s="274"/>
      <c r="J15" s="274"/>
      <c r="K15" s="274"/>
      <c r="L15" s="274"/>
      <c r="M15" s="274"/>
      <c r="N15" s="275" t="s">
        <v>80</v>
      </c>
      <c r="O15" s="275" t="s">
        <v>81</v>
      </c>
      <c r="P15" s="274"/>
      <c r="Q15" s="274"/>
      <c r="R15" s="274"/>
      <c r="S15" s="274"/>
      <c r="T15" s="273"/>
      <c r="U15" s="274" t="s">
        <v>82</v>
      </c>
      <c r="V15" s="274" t="s">
        <v>83</v>
      </c>
      <c r="W15" s="274"/>
      <c r="X15" s="274" t="s">
        <v>84</v>
      </c>
      <c r="Y15" s="274"/>
      <c r="Z15" s="274" t="s">
        <v>85</v>
      </c>
      <c r="AA15" s="274"/>
      <c r="AB15" s="274" t="s">
        <v>86</v>
      </c>
      <c r="AC15" s="274"/>
      <c r="AD15" s="274"/>
      <c r="AE15" s="274"/>
      <c r="AF15" s="274"/>
      <c r="AG15" s="274"/>
      <c r="AH15" s="274"/>
      <c r="AI15" s="274"/>
      <c r="AJ15" s="274"/>
      <c r="AK15" s="274"/>
      <c r="AL15" s="274"/>
      <c r="AM15" s="274"/>
      <c r="AN15" s="274"/>
      <c r="AO15" s="274"/>
      <c r="AP15" s="274"/>
      <c r="AQ15" s="274"/>
      <c r="AR15" s="274"/>
      <c r="AS15" s="274"/>
      <c r="AT15" s="274"/>
      <c r="AU15" s="274" t="s">
        <v>83</v>
      </c>
      <c r="AV15" s="274"/>
      <c r="AW15" s="274" t="s">
        <v>84</v>
      </c>
      <c r="AX15" s="274"/>
      <c r="AY15" s="274" t="s">
        <v>85</v>
      </c>
      <c r="AZ15" s="147"/>
      <c r="BA15" s="274" t="s">
        <v>86</v>
      </c>
      <c r="BB15" s="274"/>
      <c r="BC15" s="274"/>
      <c r="BD15" s="274"/>
      <c r="BE15" s="274"/>
      <c r="BF15" s="274"/>
      <c r="BG15" s="274"/>
      <c r="BH15" s="274"/>
      <c r="BI15" s="616"/>
    </row>
    <row r="16" spans="1:98" x14ac:dyDescent="0.25">
      <c r="A16" t="s">
        <v>87</v>
      </c>
      <c r="B16" s="548">
        <v>1</v>
      </c>
      <c r="C16" s="331"/>
      <c r="D16" s="331">
        <v>2</v>
      </c>
      <c r="E16" s="331">
        <v>3</v>
      </c>
      <c r="F16" s="331"/>
      <c r="G16" s="331"/>
      <c r="H16" s="331"/>
      <c r="I16" s="331"/>
      <c r="J16" s="331"/>
      <c r="K16" s="331"/>
      <c r="L16" s="331"/>
      <c r="M16" s="331"/>
      <c r="N16" s="445">
        <v>4</v>
      </c>
      <c r="O16" s="445"/>
      <c r="P16" s="331"/>
      <c r="Q16" s="331"/>
      <c r="R16" s="445">
        <v>5</v>
      </c>
      <c r="S16" s="445"/>
      <c r="T16" s="445"/>
      <c r="U16" s="331">
        <v>6</v>
      </c>
      <c r="V16" s="331">
        <v>7</v>
      </c>
      <c r="W16" s="331"/>
      <c r="X16" s="331">
        <v>8</v>
      </c>
      <c r="Y16" s="331"/>
      <c r="Z16" s="331"/>
      <c r="AA16" s="331"/>
      <c r="AB16" s="331">
        <v>9</v>
      </c>
      <c r="AC16" s="331">
        <v>10</v>
      </c>
      <c r="AD16" s="331"/>
      <c r="AE16" s="331"/>
      <c r="AF16" s="331"/>
      <c r="AG16" s="331"/>
      <c r="AH16" s="331"/>
      <c r="AI16" s="331"/>
      <c r="AJ16" s="331"/>
      <c r="AK16" s="331"/>
      <c r="AL16" s="331"/>
      <c r="AM16" s="331"/>
      <c r="AN16" s="331"/>
      <c r="AO16" s="331"/>
      <c r="AP16" s="331"/>
      <c r="AQ16" s="331"/>
      <c r="AR16" s="331"/>
      <c r="AS16" s="331"/>
      <c r="AT16" s="331"/>
      <c r="AU16" s="445">
        <v>6</v>
      </c>
      <c r="AV16" s="445"/>
      <c r="AW16" s="445">
        <v>7</v>
      </c>
      <c r="AX16" s="445"/>
      <c r="AY16" s="445">
        <v>8</v>
      </c>
      <c r="AZ16" s="445"/>
      <c r="BA16" s="445"/>
      <c r="BB16" s="331"/>
      <c r="BC16" s="331">
        <v>10</v>
      </c>
      <c r="BD16" s="331"/>
      <c r="BE16" s="331"/>
      <c r="BF16" s="331"/>
      <c r="BG16" s="331"/>
      <c r="BH16" s="331">
        <v>10</v>
      </c>
      <c r="BI16" s="549">
        <v>9</v>
      </c>
      <c r="BJ16" s="315"/>
      <c r="BK16" s="315"/>
      <c r="BL16" s="315"/>
      <c r="BM16" s="315"/>
      <c r="BN16" s="315"/>
      <c r="BO16" s="315"/>
      <c r="BP16" s="315"/>
      <c r="BQ16" s="315"/>
      <c r="BR16" s="315"/>
      <c r="BS16" s="315"/>
      <c r="BT16" s="315"/>
      <c r="BU16" s="315"/>
      <c r="BV16" s="315"/>
      <c r="BW16" s="315"/>
      <c r="BX16" s="315"/>
      <c r="BY16" s="315"/>
      <c r="BZ16" s="315"/>
      <c r="CA16" s="315"/>
      <c r="CB16" s="315"/>
      <c r="CC16" s="315"/>
      <c r="CD16" s="315"/>
      <c r="CE16" s="315"/>
      <c r="CF16" s="315"/>
      <c r="CG16" s="315"/>
      <c r="CH16" s="315"/>
      <c r="CI16" s="315"/>
      <c r="CJ16" s="315"/>
      <c r="CK16" s="315"/>
      <c r="CL16" s="315"/>
      <c r="CM16" s="315"/>
      <c r="CN16" s="315"/>
      <c r="CO16" s="315"/>
      <c r="CP16" s="315"/>
      <c r="CQ16" s="315"/>
      <c r="CR16" s="315"/>
      <c r="CS16" s="315"/>
      <c r="CT16" s="315"/>
    </row>
    <row r="17" spans="1:126" s="490" customFormat="1" ht="21" customHeight="1" x14ac:dyDescent="0.2">
      <c r="B17" s="617" t="s">
        <v>124</v>
      </c>
      <c r="C17" s="491"/>
      <c r="D17" s="492" t="s">
        <v>163</v>
      </c>
      <c r="E17" s="491"/>
      <c r="F17" s="491"/>
      <c r="G17" s="491"/>
      <c r="H17" s="491"/>
      <c r="I17" s="491"/>
      <c r="J17" s="491"/>
      <c r="K17" s="491"/>
      <c r="L17" s="491"/>
      <c r="M17" s="491"/>
      <c r="N17" s="493"/>
      <c r="O17" s="494"/>
      <c r="P17" s="491"/>
      <c r="Q17" s="491"/>
      <c r="R17" s="491"/>
      <c r="S17" s="493"/>
      <c r="T17" s="494"/>
      <c r="U17" s="491"/>
      <c r="V17" s="491"/>
      <c r="W17" s="491"/>
      <c r="X17" s="491"/>
      <c r="Y17" s="491"/>
      <c r="Z17" s="491"/>
      <c r="AA17" s="491"/>
      <c r="AB17" s="491"/>
      <c r="AC17" s="491"/>
      <c r="AD17" s="491"/>
      <c r="AE17" s="491"/>
      <c r="AF17" s="491"/>
      <c r="AG17" s="491"/>
      <c r="AH17" s="491"/>
      <c r="AI17" s="491"/>
      <c r="AJ17" s="491"/>
      <c r="AK17" s="491"/>
      <c r="AL17" s="491"/>
      <c r="AM17" s="491"/>
      <c r="AN17" s="491"/>
      <c r="AO17" s="491"/>
      <c r="AP17" s="491"/>
      <c r="AQ17" s="491"/>
      <c r="AR17" s="491"/>
      <c r="AS17" s="491"/>
      <c r="AT17" s="491"/>
      <c r="AU17" s="493"/>
      <c r="AV17" s="494"/>
      <c r="AW17" s="493"/>
      <c r="AX17" s="494"/>
      <c r="AY17" s="493"/>
      <c r="AZ17" s="495"/>
      <c r="BA17" s="495"/>
      <c r="BB17" s="496"/>
      <c r="BC17" s="496"/>
      <c r="BD17" s="491"/>
      <c r="BE17" s="496"/>
      <c r="BF17" s="491"/>
      <c r="BG17" s="491"/>
      <c r="BH17" s="496"/>
      <c r="BI17" s="618"/>
    </row>
    <row r="18" spans="1:126" s="142" customFormat="1" ht="24" customHeight="1" x14ac:dyDescent="0.25">
      <c r="A18" s="152">
        <v>44</v>
      </c>
      <c r="B18" s="615">
        <v>1</v>
      </c>
      <c r="C18" s="139" t="str">
        <f t="shared" ref="C18:C37" si="0">IF(E18="Nam","Ông","Bà")</f>
        <v>Ông</v>
      </c>
      <c r="D18" s="497" t="s">
        <v>237</v>
      </c>
      <c r="E18" s="139" t="s">
        <v>39</v>
      </c>
      <c r="F18" s="276" t="s">
        <v>231</v>
      </c>
      <c r="G18" s="276" t="s">
        <v>10</v>
      </c>
      <c r="H18" s="276" t="s">
        <v>46</v>
      </c>
      <c r="I18" s="276" t="s">
        <v>10</v>
      </c>
      <c r="J18" s="139">
        <v>1980</v>
      </c>
      <c r="K18" s="139"/>
      <c r="L18" s="139"/>
      <c r="M18" s="143" t="e">
        <f>VLOOKUP(L18,'[1]- DLiêu Gốc -'!$B$2:$G$121,2,0)</f>
        <v>#N/A</v>
      </c>
      <c r="N18" s="302" t="s">
        <v>127</v>
      </c>
      <c r="O18" s="295" t="s">
        <v>166</v>
      </c>
      <c r="P18" s="165" t="str">
        <f>VLOOKUP(U18,'[1]- DLiêu Gốc -'!$B$2:$G$56,5,0)</f>
        <v>A1</v>
      </c>
      <c r="Q18" s="165" t="str">
        <f>VLOOKUP(U18,'[1]- DLiêu Gốc -'!$B$2:$G$56,6,0)</f>
        <v>- - -</v>
      </c>
      <c r="R18" s="139" t="s">
        <v>34</v>
      </c>
      <c r="S18" s="277" t="str">
        <f t="shared" ref="S18:S37" si="1">IF(OR(U18="Kỹ thuật viên đánh máy",U18="Nhân viên đánh máy",U18="Nhân viên kỹ thuật",U18="Nhân viên văn thư",U18="Nhân viên phục vụ",U18="Lái xe cơ quan",U18="Nhân viên bảo vệ"),"Nhân viên",U18)</f>
        <v>Giảng viên (hạng III)</v>
      </c>
      <c r="T18" s="278" t="str">
        <f t="shared" ref="T18:T37" si="2">IF(S18="Nhân viên","01.005",V18)</f>
        <v>V.07.01.03</v>
      </c>
      <c r="U18" s="180" t="s">
        <v>35</v>
      </c>
      <c r="V18" s="141" t="str">
        <f>VLOOKUP(U18,'[1]- DLiêu Gốc -'!$B$1:$G$121,2,0)</f>
        <v>V.07.01.03</v>
      </c>
      <c r="W18" s="274" t="str">
        <f t="shared" ref="W18:W37" si="3">IF(OR(AND(AN18=36,AM18=3),AND(AN18=24,AM18=2),AND(AN18=12,AM18=1)),"Đến $",IF(AND(AN18&lt;12*10,OR(AND(AN18&gt;36,AM18=3),AND(AN18&gt;24,AN18&lt;120,AM18=2),AND(AN18&gt;12,AM18=1))),"Dừng $","Lương"))</f>
        <v>Lương</v>
      </c>
      <c r="X18" s="274">
        <v>4</v>
      </c>
      <c r="Y18" s="274" t="str">
        <f t="shared" ref="Y18:Y37" si="4">IF(Z18&gt;0,"/")</f>
        <v>/</v>
      </c>
      <c r="Z18" s="274">
        <f t="shared" ref="Z18:Z37" si="5">IF(OR(AR18=0.18,AR18=0.2),12,IF(AR18=0.31,10,IF(AR18=0.33,9,IF(AR18=0.34,8,IF(AR18=0.36,6)))))</f>
        <v>9</v>
      </c>
      <c r="AA18" s="274">
        <f t="shared" ref="AA18:AA37" si="6">AQ18+(X18-1)*AR18</f>
        <v>3.33</v>
      </c>
      <c r="AB18" s="274">
        <f t="shared" ref="AB18:AB37" si="7">X18+1</f>
        <v>5</v>
      </c>
      <c r="AC18" s="274" t="str">
        <f t="shared" ref="AC18:AC37" si="8">IF(Z18=X18,"%",IF(Z18&gt;X18,"/"))</f>
        <v>/</v>
      </c>
      <c r="AD18" s="274">
        <f t="shared" ref="AD18:AD37" si="9">IF(AND(Z18=X18,AB18=4),5,IF(AND(Z18=X18,AB18&gt;4),AB18+1,IF(Z18&gt;X18,Z18)))</f>
        <v>9</v>
      </c>
      <c r="AE18" s="274">
        <f t="shared" ref="AE18:AE37" si="10">IF(Z18=X18,"%",IF(Z18&gt;X18,AA18+AR18))</f>
        <v>3.66</v>
      </c>
      <c r="AF18" s="274" t="s">
        <v>9</v>
      </c>
      <c r="AG18" s="274" t="s">
        <v>10</v>
      </c>
      <c r="AH18" s="274" t="s">
        <v>94</v>
      </c>
      <c r="AI18" s="274" t="s">
        <v>10</v>
      </c>
      <c r="AJ18" s="274">
        <v>2015</v>
      </c>
      <c r="AK18" s="147"/>
      <c r="AL18" s="141">
        <v>9</v>
      </c>
      <c r="AM18" s="274">
        <f t="shared" ref="AM18:AM37" si="11">IF(AND(Z18&gt;X18,OR(AR18=0.18,AR18=0.2)),2,IF(AND(Z18&gt;X18,OR(AR18=0.31,AR18=0.33,AR18=0.34,AR18=0.36)),3,IF(Z18=X18,1)))</f>
        <v>3</v>
      </c>
      <c r="AN18" s="274">
        <f t="shared" ref="AN18:AN37" si="12">12*($W$2-AJ18)+($W$4-AH18)-AO18</f>
        <v>-24189</v>
      </c>
      <c r="AO18" s="180"/>
      <c r="AP18" s="180"/>
      <c r="AQ18" s="274">
        <f>VLOOKUP(U18,'[1]- DLiêu Gốc -'!$B$1:$E$56,3,0)</f>
        <v>2.34</v>
      </c>
      <c r="AR18" s="274">
        <f>VLOOKUP(U18,'[1]- DLiêu Gốc -'!$B$1:$E$56,4,0)</f>
        <v>0.33</v>
      </c>
      <c r="AT18" s="274" t="str">
        <f t="shared" ref="AT18:AT37" si="13">IF(AND(AU18&gt;3,BF18=12),"Đến %",IF(AND(AU18&gt;3,BF18&gt;12,BF18&lt;120),"Dừng %",IF(AND(AU18&gt;3,BF18&lt;12),"PCTN","o-o-o")))</f>
        <v>PCTN</v>
      </c>
      <c r="AU18" s="279">
        <v>10</v>
      </c>
      <c r="AV18" s="280" t="s">
        <v>38</v>
      </c>
      <c r="AW18" s="279">
        <f t="shared" ref="AW18:AW37" si="14">IF(AU18&gt;3,AU18+1,0)</f>
        <v>11</v>
      </c>
      <c r="AX18" s="281" t="s">
        <v>38</v>
      </c>
      <c r="AY18" s="282" t="s">
        <v>9</v>
      </c>
      <c r="AZ18" s="169" t="s">
        <v>10</v>
      </c>
      <c r="BA18" s="283">
        <v>2016</v>
      </c>
      <c r="BB18" s="253"/>
      <c r="BC18" s="253"/>
      <c r="BD18" s="180"/>
      <c r="BE18" s="253">
        <v>1</v>
      </c>
      <c r="BF18" s="180">
        <f t="shared" ref="BF18:BF37" si="15">IF(AU18&gt;3,(($AT$2-BA18)*12+($AT$4-AY18)-BC18),"- - -")</f>
        <v>-24193</v>
      </c>
      <c r="BG18" s="140" t="str">
        <f t="shared" ref="BG18:BG37" si="16">IF(AND(CF18="Hưu",AU18&gt;3),12-(12*(CL18-BA18)+(CK18-AY18))-BC18,"- - -")</f>
        <v>- - -</v>
      </c>
      <c r="BH18" s="253" t="str">
        <f t="shared" ref="BH18:BH37" si="17">IF(BK18="công chức","CC",IF(BK18="viên chức","VC",IF(BK18="người lao động","NLĐ","- - -")))</f>
        <v>VC</v>
      </c>
      <c r="BI18" s="619"/>
      <c r="BJ18" s="413"/>
      <c r="BK18" s="413" t="s">
        <v>101</v>
      </c>
      <c r="BL18" s="428" t="str">
        <f t="shared" ref="BL18:BL37" si="18">IF(O18="Cơ sở Học viện Hành chính khu vực miền Trung","B",IF(O18="Phân viện Khu vực Tây Nguyên","C",IF(O18="Cơ sở Học viện Hành chính tại thành phố Hồ Chí Minh","D","A")))</f>
        <v>A</v>
      </c>
      <c r="BM18" s="417" t="str">
        <f t="shared" ref="BM18:BM37" si="19">IF(AND(AB18&gt;0,X18&lt;(Z18-1),BN18&gt;0,BN18&lt;13,OR(AND(BT18="Cùg Ng",($BM$2-BP18)&gt;AM18),BT18="- - -")),"Sớm TT","=&gt; s")</f>
        <v>=&gt; s</v>
      </c>
      <c r="BN18" s="428">
        <f t="shared" ref="BN18:BN37" si="20">IF(AM18=3,36-(12*($BM$2-AJ18)+(12-AH18)-AO18),IF(AM18=2,24-(12*($BM$2-AJ18)+(12-AH18)-AO18),"---"))</f>
        <v>24213</v>
      </c>
      <c r="BO18" s="413" t="str">
        <f t="shared" ref="BO18:BO37" si="21">IF(BP18&gt;1,"S","---")</f>
        <v>---</v>
      </c>
      <c r="BP18" s="428"/>
      <c r="BQ18" s="429"/>
      <c r="BR18" s="429"/>
      <c r="BS18" s="430"/>
      <c r="BT18" s="412" t="str">
        <f t="shared" ref="BT18:BT37" si="22">IF(T18=BQ18,"Cùg Ng","- - -")</f>
        <v>- - -</v>
      </c>
      <c r="BU18" s="412" t="str">
        <f t="shared" ref="BU18:BU37" si="23">IF(BW18&gt;2000,"NN","- - -")</f>
        <v>- - -</v>
      </c>
      <c r="BV18" s="412"/>
      <c r="BW18" s="412"/>
      <c r="BX18" s="412"/>
      <c r="BY18" s="412"/>
      <c r="BZ18" s="429" t="str">
        <f t="shared" ref="BZ18:BZ37" si="24">IF(CB18&gt;2000,"CN","- - -")</f>
        <v>- - -</v>
      </c>
      <c r="CA18" s="428"/>
      <c r="CB18" s="428"/>
      <c r="CC18" s="508"/>
      <c r="CD18" s="508"/>
      <c r="CE18" s="412" t="str">
        <f t="shared" ref="CE18:CE34" si="25">IF(AND(CF18="Hưu",X18&lt;(Z18-1),CM18&gt;0,CM18&lt;18,OR(AU18&lt;4,AND(AU18&gt;3,OR(BG18&lt;3,BG18&gt;5)))),"Lg Sớm",IF(AND(CF18="Hưu",X18&gt;(Z18-2),OR(AR18=0.33,AR18=0.34),OR(AU18&lt;4,AND(AU18&gt;3,OR(BG18&lt;3,BG18&gt;5)))),"Nâng Ngạch",IF(AND(CF18="Hưu",AM18=1,CM18&gt;2,CM18&lt;6,OR(AU18&lt;4,AND(AU18&gt;3,OR(BG18&lt;3,BG18&gt;5)))),"Nâng PcVK cùng QĐ",IF(AND(CF18="Hưu",AU18&gt;3,BG18&gt;2,BG18&lt;6,X18&lt;(Z18-1),CM18&gt;17,OR(AM18&gt;1,AND(AM18=1,OR(CM18&lt;3,CM18&gt;5)))),"Nâng PcNG cùng QĐ",IF(AND(CF18="Hưu",X18&lt;(Z18-1),CM18&gt;0,CM18&lt;18,AU18&gt;3,BG18&gt;2,BG18&lt;6),"Nâng Lg Sớm +(PcNG cùng QĐ)",IF(AND(CF18="Hưu",X18&gt;(Z18-2),OR(AR18=0.33,AR18=0.34),AU18&gt;3,BG18&gt;2,BG18&lt;6),"Nâng Ngạch +(PcNG cùng QĐ)",IF(AND(CF18="Hưu",AM18=1,CM18&gt;2,CM18&lt;6,AU18&gt;3,BG18&gt;2,BG18&lt;6),"Nâng (PcVK +PcNG) cùng QĐ",("---"))))))))</f>
        <v>---</v>
      </c>
      <c r="CF18" s="428" t="str">
        <f t="shared" ref="CF18:CF37" si="26">IF(AND(CQ18&gt;CP18,CQ18&lt;(CP18+13)),"Hưu",IF(AND(CQ18&gt;(CP18+12),CQ18&lt;1000),"Quá","/-/ /-/"))</f>
        <v>/-/ /-/</v>
      </c>
      <c r="CG18" s="428">
        <f t="shared" ref="CG18:CG37" si="27">IF((H18+0)&lt;12,(H18+0)+1,IF((H18+0)=12,1,IF((H18+0)&gt;12,(H18+0)-12)))</f>
        <v>11</v>
      </c>
      <c r="CH18" s="428">
        <f t="shared" ref="CH18:CH37" si="28">IF(OR((H18+0)=12,(H18+0)&gt;12),J18+CP18/12+1,IF(AND((H18+0)&gt;0,(H18+0)&lt;12),J18+CP18/12,"---"))</f>
        <v>2040</v>
      </c>
      <c r="CI18" s="412">
        <f t="shared" ref="CI18:CI37" si="29">IF(AND(CG18&gt;3,CG18&lt;13),CG18-3,IF(CG18&lt;4,CG18-3+12))</f>
        <v>8</v>
      </c>
      <c r="CJ18" s="412">
        <f t="shared" ref="CJ18:CJ37" si="30">IF(CI18&lt;CG18,CH18,IF(CI18&gt;CG18,CH18-1))</f>
        <v>2040</v>
      </c>
      <c r="CK18" s="413">
        <f t="shared" ref="CK18:CK37" si="31">IF(CG18&gt;6,CG18-6,IF(CG18=6,12,IF(CG18&lt;6,CG18+6)))</f>
        <v>5</v>
      </c>
      <c r="CL18" s="428">
        <f t="shared" ref="CL18:CL37" si="32">IF(CG18&gt;6,CH18,IF(CG18&lt;7,CH18-1))</f>
        <v>2040</v>
      </c>
      <c r="CM18" s="428" t="str">
        <f t="shared" ref="CM18:CM37" si="33">IF(AND(CF18="Hưu",AM18=3),36+AO18-(12*(CL18-AJ18)+(CK18-AH18)),IF(AND(CF18="Hưu",AM18=2),24+AO18-(12*(CL18-AJ18)+(CK18-AH18)),IF(AND(CF18="Hưu",AM18=1),12+AO18-(12*(CL18-AJ18)+(CK18-AH18)),"- - -")))</f>
        <v>- - -</v>
      </c>
      <c r="CN18" s="428" t="str">
        <f t="shared" ref="CN18:CN37" si="34">IF(CO18&gt;0,"K.Dài",". .")</f>
        <v>. .</v>
      </c>
      <c r="CO18" s="428"/>
      <c r="CP18" s="417">
        <f t="shared" ref="CP18:CP37" si="35">IF(E18="Nam",(60+CO18)*12,IF(E18="Nữ",(55+CO18)*12,))</f>
        <v>720</v>
      </c>
      <c r="CQ18" s="417">
        <f t="shared" ref="CQ18:CQ37" si="36">12*($CF$4-J18)+(12-H18)</f>
        <v>-23758</v>
      </c>
      <c r="CR18" s="428">
        <f t="shared" ref="CR18:CR37" si="37">$CV$4-J18</f>
        <v>-1980</v>
      </c>
      <c r="CS18" s="417" t="str">
        <f t="shared" ref="CS18:CS37" si="38">IF(AND(CR18&lt;35,E18="Nam"),"Nam dưới 35",IF(AND(CR18&lt;30,E18="Nữ"),"Nữ dưới 30",IF(AND(CR18&gt;34,CR18&lt;46,E18="Nam"),"Nam từ 35 - 45",IF(AND(CR18&gt;29,CR18&lt;41,E18="Nữ"),"Nữ từ 30 - 40",IF(AND(CR18&gt;45,CR18&lt;56,E18="Nam"),"Nam trên 45 - 55",IF(AND(CR18&gt;40,CR18&lt;51,E18="Nữ"),"Nữ trên 40 - 50",IF(AND(CR18&gt;55,E18="Nam"),"Nam trên 55","Nữ trên 50")))))))</f>
        <v>Nam dưới 35</v>
      </c>
      <c r="CT18" s="412"/>
      <c r="CU18" s="412"/>
      <c r="CV18" s="412" t="str">
        <f t="shared" ref="CV18:CV37" si="39">IF(CR18&lt;31,"Đến 30",IF(AND(CR18&gt;30,CR18&lt;46),"31 - 45",IF(AND(CR18&gt;45,CR18&lt;70),"Trên 45")))</f>
        <v>Đến 30</v>
      </c>
      <c r="CW18" s="412" t="str">
        <f t="shared" ref="CW18:CW31" si="40">IF(CX18&gt;0,"TD","--")</f>
        <v>TD</v>
      </c>
      <c r="CX18" s="412">
        <v>2012</v>
      </c>
      <c r="CY18" s="412"/>
      <c r="CZ18" s="412"/>
      <c r="DA18" s="412"/>
      <c r="DB18" s="412"/>
      <c r="DC18" s="412"/>
      <c r="DD18" s="412"/>
      <c r="DE18" s="412"/>
      <c r="DF18" s="412"/>
      <c r="DG18" s="412" t="s">
        <v>127</v>
      </c>
      <c r="DH18" s="412" t="s">
        <v>9</v>
      </c>
      <c r="DI18" s="412" t="s">
        <v>10</v>
      </c>
      <c r="DJ18" s="412" t="s">
        <v>94</v>
      </c>
      <c r="DK18" s="412" t="s">
        <v>10</v>
      </c>
      <c r="DL18" s="412">
        <v>2012</v>
      </c>
      <c r="DM18" s="412">
        <f t="shared" ref="DM18:DM37" si="41">(DH18+0)-(DO18+0)</f>
        <v>0</v>
      </c>
      <c r="DN18" s="412" t="str">
        <f t="shared" ref="DN18:DN37" si="42">IF(DM18&gt;0,"Sửa","- - -")</f>
        <v>- - -</v>
      </c>
      <c r="DO18" s="412" t="s">
        <v>9</v>
      </c>
      <c r="DP18" s="412" t="s">
        <v>10</v>
      </c>
      <c r="DQ18" s="604" t="s">
        <v>94</v>
      </c>
      <c r="DR18" s="142" t="s">
        <v>10</v>
      </c>
      <c r="DS18" s="142">
        <v>2012</v>
      </c>
      <c r="DU18" s="142" t="str">
        <f t="shared" ref="DU18:DU37" si="43">IF(AND(AR18&gt;0.34,AB18=1,OR(AQ18=6.2,AQ18=5.75)),((AQ18-DT18)-2*0.34),IF(AND(AR18&gt;0.33,AB18=1,OR(AQ18=4.4,AQ18=4)),((AQ18-DT18)-2*0.33),"- - -"))</f>
        <v>- - -</v>
      </c>
      <c r="DV18" s="142" t="str">
        <f t="shared" ref="DV18:DV37" si="44">IF(CF18="Hưu",12*(CL18-AJ18)+(CK18-AH18),"---")</f>
        <v>---</v>
      </c>
    </row>
    <row r="19" spans="1:126" s="142" customFormat="1" ht="24" customHeight="1" x14ac:dyDescent="0.25">
      <c r="A19" s="152">
        <v>93</v>
      </c>
      <c r="B19" s="615">
        <v>2</v>
      </c>
      <c r="C19" s="139" t="str">
        <f t="shared" si="0"/>
        <v>Bà</v>
      </c>
      <c r="D19" s="497" t="s">
        <v>238</v>
      </c>
      <c r="E19" s="139" t="s">
        <v>32</v>
      </c>
      <c r="F19" s="276" t="s">
        <v>157</v>
      </c>
      <c r="G19" s="276" t="s">
        <v>10</v>
      </c>
      <c r="H19" s="276" t="s">
        <v>9</v>
      </c>
      <c r="I19" s="276" t="s">
        <v>10</v>
      </c>
      <c r="J19" s="139">
        <v>1975</v>
      </c>
      <c r="K19" s="139"/>
      <c r="L19" s="139"/>
      <c r="M19" s="143" t="e">
        <f>VLOOKUP(L19,'[1]- DLiêu Gốc -'!$B$2:$G$121,2,0)</f>
        <v>#N/A</v>
      </c>
      <c r="N19" s="302"/>
      <c r="O19" s="295" t="s">
        <v>128</v>
      </c>
      <c r="P19" s="165" t="str">
        <f>VLOOKUP(U19,'[1]- DLiêu Gốc -'!$B$2:$G$56,5,0)</f>
        <v>A1</v>
      </c>
      <c r="Q19" s="165" t="str">
        <f>VLOOKUP(U19,'[1]- DLiêu Gốc -'!$B$2:$G$56,6,0)</f>
        <v>- - -</v>
      </c>
      <c r="R19" s="139" t="s">
        <v>34</v>
      </c>
      <c r="S19" s="277" t="str">
        <f t="shared" si="1"/>
        <v>Giảng viên (hạng III)</v>
      </c>
      <c r="T19" s="278" t="str">
        <f t="shared" si="2"/>
        <v>V.07.01.03</v>
      </c>
      <c r="U19" s="180" t="s">
        <v>35</v>
      </c>
      <c r="V19" s="141" t="str">
        <f>VLOOKUP(U19,'[1]- DLiêu Gốc -'!$B$1:$G$121,2,0)</f>
        <v>V.07.01.03</v>
      </c>
      <c r="W19" s="274" t="str">
        <f t="shared" si="3"/>
        <v>Lương</v>
      </c>
      <c r="X19" s="274">
        <v>4</v>
      </c>
      <c r="Y19" s="274" t="str">
        <f t="shared" si="4"/>
        <v>/</v>
      </c>
      <c r="Z19" s="274">
        <f t="shared" si="5"/>
        <v>9</v>
      </c>
      <c r="AA19" s="274">
        <f t="shared" si="6"/>
        <v>3.33</v>
      </c>
      <c r="AB19" s="274">
        <f t="shared" si="7"/>
        <v>5</v>
      </c>
      <c r="AC19" s="274" t="str">
        <f t="shared" si="8"/>
        <v>/</v>
      </c>
      <c r="AD19" s="274">
        <f t="shared" si="9"/>
        <v>9</v>
      </c>
      <c r="AE19" s="274">
        <f t="shared" si="10"/>
        <v>3.66</v>
      </c>
      <c r="AF19" s="274" t="s">
        <v>9</v>
      </c>
      <c r="AG19" s="274" t="s">
        <v>10</v>
      </c>
      <c r="AH19" s="274" t="s">
        <v>89</v>
      </c>
      <c r="AI19" s="274" t="s">
        <v>10</v>
      </c>
      <c r="AJ19" s="274">
        <v>2015</v>
      </c>
      <c r="AK19" s="147"/>
      <c r="AL19" s="141">
        <v>3</v>
      </c>
      <c r="AM19" s="274">
        <f t="shared" si="11"/>
        <v>3</v>
      </c>
      <c r="AN19" s="274">
        <f t="shared" si="12"/>
        <v>-24183</v>
      </c>
      <c r="AO19" s="180"/>
      <c r="AP19" s="180"/>
      <c r="AQ19" s="274">
        <f>VLOOKUP(U19,'[1]- DLiêu Gốc -'!$B$1:$E$56,3,0)</f>
        <v>2.34</v>
      </c>
      <c r="AR19" s="274">
        <f>VLOOKUP(U19,'[1]- DLiêu Gốc -'!$B$1:$E$56,4,0)</f>
        <v>0.33</v>
      </c>
      <c r="AT19" s="274" t="str">
        <f t="shared" si="13"/>
        <v>PCTN</v>
      </c>
      <c r="AU19" s="279">
        <v>12</v>
      </c>
      <c r="AV19" s="280" t="s">
        <v>38</v>
      </c>
      <c r="AW19" s="279">
        <f t="shared" si="14"/>
        <v>13</v>
      </c>
      <c r="AX19" s="281" t="s">
        <v>38</v>
      </c>
      <c r="AY19" s="282" t="s">
        <v>9</v>
      </c>
      <c r="AZ19" s="169" t="s">
        <v>10</v>
      </c>
      <c r="BA19" s="283">
        <v>2016</v>
      </c>
      <c r="BB19" s="253"/>
      <c r="BC19" s="253"/>
      <c r="BD19" s="180"/>
      <c r="BE19" s="253">
        <v>1</v>
      </c>
      <c r="BF19" s="180">
        <f t="shared" si="15"/>
        <v>-24193</v>
      </c>
      <c r="BG19" s="140" t="str">
        <f t="shared" si="16"/>
        <v>- - -</v>
      </c>
      <c r="BH19" s="253" t="str">
        <f t="shared" si="17"/>
        <v>VC</v>
      </c>
      <c r="BI19" s="619"/>
      <c r="BJ19" s="413"/>
      <c r="BK19" s="413" t="s">
        <v>101</v>
      </c>
      <c r="BL19" s="428" t="str">
        <f t="shared" si="18"/>
        <v>A</v>
      </c>
      <c r="BM19" s="417" t="str">
        <f t="shared" si="19"/>
        <v>=&gt; s</v>
      </c>
      <c r="BN19" s="428">
        <f t="shared" si="20"/>
        <v>24207</v>
      </c>
      <c r="BO19" s="413" t="str">
        <f t="shared" si="21"/>
        <v>---</v>
      </c>
      <c r="BP19" s="428"/>
      <c r="BQ19" s="429"/>
      <c r="BR19" s="429"/>
      <c r="BS19" s="430"/>
      <c r="BT19" s="412" t="str">
        <f t="shared" si="22"/>
        <v>- - -</v>
      </c>
      <c r="BU19" s="412" t="str">
        <f t="shared" si="23"/>
        <v>- - -</v>
      </c>
      <c r="BV19" s="412"/>
      <c r="BW19" s="412"/>
      <c r="BX19" s="412"/>
      <c r="BY19" s="412"/>
      <c r="BZ19" s="429" t="str">
        <f t="shared" si="24"/>
        <v>- - -</v>
      </c>
      <c r="CA19" s="428"/>
      <c r="CB19" s="428"/>
      <c r="CC19" s="508"/>
      <c r="CD19" s="508"/>
      <c r="CE19" s="412" t="str">
        <f t="shared" si="25"/>
        <v>---</v>
      </c>
      <c r="CF19" s="428" t="str">
        <f t="shared" si="26"/>
        <v>/-/ /-/</v>
      </c>
      <c r="CG19" s="428">
        <f t="shared" si="27"/>
        <v>2</v>
      </c>
      <c r="CH19" s="428">
        <f t="shared" si="28"/>
        <v>2030</v>
      </c>
      <c r="CI19" s="412">
        <f t="shared" si="29"/>
        <v>11</v>
      </c>
      <c r="CJ19" s="412">
        <f t="shared" si="30"/>
        <v>2029</v>
      </c>
      <c r="CK19" s="413">
        <f t="shared" si="31"/>
        <v>8</v>
      </c>
      <c r="CL19" s="428">
        <f t="shared" si="32"/>
        <v>2029</v>
      </c>
      <c r="CM19" s="428" t="str">
        <f t="shared" si="33"/>
        <v>- - -</v>
      </c>
      <c r="CN19" s="428" t="str">
        <f t="shared" si="34"/>
        <v>. .</v>
      </c>
      <c r="CO19" s="428"/>
      <c r="CP19" s="417">
        <f t="shared" si="35"/>
        <v>660</v>
      </c>
      <c r="CQ19" s="417">
        <f t="shared" si="36"/>
        <v>-23689</v>
      </c>
      <c r="CR19" s="428">
        <f t="shared" si="37"/>
        <v>-1975</v>
      </c>
      <c r="CS19" s="417" t="str">
        <f t="shared" si="38"/>
        <v>Nữ dưới 30</v>
      </c>
      <c r="CT19" s="412"/>
      <c r="CU19" s="412"/>
      <c r="CV19" s="412" t="str">
        <f t="shared" si="39"/>
        <v>Đến 30</v>
      </c>
      <c r="CW19" s="412" t="str">
        <f t="shared" si="40"/>
        <v>--</v>
      </c>
      <c r="CX19" s="412"/>
      <c r="CY19" s="412"/>
      <c r="CZ19" s="412"/>
      <c r="DA19" s="412"/>
      <c r="DB19" s="412"/>
      <c r="DC19" s="412"/>
      <c r="DD19" s="412"/>
      <c r="DE19" s="412"/>
      <c r="DF19" s="412"/>
      <c r="DG19" s="412"/>
      <c r="DH19" s="412" t="s">
        <v>9</v>
      </c>
      <c r="DI19" s="412" t="s">
        <v>10</v>
      </c>
      <c r="DJ19" s="412" t="s">
        <v>89</v>
      </c>
      <c r="DK19" s="412" t="s">
        <v>10</v>
      </c>
      <c r="DL19" s="412" t="s">
        <v>239</v>
      </c>
      <c r="DM19" s="412">
        <f t="shared" si="41"/>
        <v>0</v>
      </c>
      <c r="DN19" s="412" t="str">
        <f t="shared" si="42"/>
        <v>- - -</v>
      </c>
      <c r="DO19" s="412" t="s">
        <v>9</v>
      </c>
      <c r="DP19" s="412" t="s">
        <v>10</v>
      </c>
      <c r="DQ19" s="604" t="s">
        <v>89</v>
      </c>
      <c r="DR19" s="142" t="s">
        <v>10</v>
      </c>
      <c r="DS19" s="142" t="s">
        <v>239</v>
      </c>
      <c r="DU19" s="142" t="str">
        <f t="shared" si="43"/>
        <v>- - -</v>
      </c>
      <c r="DV19" s="142" t="str">
        <f t="shared" si="44"/>
        <v>---</v>
      </c>
    </row>
    <row r="20" spans="1:126" s="142" customFormat="1" ht="24" customHeight="1" x14ac:dyDescent="0.25">
      <c r="A20" s="152">
        <v>106</v>
      </c>
      <c r="B20" s="615">
        <v>3</v>
      </c>
      <c r="C20" s="139" t="str">
        <f t="shared" si="0"/>
        <v>Bà</v>
      </c>
      <c r="D20" s="497" t="s">
        <v>240</v>
      </c>
      <c r="E20" s="139" t="s">
        <v>32</v>
      </c>
      <c r="F20" s="276" t="s">
        <v>122</v>
      </c>
      <c r="G20" s="276" t="s">
        <v>10</v>
      </c>
      <c r="H20" s="276" t="s">
        <v>241</v>
      </c>
      <c r="I20" s="276" t="s">
        <v>10</v>
      </c>
      <c r="J20" s="139">
        <v>1981</v>
      </c>
      <c r="K20" s="139"/>
      <c r="L20" s="139"/>
      <c r="M20" s="143" t="e">
        <f>VLOOKUP(L20,'[1]- DLiêu Gốc -'!$B$2:$G$121,2,0)</f>
        <v>#N/A</v>
      </c>
      <c r="N20" s="302"/>
      <c r="O20" s="295" t="s">
        <v>128</v>
      </c>
      <c r="P20" s="165" t="str">
        <f>VLOOKUP(U20,'[1]- DLiêu Gốc -'!$B$2:$G$56,5,0)</f>
        <v>A1</v>
      </c>
      <c r="Q20" s="165" t="str">
        <f>VLOOKUP(U20,'[1]- DLiêu Gốc -'!$B$2:$G$56,6,0)</f>
        <v>- - -</v>
      </c>
      <c r="R20" s="139" t="s">
        <v>34</v>
      </c>
      <c r="S20" s="277" t="str">
        <f t="shared" si="1"/>
        <v>Giảng viên (hạng III)</v>
      </c>
      <c r="T20" s="278" t="str">
        <f t="shared" si="2"/>
        <v>V.07.01.03</v>
      </c>
      <c r="U20" s="180" t="s">
        <v>35</v>
      </c>
      <c r="V20" s="141" t="str">
        <f>VLOOKUP(U20,'[1]- DLiêu Gốc -'!$B$1:$G$121,2,0)</f>
        <v>V.07.01.03</v>
      </c>
      <c r="W20" s="274" t="str">
        <f t="shared" si="3"/>
        <v>Lương</v>
      </c>
      <c r="X20" s="274">
        <v>4</v>
      </c>
      <c r="Y20" s="274" t="str">
        <f t="shared" si="4"/>
        <v>/</v>
      </c>
      <c r="Z20" s="274">
        <f t="shared" si="5"/>
        <v>9</v>
      </c>
      <c r="AA20" s="274">
        <f t="shared" si="6"/>
        <v>3.33</v>
      </c>
      <c r="AB20" s="274">
        <f t="shared" si="7"/>
        <v>5</v>
      </c>
      <c r="AC20" s="274" t="str">
        <f t="shared" si="8"/>
        <v>/</v>
      </c>
      <c r="AD20" s="274">
        <f t="shared" si="9"/>
        <v>9</v>
      </c>
      <c r="AE20" s="274">
        <f t="shared" si="10"/>
        <v>3.66</v>
      </c>
      <c r="AF20" s="274" t="s">
        <v>9</v>
      </c>
      <c r="AG20" s="274" t="s">
        <v>10</v>
      </c>
      <c r="AH20" s="274" t="s">
        <v>241</v>
      </c>
      <c r="AI20" s="274" t="s">
        <v>10</v>
      </c>
      <c r="AJ20" s="274">
        <v>2015</v>
      </c>
      <c r="AK20" s="147" t="s">
        <v>242</v>
      </c>
      <c r="AL20" s="141">
        <v>6</v>
      </c>
      <c r="AM20" s="274">
        <f t="shared" si="11"/>
        <v>3</v>
      </c>
      <c r="AN20" s="274">
        <f t="shared" si="12"/>
        <v>-24186</v>
      </c>
      <c r="AO20" s="180"/>
      <c r="AP20" s="180"/>
      <c r="AQ20" s="274">
        <f>VLOOKUP(U20,'[1]- DLiêu Gốc -'!$B$1:$E$56,3,0)</f>
        <v>2.34</v>
      </c>
      <c r="AR20" s="274">
        <f>VLOOKUP(U20,'[1]- DLiêu Gốc -'!$B$1:$E$56,4,0)</f>
        <v>0.33</v>
      </c>
      <c r="AT20" s="274" t="str">
        <f t="shared" si="13"/>
        <v>PCTN</v>
      </c>
      <c r="AU20" s="279">
        <v>8</v>
      </c>
      <c r="AV20" s="280" t="s">
        <v>38</v>
      </c>
      <c r="AW20" s="279">
        <f t="shared" si="14"/>
        <v>9</v>
      </c>
      <c r="AX20" s="281" t="s">
        <v>38</v>
      </c>
      <c r="AY20" s="282" t="s">
        <v>9</v>
      </c>
      <c r="AZ20" s="169" t="s">
        <v>10</v>
      </c>
      <c r="BA20" s="283">
        <v>2016</v>
      </c>
      <c r="BB20" s="253"/>
      <c r="BC20" s="253"/>
      <c r="BD20" s="180"/>
      <c r="BE20" s="253">
        <v>1</v>
      </c>
      <c r="BF20" s="180">
        <f t="shared" si="15"/>
        <v>-24193</v>
      </c>
      <c r="BG20" s="140" t="str">
        <f t="shared" si="16"/>
        <v>- - -</v>
      </c>
      <c r="BH20" s="253" t="str">
        <f t="shared" si="17"/>
        <v>VC</v>
      </c>
      <c r="BI20" s="619"/>
      <c r="BJ20" s="413"/>
      <c r="BK20" s="413" t="s">
        <v>101</v>
      </c>
      <c r="BL20" s="428" t="str">
        <f t="shared" si="18"/>
        <v>A</v>
      </c>
      <c r="BM20" s="417" t="str">
        <f t="shared" si="19"/>
        <v>=&gt; s</v>
      </c>
      <c r="BN20" s="428">
        <f t="shared" si="20"/>
        <v>24210</v>
      </c>
      <c r="BO20" s="413" t="str">
        <f t="shared" si="21"/>
        <v>S</v>
      </c>
      <c r="BP20" s="428">
        <v>2012</v>
      </c>
      <c r="BQ20" s="429" t="s">
        <v>243</v>
      </c>
      <c r="BR20" s="429"/>
      <c r="BS20" s="430"/>
      <c r="BT20" s="412" t="str">
        <f t="shared" si="22"/>
        <v>- - -</v>
      </c>
      <c r="BU20" s="412" t="str">
        <f t="shared" si="23"/>
        <v>- - -</v>
      </c>
      <c r="BV20" s="412"/>
      <c r="BW20" s="412"/>
      <c r="BX20" s="412"/>
      <c r="BY20" s="412"/>
      <c r="BZ20" s="429" t="str">
        <f t="shared" si="24"/>
        <v>CN</v>
      </c>
      <c r="CA20" s="428">
        <v>6</v>
      </c>
      <c r="CB20" s="428">
        <v>2013</v>
      </c>
      <c r="CC20" s="508"/>
      <c r="CD20" s="508"/>
      <c r="CE20" s="412" t="str">
        <f t="shared" si="25"/>
        <v>---</v>
      </c>
      <c r="CF20" s="428" t="str">
        <f t="shared" si="26"/>
        <v>/-/ /-/</v>
      </c>
      <c r="CG20" s="428">
        <f t="shared" si="27"/>
        <v>7</v>
      </c>
      <c r="CH20" s="428">
        <f t="shared" si="28"/>
        <v>2036</v>
      </c>
      <c r="CI20" s="412">
        <f t="shared" si="29"/>
        <v>4</v>
      </c>
      <c r="CJ20" s="412">
        <f t="shared" si="30"/>
        <v>2036</v>
      </c>
      <c r="CK20" s="413">
        <f t="shared" si="31"/>
        <v>1</v>
      </c>
      <c r="CL20" s="428">
        <f t="shared" si="32"/>
        <v>2036</v>
      </c>
      <c r="CM20" s="428" t="str">
        <f t="shared" si="33"/>
        <v>- - -</v>
      </c>
      <c r="CN20" s="428" t="str">
        <f t="shared" si="34"/>
        <v>. .</v>
      </c>
      <c r="CO20" s="428"/>
      <c r="CP20" s="417">
        <f t="shared" si="35"/>
        <v>660</v>
      </c>
      <c r="CQ20" s="417">
        <f t="shared" si="36"/>
        <v>-23766</v>
      </c>
      <c r="CR20" s="428">
        <f t="shared" si="37"/>
        <v>-1981</v>
      </c>
      <c r="CS20" s="417" t="str">
        <f t="shared" si="38"/>
        <v>Nữ dưới 30</v>
      </c>
      <c r="CT20" s="412"/>
      <c r="CU20" s="412"/>
      <c r="CV20" s="412" t="str">
        <f t="shared" si="39"/>
        <v>Đến 30</v>
      </c>
      <c r="CW20" s="412" t="str">
        <f t="shared" si="40"/>
        <v>--</v>
      </c>
      <c r="CX20" s="412"/>
      <c r="CY20" s="412" t="s">
        <v>244</v>
      </c>
      <c r="CZ20" s="412">
        <v>6</v>
      </c>
      <c r="DA20" s="412">
        <v>2013</v>
      </c>
      <c r="DB20" s="412"/>
      <c r="DC20" s="412"/>
      <c r="DD20" s="412"/>
      <c r="DE20" s="412"/>
      <c r="DF20" s="412"/>
      <c r="DG20" s="412"/>
      <c r="DH20" s="412" t="s">
        <v>9</v>
      </c>
      <c r="DI20" s="412" t="s">
        <v>10</v>
      </c>
      <c r="DJ20" s="412" t="s">
        <v>241</v>
      </c>
      <c r="DK20" s="412" t="s">
        <v>10</v>
      </c>
      <c r="DL20" s="412">
        <v>2012</v>
      </c>
      <c r="DM20" s="412">
        <f t="shared" si="41"/>
        <v>0</v>
      </c>
      <c r="DN20" s="412" t="str">
        <f t="shared" si="42"/>
        <v>- - -</v>
      </c>
      <c r="DO20" s="412" t="s">
        <v>9</v>
      </c>
      <c r="DP20" s="412" t="s">
        <v>10</v>
      </c>
      <c r="DQ20" s="604" t="s">
        <v>241</v>
      </c>
      <c r="DR20" s="142" t="s">
        <v>10</v>
      </c>
      <c r="DS20" s="142">
        <v>2012</v>
      </c>
      <c r="DU20" s="142" t="str">
        <f t="shared" si="43"/>
        <v>- - -</v>
      </c>
      <c r="DV20" s="142" t="str">
        <f t="shared" si="44"/>
        <v>---</v>
      </c>
    </row>
    <row r="21" spans="1:126" s="142" customFormat="1" ht="24" customHeight="1" x14ac:dyDescent="0.25">
      <c r="A21" s="152">
        <v>166</v>
      </c>
      <c r="B21" s="615">
        <v>4</v>
      </c>
      <c r="C21" s="139" t="str">
        <f t="shared" si="0"/>
        <v>Bà</v>
      </c>
      <c r="D21" s="497" t="s">
        <v>245</v>
      </c>
      <c r="E21" s="139" t="s">
        <v>32</v>
      </c>
      <c r="F21" s="276" t="s">
        <v>154</v>
      </c>
      <c r="G21" s="276" t="s">
        <v>10</v>
      </c>
      <c r="H21" s="276" t="s">
        <v>30</v>
      </c>
      <c r="I21" s="276" t="s">
        <v>10</v>
      </c>
      <c r="J21" s="139" t="s">
        <v>246</v>
      </c>
      <c r="K21" s="139"/>
      <c r="L21" s="139"/>
      <c r="M21" s="143" t="e">
        <f>VLOOKUP(L21,'[1]- DLiêu Gốc -'!$B$2:$G$121,2,0)</f>
        <v>#N/A</v>
      </c>
      <c r="N21" s="302" t="s">
        <v>247</v>
      </c>
      <c r="O21" s="295" t="s">
        <v>113</v>
      </c>
      <c r="P21" s="165" t="str">
        <f>VLOOKUP(U21,'[1]- DLiêu Gốc -'!$B$2:$G$56,5,0)</f>
        <v>A2</v>
      </c>
      <c r="Q21" s="165" t="str">
        <f>VLOOKUP(U21,'[1]- DLiêu Gốc -'!$B$2:$G$56,6,0)</f>
        <v>A2.1</v>
      </c>
      <c r="R21" s="139" t="s">
        <v>34</v>
      </c>
      <c r="S21" s="277" t="str">
        <f t="shared" si="1"/>
        <v>Giảng viên chính (hạng II)</v>
      </c>
      <c r="T21" s="278" t="str">
        <f t="shared" si="2"/>
        <v>V.07.01.02</v>
      </c>
      <c r="U21" s="180" t="s">
        <v>45</v>
      </c>
      <c r="V21" s="141" t="str">
        <f>VLOOKUP(U21,'[1]- DLiêu Gốc -'!$B$1:$G$121,2,0)</f>
        <v>V.07.01.02</v>
      </c>
      <c r="W21" s="274" t="str">
        <f t="shared" si="3"/>
        <v>Lương</v>
      </c>
      <c r="X21" s="274">
        <v>3</v>
      </c>
      <c r="Y21" s="274" t="str">
        <f t="shared" si="4"/>
        <v>/</v>
      </c>
      <c r="Z21" s="274">
        <f t="shared" si="5"/>
        <v>8</v>
      </c>
      <c r="AA21" s="274">
        <f t="shared" si="6"/>
        <v>5.08</v>
      </c>
      <c r="AB21" s="274">
        <f t="shared" si="7"/>
        <v>4</v>
      </c>
      <c r="AC21" s="274" t="str">
        <f t="shared" si="8"/>
        <v>/</v>
      </c>
      <c r="AD21" s="274">
        <f t="shared" si="9"/>
        <v>8</v>
      </c>
      <c r="AE21" s="274">
        <f t="shared" si="10"/>
        <v>5.42</v>
      </c>
      <c r="AF21" s="274" t="s">
        <v>9</v>
      </c>
      <c r="AG21" s="274" t="s">
        <v>10</v>
      </c>
      <c r="AH21" s="274" t="s">
        <v>94</v>
      </c>
      <c r="AI21" s="274" t="s">
        <v>10</v>
      </c>
      <c r="AJ21" s="274">
        <v>2012</v>
      </c>
      <c r="AK21" s="147"/>
      <c r="AL21" s="141"/>
      <c r="AM21" s="274">
        <f t="shared" si="11"/>
        <v>3</v>
      </c>
      <c r="AN21" s="274">
        <f t="shared" si="12"/>
        <v>-24153</v>
      </c>
      <c r="AO21" s="180"/>
      <c r="AP21" s="180"/>
      <c r="AQ21" s="274">
        <f>VLOOKUP(U21,'[1]- DLiêu Gốc -'!$B$1:$E$56,3,0)</f>
        <v>4.4000000000000004</v>
      </c>
      <c r="AR21" s="274">
        <f>VLOOKUP(U21,'[1]- DLiêu Gốc -'!$B$1:$E$56,4,0)</f>
        <v>0.34</v>
      </c>
      <c r="AT21" s="274" t="str">
        <f t="shared" si="13"/>
        <v>PCTN</v>
      </c>
      <c r="AU21" s="279">
        <v>22</v>
      </c>
      <c r="AV21" s="280" t="s">
        <v>38</v>
      </c>
      <c r="AW21" s="279">
        <f t="shared" si="14"/>
        <v>23</v>
      </c>
      <c r="AX21" s="281" t="s">
        <v>38</v>
      </c>
      <c r="AY21" s="282" t="s">
        <v>9</v>
      </c>
      <c r="AZ21" s="169" t="s">
        <v>10</v>
      </c>
      <c r="BA21" s="283">
        <v>2016</v>
      </c>
      <c r="BB21" s="253"/>
      <c r="BC21" s="253"/>
      <c r="BD21" s="180"/>
      <c r="BE21" s="253">
        <v>1</v>
      </c>
      <c r="BF21" s="180">
        <f t="shared" si="15"/>
        <v>-24193</v>
      </c>
      <c r="BG21" s="140" t="str">
        <f t="shared" si="16"/>
        <v>- - -</v>
      </c>
      <c r="BH21" s="253" t="str">
        <f t="shared" si="17"/>
        <v>VC</v>
      </c>
      <c r="BI21" s="619"/>
      <c r="BJ21" s="413"/>
      <c r="BK21" s="413" t="s">
        <v>101</v>
      </c>
      <c r="BL21" s="428" t="str">
        <f t="shared" si="18"/>
        <v>A</v>
      </c>
      <c r="BM21" s="417" t="str">
        <f t="shared" si="19"/>
        <v>=&gt; s</v>
      </c>
      <c r="BN21" s="428">
        <f t="shared" si="20"/>
        <v>24177</v>
      </c>
      <c r="BO21" s="413" t="str">
        <f t="shared" si="21"/>
        <v>---</v>
      </c>
      <c r="BP21" s="428"/>
      <c r="BQ21" s="429"/>
      <c r="BR21" s="429"/>
      <c r="BS21" s="430"/>
      <c r="BT21" s="412" t="str">
        <f t="shared" si="22"/>
        <v>- - -</v>
      </c>
      <c r="BU21" s="412" t="str">
        <f t="shared" si="23"/>
        <v>- - -</v>
      </c>
      <c r="BV21" s="412"/>
      <c r="BW21" s="412"/>
      <c r="BX21" s="412"/>
      <c r="BY21" s="412"/>
      <c r="BZ21" s="429" t="str">
        <f t="shared" si="24"/>
        <v>- - -</v>
      </c>
      <c r="CA21" s="428"/>
      <c r="CB21" s="428"/>
      <c r="CC21" s="508"/>
      <c r="CD21" s="508"/>
      <c r="CE21" s="412" t="str">
        <f t="shared" si="25"/>
        <v>---</v>
      </c>
      <c r="CF21" s="428" t="str">
        <f t="shared" si="26"/>
        <v>/-/ /-/</v>
      </c>
      <c r="CG21" s="428">
        <f t="shared" si="27"/>
        <v>9</v>
      </c>
      <c r="CH21" s="428">
        <f t="shared" si="28"/>
        <v>2020</v>
      </c>
      <c r="CI21" s="412">
        <f t="shared" si="29"/>
        <v>6</v>
      </c>
      <c r="CJ21" s="412">
        <f t="shared" si="30"/>
        <v>2020</v>
      </c>
      <c r="CK21" s="413">
        <f t="shared" si="31"/>
        <v>3</v>
      </c>
      <c r="CL21" s="428">
        <f t="shared" si="32"/>
        <v>2020</v>
      </c>
      <c r="CM21" s="428" t="str">
        <f t="shared" si="33"/>
        <v>- - -</v>
      </c>
      <c r="CN21" s="428" t="str">
        <f t="shared" si="34"/>
        <v>. .</v>
      </c>
      <c r="CO21" s="428"/>
      <c r="CP21" s="417">
        <f t="shared" si="35"/>
        <v>660</v>
      </c>
      <c r="CQ21" s="417">
        <f t="shared" si="36"/>
        <v>-23576</v>
      </c>
      <c r="CR21" s="428">
        <f t="shared" si="37"/>
        <v>-1965</v>
      </c>
      <c r="CS21" s="417" t="str">
        <f t="shared" si="38"/>
        <v>Nữ dưới 30</v>
      </c>
      <c r="CT21" s="412"/>
      <c r="CU21" s="412"/>
      <c r="CV21" s="412" t="str">
        <f t="shared" si="39"/>
        <v>Đến 30</v>
      </c>
      <c r="CW21" s="412" t="str">
        <f t="shared" si="40"/>
        <v>--</v>
      </c>
      <c r="CX21" s="412"/>
      <c r="CY21" s="412"/>
      <c r="CZ21" s="412"/>
      <c r="DA21" s="412"/>
      <c r="DB21" s="412"/>
      <c r="DC21" s="412"/>
      <c r="DD21" s="412"/>
      <c r="DE21" s="412"/>
      <c r="DF21" s="412"/>
      <c r="DG21" s="412" t="s">
        <v>247</v>
      </c>
      <c r="DH21" s="412" t="s">
        <v>9</v>
      </c>
      <c r="DI21" s="412" t="s">
        <v>10</v>
      </c>
      <c r="DJ21" s="412" t="s">
        <v>94</v>
      </c>
      <c r="DK21" s="412" t="s">
        <v>10</v>
      </c>
      <c r="DL21" s="412">
        <v>2012</v>
      </c>
      <c r="DM21" s="412">
        <f t="shared" si="41"/>
        <v>0</v>
      </c>
      <c r="DN21" s="412" t="str">
        <f t="shared" si="42"/>
        <v>- - -</v>
      </c>
      <c r="DO21" s="412" t="s">
        <v>9</v>
      </c>
      <c r="DP21" s="412" t="s">
        <v>10</v>
      </c>
      <c r="DQ21" s="604" t="s">
        <v>94</v>
      </c>
      <c r="DR21" s="142" t="s">
        <v>10</v>
      </c>
      <c r="DS21" s="142">
        <v>2012</v>
      </c>
      <c r="DU21" s="142" t="str">
        <f t="shared" si="43"/>
        <v>- - -</v>
      </c>
      <c r="DV21" s="142" t="str">
        <f t="shared" si="44"/>
        <v>---</v>
      </c>
    </row>
    <row r="22" spans="1:126" s="142" customFormat="1" ht="24" customHeight="1" x14ac:dyDescent="0.25">
      <c r="A22" s="152">
        <v>172</v>
      </c>
      <c r="B22" s="615">
        <v>5</v>
      </c>
      <c r="C22" s="139" t="str">
        <f t="shared" si="0"/>
        <v>Bà</v>
      </c>
      <c r="D22" s="497" t="s">
        <v>248</v>
      </c>
      <c r="E22" s="139" t="s">
        <v>32</v>
      </c>
      <c r="F22" s="276" t="s">
        <v>9</v>
      </c>
      <c r="G22" s="276" t="s">
        <v>10</v>
      </c>
      <c r="H22" s="276" t="s">
        <v>11</v>
      </c>
      <c r="I22" s="276" t="s">
        <v>10</v>
      </c>
      <c r="J22" s="139" t="s">
        <v>249</v>
      </c>
      <c r="K22" s="139"/>
      <c r="L22" s="139"/>
      <c r="M22" s="143" t="e">
        <f>VLOOKUP(L22,'[1]- DLiêu Gốc -'!$B$2:$G$121,2,0)</f>
        <v>#N/A</v>
      </c>
      <c r="N22" s="302" t="s">
        <v>247</v>
      </c>
      <c r="O22" s="295" t="s">
        <v>113</v>
      </c>
      <c r="P22" s="165" t="str">
        <f>VLOOKUP(U22,'[1]- DLiêu Gốc -'!$B$2:$G$56,5,0)</f>
        <v>A2</v>
      </c>
      <c r="Q22" s="165" t="str">
        <f>VLOOKUP(U22,'[1]- DLiêu Gốc -'!$B$2:$G$56,6,0)</f>
        <v>A2.1</v>
      </c>
      <c r="R22" s="139" t="s">
        <v>34</v>
      </c>
      <c r="S22" s="277" t="str">
        <f t="shared" si="1"/>
        <v>Giảng viên chính (hạng II)</v>
      </c>
      <c r="T22" s="278" t="str">
        <f t="shared" si="2"/>
        <v>V.07.01.02</v>
      </c>
      <c r="U22" s="180" t="s">
        <v>45</v>
      </c>
      <c r="V22" s="141" t="str">
        <f>VLOOKUP(U22,'[1]- DLiêu Gốc -'!$B$1:$G$121,2,0)</f>
        <v>V.07.01.02</v>
      </c>
      <c r="W22" s="274" t="str">
        <f t="shared" si="3"/>
        <v>Lương</v>
      </c>
      <c r="X22" s="274">
        <v>3</v>
      </c>
      <c r="Y22" s="274" t="str">
        <f t="shared" si="4"/>
        <v>/</v>
      </c>
      <c r="Z22" s="274">
        <f t="shared" si="5"/>
        <v>8</v>
      </c>
      <c r="AA22" s="274">
        <f t="shared" si="6"/>
        <v>5.08</v>
      </c>
      <c r="AB22" s="274">
        <f t="shared" si="7"/>
        <v>4</v>
      </c>
      <c r="AC22" s="274" t="str">
        <f t="shared" si="8"/>
        <v>/</v>
      </c>
      <c r="AD22" s="274">
        <f t="shared" si="9"/>
        <v>8</v>
      </c>
      <c r="AE22" s="274">
        <f t="shared" si="10"/>
        <v>5.42</v>
      </c>
      <c r="AF22" s="274" t="s">
        <v>9</v>
      </c>
      <c r="AG22" s="274" t="s">
        <v>10</v>
      </c>
      <c r="AH22" s="274" t="s">
        <v>37</v>
      </c>
      <c r="AI22" s="274" t="s">
        <v>10</v>
      </c>
      <c r="AJ22" s="274">
        <v>2014</v>
      </c>
      <c r="AK22" s="147"/>
      <c r="AL22" s="141"/>
      <c r="AM22" s="274">
        <f t="shared" si="11"/>
        <v>3</v>
      </c>
      <c r="AN22" s="274">
        <f t="shared" si="12"/>
        <v>-24170</v>
      </c>
      <c r="AO22" s="180"/>
      <c r="AP22" s="180"/>
      <c r="AQ22" s="274">
        <f>VLOOKUP(U22,'[1]- DLiêu Gốc -'!$B$1:$E$56,3,0)</f>
        <v>4.4000000000000004</v>
      </c>
      <c r="AR22" s="274">
        <f>VLOOKUP(U22,'[1]- DLiêu Gốc -'!$B$1:$E$56,4,0)</f>
        <v>0.34</v>
      </c>
      <c r="AT22" s="274" t="str">
        <f t="shared" si="13"/>
        <v>PCTN</v>
      </c>
      <c r="AU22" s="279">
        <v>25</v>
      </c>
      <c r="AV22" s="280" t="s">
        <v>38</v>
      </c>
      <c r="AW22" s="279">
        <f t="shared" si="14"/>
        <v>26</v>
      </c>
      <c r="AX22" s="281" t="s">
        <v>38</v>
      </c>
      <c r="AY22" s="282" t="s">
        <v>9</v>
      </c>
      <c r="AZ22" s="169" t="s">
        <v>10</v>
      </c>
      <c r="BA22" s="283">
        <v>2016</v>
      </c>
      <c r="BB22" s="253"/>
      <c r="BC22" s="253"/>
      <c r="BD22" s="180"/>
      <c r="BE22" s="253">
        <v>1</v>
      </c>
      <c r="BF22" s="180">
        <f t="shared" si="15"/>
        <v>-24193</v>
      </c>
      <c r="BG22" s="140" t="str">
        <f t="shared" si="16"/>
        <v>- - -</v>
      </c>
      <c r="BH22" s="253" t="str">
        <f t="shared" si="17"/>
        <v>VC</v>
      </c>
      <c r="BI22" s="619"/>
      <c r="BJ22" s="413"/>
      <c r="BK22" s="413" t="s">
        <v>101</v>
      </c>
      <c r="BL22" s="428" t="str">
        <f t="shared" si="18"/>
        <v>A</v>
      </c>
      <c r="BM22" s="417" t="str">
        <f t="shared" si="19"/>
        <v>=&gt; s</v>
      </c>
      <c r="BN22" s="428">
        <f t="shared" si="20"/>
        <v>24194</v>
      </c>
      <c r="BO22" s="413" t="str">
        <f t="shared" si="21"/>
        <v>---</v>
      </c>
      <c r="BP22" s="428"/>
      <c r="BQ22" s="429"/>
      <c r="BR22" s="429"/>
      <c r="BS22" s="430"/>
      <c r="BT22" s="412" t="str">
        <f t="shared" si="22"/>
        <v>- - -</v>
      </c>
      <c r="BU22" s="412" t="str">
        <f t="shared" si="23"/>
        <v>NN</v>
      </c>
      <c r="BV22" s="412">
        <v>1</v>
      </c>
      <c r="BW22" s="412">
        <v>2009</v>
      </c>
      <c r="BX22" s="412"/>
      <c r="BY22" s="412"/>
      <c r="BZ22" s="429" t="str">
        <f t="shared" si="24"/>
        <v>- - -</v>
      </c>
      <c r="CA22" s="428"/>
      <c r="CB22" s="428"/>
      <c r="CC22" s="508"/>
      <c r="CD22" s="508"/>
      <c r="CE22" s="412" t="str">
        <f t="shared" si="25"/>
        <v>---</v>
      </c>
      <c r="CF22" s="428" t="str">
        <f t="shared" si="26"/>
        <v>/-/ /-/</v>
      </c>
      <c r="CG22" s="428">
        <f t="shared" si="27"/>
        <v>8</v>
      </c>
      <c r="CH22" s="428">
        <f t="shared" si="28"/>
        <v>2017</v>
      </c>
      <c r="CI22" s="412">
        <f t="shared" si="29"/>
        <v>5</v>
      </c>
      <c r="CJ22" s="412">
        <f t="shared" si="30"/>
        <v>2017</v>
      </c>
      <c r="CK22" s="413">
        <f t="shared" si="31"/>
        <v>2</v>
      </c>
      <c r="CL22" s="428">
        <f t="shared" si="32"/>
        <v>2017</v>
      </c>
      <c r="CM22" s="428" t="str">
        <f t="shared" si="33"/>
        <v>- - -</v>
      </c>
      <c r="CN22" s="428" t="str">
        <f t="shared" si="34"/>
        <v>. .</v>
      </c>
      <c r="CO22" s="428"/>
      <c r="CP22" s="417">
        <f t="shared" si="35"/>
        <v>660</v>
      </c>
      <c r="CQ22" s="417">
        <f t="shared" si="36"/>
        <v>-23539</v>
      </c>
      <c r="CR22" s="428">
        <f t="shared" si="37"/>
        <v>-1962</v>
      </c>
      <c r="CS22" s="417" t="str">
        <f t="shared" si="38"/>
        <v>Nữ dưới 30</v>
      </c>
      <c r="CT22" s="412"/>
      <c r="CU22" s="412"/>
      <c r="CV22" s="412" t="str">
        <f t="shared" si="39"/>
        <v>Đến 30</v>
      </c>
      <c r="CW22" s="412" t="str">
        <f t="shared" si="40"/>
        <v>--</v>
      </c>
      <c r="CX22" s="412"/>
      <c r="CY22" s="412"/>
      <c r="CZ22" s="412"/>
      <c r="DA22" s="412"/>
      <c r="DB22" s="412"/>
      <c r="DC22" s="412"/>
      <c r="DD22" s="412"/>
      <c r="DE22" s="412"/>
      <c r="DF22" s="412"/>
      <c r="DG22" s="412" t="s">
        <v>247</v>
      </c>
      <c r="DH22" s="412" t="s">
        <v>9</v>
      </c>
      <c r="DI22" s="412" t="s">
        <v>10</v>
      </c>
      <c r="DJ22" s="412" t="s">
        <v>37</v>
      </c>
      <c r="DK22" s="412" t="s">
        <v>10</v>
      </c>
      <c r="DL22" s="412" t="s">
        <v>31</v>
      </c>
      <c r="DM22" s="412">
        <f t="shared" si="41"/>
        <v>0</v>
      </c>
      <c r="DN22" s="412" t="str">
        <f t="shared" si="42"/>
        <v>- - -</v>
      </c>
      <c r="DO22" s="412" t="s">
        <v>9</v>
      </c>
      <c r="DP22" s="412" t="s">
        <v>10</v>
      </c>
      <c r="DQ22" s="604" t="s">
        <v>37</v>
      </c>
      <c r="DR22" s="142" t="s">
        <v>10</v>
      </c>
      <c r="DS22" s="142" t="s">
        <v>31</v>
      </c>
      <c r="DT22" s="142">
        <v>4.6500000000000004</v>
      </c>
      <c r="DU22" s="142" t="str">
        <f t="shared" si="43"/>
        <v>- - -</v>
      </c>
      <c r="DV22" s="142" t="str">
        <f t="shared" si="44"/>
        <v>---</v>
      </c>
    </row>
    <row r="23" spans="1:126" s="142" customFormat="1" ht="24" customHeight="1" x14ac:dyDescent="0.25">
      <c r="A23" s="152">
        <v>185</v>
      </c>
      <c r="B23" s="615">
        <v>6</v>
      </c>
      <c r="C23" s="139" t="str">
        <f t="shared" si="0"/>
        <v>Bà</v>
      </c>
      <c r="D23" s="497" t="s">
        <v>129</v>
      </c>
      <c r="E23" s="139" t="s">
        <v>32</v>
      </c>
      <c r="F23" s="276" t="s">
        <v>130</v>
      </c>
      <c r="G23" s="276" t="s">
        <v>10</v>
      </c>
      <c r="H23" s="276" t="s">
        <v>105</v>
      </c>
      <c r="I23" s="276" t="s">
        <v>10</v>
      </c>
      <c r="J23" s="139" t="s">
        <v>131</v>
      </c>
      <c r="K23" s="139" t="str">
        <f>IF(AND((M23+0)&gt;0.3,(M23+0)&lt;1.5),"CVụ","- -")</f>
        <v>CVụ</v>
      </c>
      <c r="L23" s="139" t="s">
        <v>111</v>
      </c>
      <c r="M23" s="143" t="str">
        <f>VLOOKUP(L23,'[1]- DLiêu Gốc -'!$B$2:$G$121,2,0)</f>
        <v>0,6</v>
      </c>
      <c r="N23" s="302" t="s">
        <v>96</v>
      </c>
      <c r="O23" s="295" t="s">
        <v>93</v>
      </c>
      <c r="P23" s="165" t="str">
        <f>VLOOKUP(U23,'[1]- DLiêu Gốc -'!$B$2:$G$56,5,0)</f>
        <v>A2</v>
      </c>
      <c r="Q23" s="165" t="str">
        <f>VLOOKUP(U23,'[1]- DLiêu Gốc -'!$B$2:$G$56,6,0)</f>
        <v>A2.1</v>
      </c>
      <c r="R23" s="139" t="s">
        <v>34</v>
      </c>
      <c r="S23" s="277" t="str">
        <f t="shared" si="1"/>
        <v>Giảng viên chính (hạng II)</v>
      </c>
      <c r="T23" s="278" t="str">
        <f t="shared" si="2"/>
        <v>V.07.01.02</v>
      </c>
      <c r="U23" s="180" t="s">
        <v>45</v>
      </c>
      <c r="V23" s="141" t="str">
        <f>VLOOKUP(U23,'[1]- DLiêu Gốc -'!$B$1:$G$121,2,0)</f>
        <v>V.07.01.02</v>
      </c>
      <c r="W23" s="274" t="str">
        <f t="shared" si="3"/>
        <v>Lương</v>
      </c>
      <c r="X23" s="274">
        <v>3</v>
      </c>
      <c r="Y23" s="274" t="str">
        <f t="shared" si="4"/>
        <v>/</v>
      </c>
      <c r="Z23" s="274">
        <f t="shared" si="5"/>
        <v>8</v>
      </c>
      <c r="AA23" s="274">
        <f t="shared" si="6"/>
        <v>5.08</v>
      </c>
      <c r="AB23" s="274">
        <f t="shared" si="7"/>
        <v>4</v>
      </c>
      <c r="AC23" s="274" t="str">
        <f t="shared" si="8"/>
        <v>/</v>
      </c>
      <c r="AD23" s="274">
        <f t="shared" si="9"/>
        <v>8</v>
      </c>
      <c r="AE23" s="274">
        <f t="shared" si="10"/>
        <v>5.42</v>
      </c>
      <c r="AF23" s="274" t="s">
        <v>9</v>
      </c>
      <c r="AG23" s="274" t="s">
        <v>10</v>
      </c>
      <c r="AH23" s="274" t="s">
        <v>42</v>
      </c>
      <c r="AI23" s="274" t="s">
        <v>10</v>
      </c>
      <c r="AJ23" s="274">
        <v>2015</v>
      </c>
      <c r="AK23" s="147"/>
      <c r="AL23" s="141">
        <v>12</v>
      </c>
      <c r="AM23" s="274">
        <f t="shared" si="11"/>
        <v>3</v>
      </c>
      <c r="AN23" s="274">
        <f t="shared" si="12"/>
        <v>-24192</v>
      </c>
      <c r="AO23" s="180"/>
      <c r="AP23" s="180"/>
      <c r="AQ23" s="274">
        <f>VLOOKUP(U23,'[1]- DLiêu Gốc -'!$B$1:$E$56,3,0)</f>
        <v>4.4000000000000004</v>
      </c>
      <c r="AR23" s="274">
        <f>VLOOKUP(U23,'[1]- DLiêu Gốc -'!$B$1:$E$56,4,0)</f>
        <v>0.34</v>
      </c>
      <c r="AT23" s="274" t="str">
        <f t="shared" si="13"/>
        <v>PCTN</v>
      </c>
      <c r="AU23" s="279">
        <v>30</v>
      </c>
      <c r="AV23" s="280" t="s">
        <v>38</v>
      </c>
      <c r="AW23" s="279">
        <f t="shared" si="14"/>
        <v>31</v>
      </c>
      <c r="AX23" s="281" t="s">
        <v>38</v>
      </c>
      <c r="AY23" s="282" t="s">
        <v>9</v>
      </c>
      <c r="AZ23" s="169" t="s">
        <v>10</v>
      </c>
      <c r="BA23" s="283">
        <v>2016</v>
      </c>
      <c r="BB23" s="253"/>
      <c r="BC23" s="253"/>
      <c r="BD23" s="180"/>
      <c r="BE23" s="253">
        <v>1</v>
      </c>
      <c r="BF23" s="180">
        <f t="shared" si="15"/>
        <v>-24193</v>
      </c>
      <c r="BG23" s="140" t="str">
        <f t="shared" si="16"/>
        <v>- - -</v>
      </c>
      <c r="BH23" s="253" t="str">
        <f t="shared" si="17"/>
        <v>VC</v>
      </c>
      <c r="BI23" s="619"/>
      <c r="BJ23" s="413"/>
      <c r="BK23" s="413" t="s">
        <v>101</v>
      </c>
      <c r="BL23" s="428" t="str">
        <f t="shared" si="18"/>
        <v>A</v>
      </c>
      <c r="BM23" s="417" t="str">
        <f t="shared" si="19"/>
        <v>=&gt; s</v>
      </c>
      <c r="BN23" s="428">
        <f t="shared" si="20"/>
        <v>24216</v>
      </c>
      <c r="BO23" s="413" t="str">
        <f t="shared" si="21"/>
        <v>---</v>
      </c>
      <c r="BP23" s="428"/>
      <c r="BQ23" s="429"/>
      <c r="BR23" s="429"/>
      <c r="BS23" s="430"/>
      <c r="BT23" s="412" t="str">
        <f t="shared" si="22"/>
        <v>- - -</v>
      </c>
      <c r="BU23" s="412" t="str">
        <f t="shared" si="23"/>
        <v>- - -</v>
      </c>
      <c r="BV23" s="412"/>
      <c r="BW23" s="412"/>
      <c r="BX23" s="412"/>
      <c r="BY23" s="412"/>
      <c r="BZ23" s="429" t="str">
        <f t="shared" si="24"/>
        <v>- - -</v>
      </c>
      <c r="CA23" s="428"/>
      <c r="CB23" s="428"/>
      <c r="CC23" s="508"/>
      <c r="CD23" s="508"/>
      <c r="CE23" s="412" t="str">
        <f t="shared" si="25"/>
        <v>---</v>
      </c>
      <c r="CF23" s="428" t="str">
        <f t="shared" si="26"/>
        <v>/-/ /-/</v>
      </c>
      <c r="CG23" s="428">
        <f t="shared" si="27"/>
        <v>6</v>
      </c>
      <c r="CH23" s="428">
        <f t="shared" si="28"/>
        <v>2015</v>
      </c>
      <c r="CI23" s="412">
        <f t="shared" si="29"/>
        <v>3</v>
      </c>
      <c r="CJ23" s="412">
        <f t="shared" si="30"/>
        <v>2015</v>
      </c>
      <c r="CK23" s="413">
        <f t="shared" si="31"/>
        <v>12</v>
      </c>
      <c r="CL23" s="428">
        <f t="shared" si="32"/>
        <v>2014</v>
      </c>
      <c r="CM23" s="428" t="str">
        <f t="shared" si="33"/>
        <v>- - -</v>
      </c>
      <c r="CN23" s="428" t="str">
        <f t="shared" si="34"/>
        <v>. .</v>
      </c>
      <c r="CO23" s="428"/>
      <c r="CP23" s="417">
        <f t="shared" si="35"/>
        <v>660</v>
      </c>
      <c r="CQ23" s="417">
        <f t="shared" si="36"/>
        <v>-23513</v>
      </c>
      <c r="CR23" s="428">
        <f t="shared" si="37"/>
        <v>-1960</v>
      </c>
      <c r="CS23" s="417" t="str">
        <f t="shared" si="38"/>
        <v>Nữ dưới 30</v>
      </c>
      <c r="CT23" s="412"/>
      <c r="CU23" s="412"/>
      <c r="CV23" s="412" t="str">
        <f t="shared" si="39"/>
        <v>Đến 30</v>
      </c>
      <c r="CW23" s="412" t="str">
        <f t="shared" si="40"/>
        <v>--</v>
      </c>
      <c r="CX23" s="412"/>
      <c r="CY23" s="412"/>
      <c r="CZ23" s="412"/>
      <c r="DA23" s="412"/>
      <c r="DB23" s="412"/>
      <c r="DC23" s="412"/>
      <c r="DD23" s="412"/>
      <c r="DE23" s="412"/>
      <c r="DF23" s="412"/>
      <c r="DG23" s="412" t="s">
        <v>96</v>
      </c>
      <c r="DH23" s="412" t="s">
        <v>9</v>
      </c>
      <c r="DI23" s="412" t="s">
        <v>10</v>
      </c>
      <c r="DJ23" s="412" t="s">
        <v>42</v>
      </c>
      <c r="DK23" s="412" t="s">
        <v>10</v>
      </c>
      <c r="DL23" s="412">
        <v>2012</v>
      </c>
      <c r="DM23" s="412">
        <f t="shared" si="41"/>
        <v>0</v>
      </c>
      <c r="DN23" s="412" t="str">
        <f t="shared" si="42"/>
        <v>- - -</v>
      </c>
      <c r="DO23" s="412" t="s">
        <v>9</v>
      </c>
      <c r="DP23" s="412" t="s">
        <v>10</v>
      </c>
      <c r="DQ23" s="604" t="s">
        <v>42</v>
      </c>
      <c r="DR23" s="142" t="s">
        <v>10</v>
      </c>
      <c r="DS23" s="142">
        <v>2012</v>
      </c>
      <c r="DU23" s="142" t="str">
        <f t="shared" si="43"/>
        <v>- - -</v>
      </c>
      <c r="DV23" s="142" t="str">
        <f t="shared" si="44"/>
        <v>---</v>
      </c>
    </row>
    <row r="24" spans="1:126" s="385" customFormat="1" ht="24" customHeight="1" x14ac:dyDescent="0.25">
      <c r="A24" s="453">
        <v>199</v>
      </c>
      <c r="B24" s="554">
        <v>7</v>
      </c>
      <c r="C24" s="384" t="str">
        <f t="shared" si="0"/>
        <v>Bà</v>
      </c>
      <c r="D24" s="321" t="s">
        <v>250</v>
      </c>
      <c r="E24" s="384" t="s">
        <v>32</v>
      </c>
      <c r="F24" s="386" t="s">
        <v>158</v>
      </c>
      <c r="G24" s="386" t="s">
        <v>10</v>
      </c>
      <c r="H24" s="386" t="s">
        <v>40</v>
      </c>
      <c r="I24" s="386" t="s">
        <v>10</v>
      </c>
      <c r="J24" s="384" t="s">
        <v>172</v>
      </c>
      <c r="K24" s="384"/>
      <c r="L24" s="384"/>
      <c r="M24" s="387" t="e">
        <f>VLOOKUP(L24,'[1]- DLiêu Gốc -'!$B$2:$G$121,2,0)</f>
        <v>#N/A</v>
      </c>
      <c r="N24" s="388" t="s">
        <v>144</v>
      </c>
      <c r="O24" s="389" t="s">
        <v>110</v>
      </c>
      <c r="P24" s="390" t="str">
        <f>VLOOKUP(U24,'[1]- DLiêu Gốc -'!$B$2:$G$56,5,0)</f>
        <v>A1</v>
      </c>
      <c r="Q24" s="390" t="str">
        <f>VLOOKUP(U24,'[1]- DLiêu Gốc -'!$B$2:$G$56,6,0)</f>
        <v>- - -</v>
      </c>
      <c r="R24" s="384" t="s">
        <v>34</v>
      </c>
      <c r="S24" s="391" t="str">
        <f t="shared" si="1"/>
        <v>Giảng viên (hạng III)</v>
      </c>
      <c r="T24" s="392" t="str">
        <f t="shared" si="2"/>
        <v>V.07.01.03</v>
      </c>
      <c r="U24" s="393" t="s">
        <v>35</v>
      </c>
      <c r="V24" s="394" t="str">
        <f>VLOOKUP(U24,'[1]- DLiêu Gốc -'!$B$1:$G$121,2,0)</f>
        <v>V.07.01.03</v>
      </c>
      <c r="W24" s="395" t="str">
        <f t="shared" si="3"/>
        <v>Lương</v>
      </c>
      <c r="X24" s="395">
        <v>5</v>
      </c>
      <c r="Y24" s="395" t="str">
        <f t="shared" si="4"/>
        <v>/</v>
      </c>
      <c r="Z24" s="395">
        <f t="shared" si="5"/>
        <v>9</v>
      </c>
      <c r="AA24" s="395">
        <f t="shared" si="6"/>
        <v>3.66</v>
      </c>
      <c r="AB24" s="395">
        <f t="shared" si="7"/>
        <v>6</v>
      </c>
      <c r="AC24" s="395" t="str">
        <f t="shared" si="8"/>
        <v>/</v>
      </c>
      <c r="AD24" s="395">
        <f t="shared" si="9"/>
        <v>9</v>
      </c>
      <c r="AE24" s="395">
        <f t="shared" si="10"/>
        <v>3.99</v>
      </c>
      <c r="AF24" s="395" t="s">
        <v>9</v>
      </c>
      <c r="AG24" s="395" t="s">
        <v>10</v>
      </c>
      <c r="AH24" s="395" t="s">
        <v>187</v>
      </c>
      <c r="AI24" s="395" t="s">
        <v>10</v>
      </c>
      <c r="AJ24" s="395">
        <v>2015</v>
      </c>
      <c r="AK24" s="396"/>
      <c r="AL24" s="394">
        <v>4</v>
      </c>
      <c r="AM24" s="395">
        <f t="shared" si="11"/>
        <v>3</v>
      </c>
      <c r="AN24" s="395">
        <f t="shared" si="12"/>
        <v>-24184</v>
      </c>
      <c r="AO24" s="393"/>
      <c r="AP24" s="393"/>
      <c r="AQ24" s="395">
        <f>VLOOKUP(U24,'[1]- DLiêu Gốc -'!$B$1:$E$56,3,0)</f>
        <v>2.34</v>
      </c>
      <c r="AR24" s="395">
        <f>VLOOKUP(U24,'[1]- DLiêu Gốc -'!$B$1:$E$56,4,0)</f>
        <v>0.33</v>
      </c>
      <c r="AT24" s="395" t="str">
        <f t="shared" si="13"/>
        <v>PCTN</v>
      </c>
      <c r="AU24" s="397">
        <v>5</v>
      </c>
      <c r="AV24" s="398" t="s">
        <v>38</v>
      </c>
      <c r="AW24" s="397">
        <f t="shared" si="14"/>
        <v>6</v>
      </c>
      <c r="AX24" s="399" t="s">
        <v>38</v>
      </c>
      <c r="AY24" s="400" t="s">
        <v>9</v>
      </c>
      <c r="AZ24" s="401" t="s">
        <v>10</v>
      </c>
      <c r="BA24" s="402">
        <v>2016</v>
      </c>
      <c r="BB24" s="431"/>
      <c r="BC24" s="431"/>
      <c r="BD24" s="393"/>
      <c r="BE24" s="431"/>
      <c r="BF24" s="393">
        <f t="shared" si="15"/>
        <v>-24193</v>
      </c>
      <c r="BG24" s="404" t="str">
        <f t="shared" si="16"/>
        <v>- - -</v>
      </c>
      <c r="BH24" s="431" t="str">
        <f t="shared" si="17"/>
        <v>VC</v>
      </c>
      <c r="BI24" s="620"/>
      <c r="BJ24" s="210"/>
      <c r="BK24" s="210" t="s">
        <v>101</v>
      </c>
      <c r="BL24" s="216" t="str">
        <f t="shared" si="18"/>
        <v>A</v>
      </c>
      <c r="BM24" s="214" t="str">
        <f t="shared" si="19"/>
        <v>=&gt; s</v>
      </c>
      <c r="BN24" s="216">
        <f t="shared" si="20"/>
        <v>24208</v>
      </c>
      <c r="BO24" s="210" t="str">
        <f t="shared" si="21"/>
        <v>S</v>
      </c>
      <c r="BP24" s="216">
        <v>2012</v>
      </c>
      <c r="BQ24" s="220" t="s">
        <v>36</v>
      </c>
      <c r="BR24" s="220"/>
      <c r="BS24" s="309"/>
      <c r="BT24" s="209" t="str">
        <f t="shared" si="22"/>
        <v>Cùg Ng</v>
      </c>
      <c r="BU24" s="209" t="str">
        <f t="shared" si="23"/>
        <v>- - -</v>
      </c>
      <c r="BV24" s="209"/>
      <c r="BW24" s="209"/>
      <c r="BX24" s="209"/>
      <c r="BY24" s="209"/>
      <c r="BZ24" s="220" t="str">
        <f t="shared" si="24"/>
        <v>- - -</v>
      </c>
      <c r="CA24" s="216"/>
      <c r="CB24" s="216"/>
      <c r="CC24" s="222"/>
      <c r="CD24" s="222"/>
      <c r="CE24" s="209" t="str">
        <f t="shared" si="25"/>
        <v>---</v>
      </c>
      <c r="CF24" s="216" t="str">
        <f t="shared" si="26"/>
        <v>/-/ /-/</v>
      </c>
      <c r="CG24" s="216">
        <f t="shared" si="27"/>
        <v>12</v>
      </c>
      <c r="CH24" s="216">
        <f t="shared" si="28"/>
        <v>2032</v>
      </c>
      <c r="CI24" s="209">
        <f t="shared" si="29"/>
        <v>9</v>
      </c>
      <c r="CJ24" s="209">
        <f t="shared" si="30"/>
        <v>2032</v>
      </c>
      <c r="CK24" s="210">
        <f t="shared" si="31"/>
        <v>6</v>
      </c>
      <c r="CL24" s="216">
        <f t="shared" si="32"/>
        <v>2032</v>
      </c>
      <c r="CM24" s="216" t="str">
        <f t="shared" si="33"/>
        <v>- - -</v>
      </c>
      <c r="CN24" s="216" t="str">
        <f t="shared" si="34"/>
        <v>. .</v>
      </c>
      <c r="CO24" s="216"/>
      <c r="CP24" s="214">
        <f t="shared" si="35"/>
        <v>660</v>
      </c>
      <c r="CQ24" s="214">
        <f t="shared" si="36"/>
        <v>-23723</v>
      </c>
      <c r="CR24" s="216">
        <f t="shared" si="37"/>
        <v>-1977</v>
      </c>
      <c r="CS24" s="214" t="str">
        <f t="shared" si="38"/>
        <v>Nữ dưới 30</v>
      </c>
      <c r="CT24" s="209"/>
      <c r="CU24" s="209"/>
      <c r="CV24" s="209" t="str">
        <f t="shared" si="39"/>
        <v>Đến 30</v>
      </c>
      <c r="CW24" s="209" t="str">
        <f t="shared" si="40"/>
        <v>TD</v>
      </c>
      <c r="CX24" s="209">
        <v>2008</v>
      </c>
      <c r="CY24" s="209"/>
      <c r="CZ24" s="209"/>
      <c r="DA24" s="209"/>
      <c r="DB24" s="209"/>
      <c r="DC24" s="209"/>
      <c r="DD24" s="209"/>
      <c r="DE24" s="209"/>
      <c r="DF24" s="209"/>
      <c r="DG24" s="209" t="s">
        <v>144</v>
      </c>
      <c r="DH24" s="209" t="s">
        <v>9</v>
      </c>
      <c r="DI24" s="209" t="s">
        <v>10</v>
      </c>
      <c r="DJ24" s="209" t="s">
        <v>187</v>
      </c>
      <c r="DK24" s="209" t="s">
        <v>10</v>
      </c>
      <c r="DL24" s="209">
        <v>2012</v>
      </c>
      <c r="DM24" s="209">
        <f t="shared" si="41"/>
        <v>0</v>
      </c>
      <c r="DN24" s="209" t="str">
        <f t="shared" si="42"/>
        <v>- - -</v>
      </c>
      <c r="DO24" s="209" t="s">
        <v>9</v>
      </c>
      <c r="DP24" s="209" t="s">
        <v>10</v>
      </c>
      <c r="DQ24" s="605" t="s">
        <v>187</v>
      </c>
      <c r="DR24" s="385" t="s">
        <v>10</v>
      </c>
      <c r="DS24" s="385">
        <v>2012</v>
      </c>
      <c r="DU24" s="385" t="str">
        <f t="shared" si="43"/>
        <v>- - -</v>
      </c>
      <c r="DV24" s="385" t="str">
        <f t="shared" si="44"/>
        <v>---</v>
      </c>
    </row>
    <row r="25" spans="1:126" s="142" customFormat="1" ht="24" customHeight="1" x14ac:dyDescent="0.25">
      <c r="A25" s="152">
        <v>200</v>
      </c>
      <c r="B25" s="615">
        <v>8</v>
      </c>
      <c r="C25" s="139" t="str">
        <f t="shared" si="0"/>
        <v>Bà</v>
      </c>
      <c r="D25" s="497" t="s">
        <v>251</v>
      </c>
      <c r="E25" s="139" t="s">
        <v>32</v>
      </c>
      <c r="F25" s="276" t="s">
        <v>92</v>
      </c>
      <c r="G25" s="276" t="s">
        <v>10</v>
      </c>
      <c r="H25" s="276" t="s">
        <v>42</v>
      </c>
      <c r="I25" s="276" t="s">
        <v>10</v>
      </c>
      <c r="J25" s="139" t="s">
        <v>172</v>
      </c>
      <c r="K25" s="139"/>
      <c r="L25" s="139"/>
      <c r="M25" s="143" t="e">
        <f>VLOOKUP(L25,'[1]- DLiêu Gốc -'!$B$2:$G$121,2,0)</f>
        <v>#N/A</v>
      </c>
      <c r="N25" s="302" t="s">
        <v>144</v>
      </c>
      <c r="O25" s="295" t="s">
        <v>110</v>
      </c>
      <c r="P25" s="165" t="str">
        <f>VLOOKUP(U25,'[1]- DLiêu Gốc -'!$B$2:$G$56,5,0)</f>
        <v>A1</v>
      </c>
      <c r="Q25" s="165" t="str">
        <f>VLOOKUP(U25,'[1]- DLiêu Gốc -'!$B$2:$G$56,6,0)</f>
        <v>- - -</v>
      </c>
      <c r="R25" s="139" t="s">
        <v>34</v>
      </c>
      <c r="S25" s="277" t="str">
        <f t="shared" si="1"/>
        <v>Giảng viên (hạng III)</v>
      </c>
      <c r="T25" s="278" t="str">
        <f t="shared" si="2"/>
        <v>V.07.01.03</v>
      </c>
      <c r="U25" s="180" t="s">
        <v>35</v>
      </c>
      <c r="V25" s="141" t="str">
        <f>VLOOKUP(U25,'[1]- DLiêu Gốc -'!$B$1:$G$121,2,0)</f>
        <v>V.07.01.03</v>
      </c>
      <c r="W25" s="274" t="str">
        <f t="shared" si="3"/>
        <v>Lương</v>
      </c>
      <c r="X25" s="274">
        <v>3</v>
      </c>
      <c r="Y25" s="274" t="str">
        <f t="shared" si="4"/>
        <v>/</v>
      </c>
      <c r="Z25" s="274">
        <f t="shared" si="5"/>
        <v>9</v>
      </c>
      <c r="AA25" s="274">
        <f t="shared" si="6"/>
        <v>3</v>
      </c>
      <c r="AB25" s="274">
        <f t="shared" si="7"/>
        <v>4</v>
      </c>
      <c r="AC25" s="274" t="str">
        <f t="shared" si="8"/>
        <v>/</v>
      </c>
      <c r="AD25" s="274">
        <f t="shared" si="9"/>
        <v>9</v>
      </c>
      <c r="AE25" s="274">
        <f t="shared" si="10"/>
        <v>3.33</v>
      </c>
      <c r="AF25" s="274" t="s">
        <v>9</v>
      </c>
      <c r="AG25" s="274" t="s">
        <v>10</v>
      </c>
      <c r="AH25" s="274" t="s">
        <v>94</v>
      </c>
      <c r="AI25" s="274" t="s">
        <v>10</v>
      </c>
      <c r="AJ25" s="274">
        <v>2014</v>
      </c>
      <c r="AK25" s="147"/>
      <c r="AL25" s="141"/>
      <c r="AM25" s="274">
        <f t="shared" si="11"/>
        <v>3</v>
      </c>
      <c r="AN25" s="274">
        <f t="shared" si="12"/>
        <v>-24177</v>
      </c>
      <c r="AO25" s="180"/>
      <c r="AP25" s="180"/>
      <c r="AQ25" s="274">
        <f>VLOOKUP(U25,'[1]- DLiêu Gốc -'!$B$1:$E$56,3,0)</f>
        <v>2.34</v>
      </c>
      <c r="AR25" s="274">
        <f>VLOOKUP(U25,'[1]- DLiêu Gốc -'!$B$1:$E$56,4,0)</f>
        <v>0.33</v>
      </c>
      <c r="AT25" s="274" t="str">
        <f t="shared" si="13"/>
        <v>PCTN</v>
      </c>
      <c r="AU25" s="279">
        <v>6</v>
      </c>
      <c r="AV25" s="280" t="s">
        <v>38</v>
      </c>
      <c r="AW25" s="279">
        <f t="shared" si="14"/>
        <v>7</v>
      </c>
      <c r="AX25" s="281" t="s">
        <v>38</v>
      </c>
      <c r="AY25" s="282" t="s">
        <v>9</v>
      </c>
      <c r="AZ25" s="169" t="s">
        <v>10</v>
      </c>
      <c r="BA25" s="283">
        <v>2016</v>
      </c>
      <c r="BB25" s="253"/>
      <c r="BC25" s="253"/>
      <c r="BD25" s="180"/>
      <c r="BE25" s="253">
        <v>1</v>
      </c>
      <c r="BF25" s="180">
        <f t="shared" si="15"/>
        <v>-24193</v>
      </c>
      <c r="BG25" s="140" t="str">
        <f t="shared" si="16"/>
        <v>- - -</v>
      </c>
      <c r="BH25" s="253" t="str">
        <f t="shared" si="17"/>
        <v>VC</v>
      </c>
      <c r="BI25" s="619"/>
      <c r="BJ25" s="413"/>
      <c r="BK25" s="413" t="s">
        <v>101</v>
      </c>
      <c r="BL25" s="428" t="str">
        <f t="shared" si="18"/>
        <v>A</v>
      </c>
      <c r="BM25" s="417" t="str">
        <f t="shared" si="19"/>
        <v>=&gt; s</v>
      </c>
      <c r="BN25" s="428">
        <f t="shared" si="20"/>
        <v>24201</v>
      </c>
      <c r="BO25" s="413" t="str">
        <f t="shared" si="21"/>
        <v>S</v>
      </c>
      <c r="BP25" s="428">
        <v>2011</v>
      </c>
      <c r="BQ25" s="429" t="s">
        <v>243</v>
      </c>
      <c r="BR25" s="429"/>
      <c r="BS25" s="430"/>
      <c r="BT25" s="412" t="str">
        <f t="shared" si="22"/>
        <v>- - -</v>
      </c>
      <c r="BU25" s="412" t="str">
        <f t="shared" si="23"/>
        <v>- - -</v>
      </c>
      <c r="BV25" s="412"/>
      <c r="BW25" s="412"/>
      <c r="BX25" s="412"/>
      <c r="BY25" s="412"/>
      <c r="BZ25" s="429" t="str">
        <f t="shared" si="24"/>
        <v>CN</v>
      </c>
      <c r="CA25" s="428">
        <v>6</v>
      </c>
      <c r="CB25" s="428">
        <v>2013</v>
      </c>
      <c r="CC25" s="508"/>
      <c r="CD25" s="508"/>
      <c r="CE25" s="412" t="str">
        <f t="shared" si="25"/>
        <v>---</v>
      </c>
      <c r="CF25" s="428" t="str">
        <f t="shared" si="26"/>
        <v>/-/ /-/</v>
      </c>
      <c r="CG25" s="428">
        <f t="shared" si="27"/>
        <v>1</v>
      </c>
      <c r="CH25" s="428">
        <f t="shared" si="28"/>
        <v>2033</v>
      </c>
      <c r="CI25" s="412">
        <f t="shared" si="29"/>
        <v>10</v>
      </c>
      <c r="CJ25" s="412">
        <f t="shared" si="30"/>
        <v>2032</v>
      </c>
      <c r="CK25" s="413">
        <f t="shared" si="31"/>
        <v>7</v>
      </c>
      <c r="CL25" s="428">
        <f t="shared" si="32"/>
        <v>2032</v>
      </c>
      <c r="CM25" s="428" t="str">
        <f t="shared" si="33"/>
        <v>- - -</v>
      </c>
      <c r="CN25" s="428" t="str">
        <f t="shared" si="34"/>
        <v>. .</v>
      </c>
      <c r="CO25" s="428"/>
      <c r="CP25" s="417">
        <f t="shared" si="35"/>
        <v>660</v>
      </c>
      <c r="CQ25" s="417">
        <f t="shared" si="36"/>
        <v>-23724</v>
      </c>
      <c r="CR25" s="428">
        <f t="shared" si="37"/>
        <v>-1977</v>
      </c>
      <c r="CS25" s="417" t="str">
        <f t="shared" si="38"/>
        <v>Nữ dưới 30</v>
      </c>
      <c r="CT25" s="412"/>
      <c r="CU25" s="412"/>
      <c r="CV25" s="412" t="str">
        <f t="shared" si="39"/>
        <v>Đến 30</v>
      </c>
      <c r="CW25" s="412" t="str">
        <f t="shared" si="40"/>
        <v>--</v>
      </c>
      <c r="CX25" s="412"/>
      <c r="CY25" s="412" t="s">
        <v>244</v>
      </c>
      <c r="CZ25" s="412">
        <v>6</v>
      </c>
      <c r="DA25" s="412">
        <v>2013</v>
      </c>
      <c r="DB25" s="412"/>
      <c r="DC25" s="412"/>
      <c r="DD25" s="412"/>
      <c r="DE25" s="412"/>
      <c r="DF25" s="412"/>
      <c r="DG25" s="412" t="s">
        <v>144</v>
      </c>
      <c r="DH25" s="412" t="s">
        <v>9</v>
      </c>
      <c r="DI25" s="412" t="s">
        <v>10</v>
      </c>
      <c r="DJ25" s="412" t="s">
        <v>94</v>
      </c>
      <c r="DK25" s="412" t="s">
        <v>10</v>
      </c>
      <c r="DL25" s="412" t="s">
        <v>31</v>
      </c>
      <c r="DM25" s="412">
        <f t="shared" si="41"/>
        <v>0</v>
      </c>
      <c r="DN25" s="412" t="str">
        <f t="shared" si="42"/>
        <v>- - -</v>
      </c>
      <c r="DO25" s="412" t="s">
        <v>9</v>
      </c>
      <c r="DP25" s="412" t="s">
        <v>10</v>
      </c>
      <c r="DQ25" s="604" t="s">
        <v>94</v>
      </c>
      <c r="DR25" s="142" t="s">
        <v>10</v>
      </c>
      <c r="DS25" s="142" t="s">
        <v>31</v>
      </c>
      <c r="DU25" s="142" t="str">
        <f t="shared" si="43"/>
        <v>- - -</v>
      </c>
      <c r="DV25" s="142" t="str">
        <f t="shared" si="44"/>
        <v>---</v>
      </c>
    </row>
    <row r="26" spans="1:126" s="142" customFormat="1" ht="24" customHeight="1" x14ac:dyDescent="0.25">
      <c r="A26" s="152">
        <v>205</v>
      </c>
      <c r="B26" s="615">
        <v>9</v>
      </c>
      <c r="C26" s="139" t="str">
        <f t="shared" si="0"/>
        <v>Bà</v>
      </c>
      <c r="D26" s="497" t="s">
        <v>252</v>
      </c>
      <c r="E26" s="139" t="s">
        <v>32</v>
      </c>
      <c r="F26" s="276" t="s">
        <v>231</v>
      </c>
      <c r="G26" s="276" t="s">
        <v>10</v>
      </c>
      <c r="H26" s="276" t="s">
        <v>42</v>
      </c>
      <c r="I26" s="276" t="s">
        <v>10</v>
      </c>
      <c r="J26" s="139" t="s">
        <v>253</v>
      </c>
      <c r="K26" s="139" t="str">
        <f>IF(AND((M26+0)&gt;0.3,(M26+0)&lt;1.5),"CVụ","- -")</f>
        <v>CVụ</v>
      </c>
      <c r="L26" s="139" t="s">
        <v>143</v>
      </c>
      <c r="M26" s="143" t="str">
        <f>VLOOKUP(L26,'[1]- DLiêu Gốc -'!$B$2:$G$121,2,0)</f>
        <v>0,4</v>
      </c>
      <c r="N26" s="302" t="s">
        <v>132</v>
      </c>
      <c r="O26" s="295" t="s">
        <v>110</v>
      </c>
      <c r="P26" s="165" t="str">
        <f>VLOOKUP(U26,'[1]- DLiêu Gốc -'!$B$2:$G$56,5,0)</f>
        <v>A1</v>
      </c>
      <c r="Q26" s="165" t="str">
        <f>VLOOKUP(U26,'[1]- DLiêu Gốc -'!$B$2:$G$56,6,0)</f>
        <v>- - -</v>
      </c>
      <c r="R26" s="139" t="s">
        <v>34</v>
      </c>
      <c r="S26" s="277" t="str">
        <f t="shared" si="1"/>
        <v>Giảng viên (hạng III)</v>
      </c>
      <c r="T26" s="278" t="str">
        <f t="shared" si="2"/>
        <v>V.07.01.03</v>
      </c>
      <c r="U26" s="180" t="s">
        <v>35</v>
      </c>
      <c r="V26" s="141" t="str">
        <f>VLOOKUP(U26,'[1]- DLiêu Gốc -'!$B$1:$G$121,2,0)</f>
        <v>V.07.01.03</v>
      </c>
      <c r="W26" s="274" t="str">
        <f t="shared" si="3"/>
        <v>Lương</v>
      </c>
      <c r="X26" s="274">
        <v>4</v>
      </c>
      <c r="Y26" s="274" t="str">
        <f t="shared" si="4"/>
        <v>/</v>
      </c>
      <c r="Z26" s="274">
        <f t="shared" si="5"/>
        <v>9</v>
      </c>
      <c r="AA26" s="274">
        <f t="shared" si="6"/>
        <v>3.33</v>
      </c>
      <c r="AB26" s="274">
        <f t="shared" si="7"/>
        <v>5</v>
      </c>
      <c r="AC26" s="274" t="str">
        <f t="shared" si="8"/>
        <v>/</v>
      </c>
      <c r="AD26" s="274">
        <f t="shared" si="9"/>
        <v>9</v>
      </c>
      <c r="AE26" s="274">
        <f t="shared" si="10"/>
        <v>3.66</v>
      </c>
      <c r="AF26" s="274" t="s">
        <v>9</v>
      </c>
      <c r="AG26" s="274" t="s">
        <v>10</v>
      </c>
      <c r="AH26" s="274" t="s">
        <v>46</v>
      </c>
      <c r="AI26" s="274" t="s">
        <v>10</v>
      </c>
      <c r="AJ26" s="274">
        <v>2015</v>
      </c>
      <c r="AK26" s="147"/>
      <c r="AL26" s="141">
        <v>10</v>
      </c>
      <c r="AM26" s="274">
        <f t="shared" si="11"/>
        <v>3</v>
      </c>
      <c r="AN26" s="274">
        <f t="shared" si="12"/>
        <v>-24190</v>
      </c>
      <c r="AO26" s="180"/>
      <c r="AP26" s="180"/>
      <c r="AQ26" s="274">
        <f>VLOOKUP(U26,'[1]- DLiêu Gốc -'!$B$1:$E$56,3,0)</f>
        <v>2.34</v>
      </c>
      <c r="AR26" s="274">
        <f>VLOOKUP(U26,'[1]- DLiêu Gốc -'!$B$1:$E$56,4,0)</f>
        <v>0.33</v>
      </c>
      <c r="AT26" s="274" t="str">
        <f t="shared" si="13"/>
        <v>PCTN</v>
      </c>
      <c r="AU26" s="279">
        <v>10</v>
      </c>
      <c r="AV26" s="280" t="s">
        <v>38</v>
      </c>
      <c r="AW26" s="279">
        <f t="shared" si="14"/>
        <v>11</v>
      </c>
      <c r="AX26" s="281" t="s">
        <v>38</v>
      </c>
      <c r="AY26" s="282" t="s">
        <v>9</v>
      </c>
      <c r="AZ26" s="169" t="s">
        <v>10</v>
      </c>
      <c r="BA26" s="283">
        <v>2016</v>
      </c>
      <c r="BB26" s="253"/>
      <c r="BC26" s="253"/>
      <c r="BD26" s="180"/>
      <c r="BE26" s="253">
        <v>1</v>
      </c>
      <c r="BF26" s="180">
        <f t="shared" si="15"/>
        <v>-24193</v>
      </c>
      <c r="BG26" s="140" t="str">
        <f t="shared" si="16"/>
        <v>- - -</v>
      </c>
      <c r="BH26" s="253" t="str">
        <f t="shared" si="17"/>
        <v>VC</v>
      </c>
      <c r="BI26" s="619"/>
      <c r="BJ26" s="413"/>
      <c r="BK26" s="413" t="s">
        <v>101</v>
      </c>
      <c r="BL26" s="428" t="str">
        <f t="shared" si="18"/>
        <v>A</v>
      </c>
      <c r="BM26" s="417" t="str">
        <f t="shared" si="19"/>
        <v>=&gt; s</v>
      </c>
      <c r="BN26" s="428">
        <f t="shared" si="20"/>
        <v>24214</v>
      </c>
      <c r="BO26" s="413" t="str">
        <f t="shared" si="21"/>
        <v>S</v>
      </c>
      <c r="BP26" s="428">
        <v>2010</v>
      </c>
      <c r="BQ26" s="429" t="s">
        <v>36</v>
      </c>
      <c r="BR26" s="429"/>
      <c r="BS26" s="430"/>
      <c r="BT26" s="412" t="str">
        <f t="shared" si="22"/>
        <v>Cùg Ng</v>
      </c>
      <c r="BU26" s="412" t="str">
        <f t="shared" si="23"/>
        <v>- - -</v>
      </c>
      <c r="BV26" s="412"/>
      <c r="BW26" s="412"/>
      <c r="BX26" s="412"/>
      <c r="BY26" s="412"/>
      <c r="BZ26" s="429" t="str">
        <f t="shared" si="24"/>
        <v>- - -</v>
      </c>
      <c r="CA26" s="428"/>
      <c r="CB26" s="428"/>
      <c r="CC26" s="508"/>
      <c r="CD26" s="508"/>
      <c r="CE26" s="412" t="str">
        <f t="shared" si="25"/>
        <v>---</v>
      </c>
      <c r="CF26" s="428" t="str">
        <f t="shared" si="26"/>
        <v>/-/ /-/</v>
      </c>
      <c r="CG26" s="428">
        <f t="shared" si="27"/>
        <v>1</v>
      </c>
      <c r="CH26" s="428">
        <f t="shared" si="28"/>
        <v>2037</v>
      </c>
      <c r="CI26" s="412">
        <f t="shared" si="29"/>
        <v>10</v>
      </c>
      <c r="CJ26" s="412">
        <f t="shared" si="30"/>
        <v>2036</v>
      </c>
      <c r="CK26" s="413">
        <f t="shared" si="31"/>
        <v>7</v>
      </c>
      <c r="CL26" s="428">
        <f t="shared" si="32"/>
        <v>2036</v>
      </c>
      <c r="CM26" s="428" t="str">
        <f t="shared" si="33"/>
        <v>- - -</v>
      </c>
      <c r="CN26" s="428" t="str">
        <f t="shared" si="34"/>
        <v>. .</v>
      </c>
      <c r="CO26" s="428"/>
      <c r="CP26" s="417">
        <f t="shared" si="35"/>
        <v>660</v>
      </c>
      <c r="CQ26" s="417">
        <f t="shared" si="36"/>
        <v>-23772</v>
      </c>
      <c r="CR26" s="428">
        <f t="shared" si="37"/>
        <v>-1981</v>
      </c>
      <c r="CS26" s="417" t="str">
        <f t="shared" si="38"/>
        <v>Nữ dưới 30</v>
      </c>
      <c r="CT26" s="412"/>
      <c r="CU26" s="412"/>
      <c r="CV26" s="412" t="str">
        <f t="shared" si="39"/>
        <v>Đến 30</v>
      </c>
      <c r="CW26" s="412" t="str">
        <f t="shared" si="40"/>
        <v>TD</v>
      </c>
      <c r="CX26" s="412">
        <v>2009</v>
      </c>
      <c r="CY26" s="412"/>
      <c r="CZ26" s="412"/>
      <c r="DA26" s="412"/>
      <c r="DB26" s="412"/>
      <c r="DC26" s="412"/>
      <c r="DD26" s="412"/>
      <c r="DE26" s="412"/>
      <c r="DF26" s="412"/>
      <c r="DG26" s="412" t="s">
        <v>132</v>
      </c>
      <c r="DH26" s="412" t="s">
        <v>9</v>
      </c>
      <c r="DI26" s="412" t="s">
        <v>10</v>
      </c>
      <c r="DJ26" s="412" t="s">
        <v>46</v>
      </c>
      <c r="DK26" s="412" t="s">
        <v>10</v>
      </c>
      <c r="DL26" s="412">
        <v>2012</v>
      </c>
      <c r="DM26" s="412">
        <f t="shared" si="41"/>
        <v>0</v>
      </c>
      <c r="DN26" s="412" t="str">
        <f t="shared" si="42"/>
        <v>- - -</v>
      </c>
      <c r="DO26" s="412" t="s">
        <v>9</v>
      </c>
      <c r="DP26" s="412" t="s">
        <v>10</v>
      </c>
      <c r="DQ26" s="604" t="s">
        <v>46</v>
      </c>
      <c r="DR26" s="142" t="s">
        <v>10</v>
      </c>
      <c r="DS26" s="142">
        <v>2012</v>
      </c>
      <c r="DU26" s="142" t="str">
        <f t="shared" si="43"/>
        <v>- - -</v>
      </c>
      <c r="DV26" s="142" t="str">
        <f t="shared" si="44"/>
        <v>---</v>
      </c>
    </row>
    <row r="27" spans="1:126" s="142" customFormat="1" ht="24" customHeight="1" x14ac:dyDescent="0.25">
      <c r="A27" s="152">
        <v>208</v>
      </c>
      <c r="B27" s="615">
        <v>10</v>
      </c>
      <c r="C27" s="139" t="str">
        <f t="shared" si="0"/>
        <v>Ông</v>
      </c>
      <c r="D27" s="497" t="s">
        <v>254</v>
      </c>
      <c r="E27" s="139" t="s">
        <v>39</v>
      </c>
      <c r="F27" s="276" t="s">
        <v>154</v>
      </c>
      <c r="G27" s="276" t="s">
        <v>10</v>
      </c>
      <c r="H27" s="276">
        <v>4</v>
      </c>
      <c r="I27" s="276" t="s">
        <v>10</v>
      </c>
      <c r="J27" s="139">
        <v>1973</v>
      </c>
      <c r="K27" s="139" t="str">
        <f>IF(AND((M27+0)&gt;0.3,(M27+0)&lt;1.5),"CVụ","- -")</f>
        <v>CVụ</v>
      </c>
      <c r="L27" s="139" t="s">
        <v>111</v>
      </c>
      <c r="M27" s="143" t="str">
        <f>VLOOKUP(L27,'[1]- DLiêu Gốc -'!$B$2:$G$121,2,0)</f>
        <v>0,6</v>
      </c>
      <c r="N27" s="302" t="s">
        <v>132</v>
      </c>
      <c r="O27" s="295" t="s">
        <v>110</v>
      </c>
      <c r="P27" s="165" t="str">
        <f>VLOOKUP(U27,'[1]- DLiêu Gốc -'!$B$2:$G$56,5,0)</f>
        <v>A1</v>
      </c>
      <c r="Q27" s="165" t="str">
        <f>VLOOKUP(U27,'[1]- DLiêu Gốc -'!$B$2:$G$56,6,0)</f>
        <v>- - -</v>
      </c>
      <c r="R27" s="139" t="s">
        <v>34</v>
      </c>
      <c r="S27" s="277" t="str">
        <f t="shared" si="1"/>
        <v>Giảng viên (hạng III)</v>
      </c>
      <c r="T27" s="278" t="str">
        <f t="shared" si="2"/>
        <v>V.07.01.03</v>
      </c>
      <c r="U27" s="180" t="s">
        <v>35</v>
      </c>
      <c r="V27" s="141" t="str">
        <f>VLOOKUP(U27,'[1]- DLiêu Gốc -'!$B$1:$G$121,2,0)</f>
        <v>V.07.01.03</v>
      </c>
      <c r="W27" s="274" t="str">
        <f t="shared" si="3"/>
        <v>Lương</v>
      </c>
      <c r="X27" s="274">
        <v>4</v>
      </c>
      <c r="Y27" s="274" t="str">
        <f t="shared" si="4"/>
        <v>/</v>
      </c>
      <c r="Z27" s="274">
        <f t="shared" si="5"/>
        <v>9</v>
      </c>
      <c r="AA27" s="274">
        <f t="shared" si="6"/>
        <v>3.33</v>
      </c>
      <c r="AB27" s="274">
        <f t="shared" si="7"/>
        <v>5</v>
      </c>
      <c r="AC27" s="274" t="str">
        <f t="shared" si="8"/>
        <v>/</v>
      </c>
      <c r="AD27" s="274">
        <f t="shared" si="9"/>
        <v>9</v>
      </c>
      <c r="AE27" s="274">
        <f t="shared" si="10"/>
        <v>3.66</v>
      </c>
      <c r="AF27" s="274" t="s">
        <v>9</v>
      </c>
      <c r="AG27" s="274" t="s">
        <v>10</v>
      </c>
      <c r="AH27" s="274" t="s">
        <v>46</v>
      </c>
      <c r="AI27" s="274" t="s">
        <v>10</v>
      </c>
      <c r="AJ27" s="274">
        <v>2015</v>
      </c>
      <c r="AK27" s="147"/>
      <c r="AL27" s="141">
        <v>10</v>
      </c>
      <c r="AM27" s="274">
        <f t="shared" si="11"/>
        <v>3</v>
      </c>
      <c r="AN27" s="274">
        <f t="shared" si="12"/>
        <v>-24190</v>
      </c>
      <c r="AO27" s="180"/>
      <c r="AP27" s="180"/>
      <c r="AQ27" s="274">
        <f>VLOOKUP(U27,'[1]- DLiêu Gốc -'!$B$1:$E$56,3,0)</f>
        <v>2.34</v>
      </c>
      <c r="AR27" s="274">
        <f>VLOOKUP(U27,'[1]- DLiêu Gốc -'!$B$1:$E$56,4,0)</f>
        <v>0.33</v>
      </c>
      <c r="AT27" s="274" t="str">
        <f t="shared" si="13"/>
        <v>PCTN</v>
      </c>
      <c r="AU27" s="279">
        <v>10</v>
      </c>
      <c r="AV27" s="280" t="s">
        <v>38</v>
      </c>
      <c r="AW27" s="279">
        <f t="shared" si="14"/>
        <v>11</v>
      </c>
      <c r="AX27" s="281" t="s">
        <v>38</v>
      </c>
      <c r="AY27" s="282" t="s">
        <v>9</v>
      </c>
      <c r="AZ27" s="169" t="s">
        <v>10</v>
      </c>
      <c r="BA27" s="283">
        <v>2016</v>
      </c>
      <c r="BB27" s="253"/>
      <c r="BC27" s="253"/>
      <c r="BD27" s="180"/>
      <c r="BE27" s="253">
        <v>1</v>
      </c>
      <c r="BF27" s="180">
        <f t="shared" si="15"/>
        <v>-24193</v>
      </c>
      <c r="BG27" s="140" t="str">
        <f t="shared" si="16"/>
        <v>- - -</v>
      </c>
      <c r="BH27" s="253" t="str">
        <f t="shared" si="17"/>
        <v>VC</v>
      </c>
      <c r="BI27" s="619"/>
      <c r="BJ27" s="413"/>
      <c r="BK27" s="413" t="s">
        <v>101</v>
      </c>
      <c r="BL27" s="428" t="str">
        <f t="shared" si="18"/>
        <v>A</v>
      </c>
      <c r="BM27" s="417" t="str">
        <f t="shared" si="19"/>
        <v>=&gt; s</v>
      </c>
      <c r="BN27" s="428">
        <f t="shared" si="20"/>
        <v>24214</v>
      </c>
      <c r="BO27" s="413" t="str">
        <f t="shared" si="21"/>
        <v>S</v>
      </c>
      <c r="BP27" s="428">
        <v>2012</v>
      </c>
      <c r="BQ27" s="429" t="s">
        <v>36</v>
      </c>
      <c r="BR27" s="429"/>
      <c r="BS27" s="430"/>
      <c r="BT27" s="412" t="str">
        <f t="shared" si="22"/>
        <v>Cùg Ng</v>
      </c>
      <c r="BU27" s="412" t="str">
        <f t="shared" si="23"/>
        <v>- - -</v>
      </c>
      <c r="BV27" s="412"/>
      <c r="BW27" s="412"/>
      <c r="BX27" s="412"/>
      <c r="BY27" s="412"/>
      <c r="BZ27" s="429" t="str">
        <f t="shared" si="24"/>
        <v>- - -</v>
      </c>
      <c r="CA27" s="428"/>
      <c r="CB27" s="428"/>
      <c r="CC27" s="508"/>
      <c r="CD27" s="508"/>
      <c r="CE27" s="412" t="str">
        <f t="shared" si="25"/>
        <v>---</v>
      </c>
      <c r="CF27" s="428" t="str">
        <f t="shared" si="26"/>
        <v>/-/ /-/</v>
      </c>
      <c r="CG27" s="428">
        <f t="shared" si="27"/>
        <v>5</v>
      </c>
      <c r="CH27" s="428">
        <f t="shared" si="28"/>
        <v>2033</v>
      </c>
      <c r="CI27" s="412">
        <f t="shared" si="29"/>
        <v>2</v>
      </c>
      <c r="CJ27" s="412">
        <f t="shared" si="30"/>
        <v>2033</v>
      </c>
      <c r="CK27" s="413">
        <f t="shared" si="31"/>
        <v>11</v>
      </c>
      <c r="CL27" s="428">
        <f t="shared" si="32"/>
        <v>2032</v>
      </c>
      <c r="CM27" s="428" t="str">
        <f t="shared" si="33"/>
        <v>- - -</v>
      </c>
      <c r="CN27" s="428" t="str">
        <f t="shared" si="34"/>
        <v>. .</v>
      </c>
      <c r="CO27" s="428"/>
      <c r="CP27" s="417">
        <f t="shared" si="35"/>
        <v>720</v>
      </c>
      <c r="CQ27" s="417">
        <f t="shared" si="36"/>
        <v>-23668</v>
      </c>
      <c r="CR27" s="428">
        <f t="shared" si="37"/>
        <v>-1973</v>
      </c>
      <c r="CS27" s="417" t="str">
        <f t="shared" si="38"/>
        <v>Nam dưới 35</v>
      </c>
      <c r="CT27" s="412"/>
      <c r="CU27" s="412"/>
      <c r="CV27" s="412" t="str">
        <f t="shared" si="39"/>
        <v>Đến 30</v>
      </c>
      <c r="CW27" s="412" t="str">
        <f t="shared" si="40"/>
        <v>--</v>
      </c>
      <c r="CX27" s="412"/>
      <c r="CY27" s="412"/>
      <c r="CZ27" s="412"/>
      <c r="DA27" s="412"/>
      <c r="DB27" s="412"/>
      <c r="DC27" s="412"/>
      <c r="DD27" s="412"/>
      <c r="DE27" s="412"/>
      <c r="DF27" s="412"/>
      <c r="DG27" s="412" t="s">
        <v>132</v>
      </c>
      <c r="DH27" s="412" t="s">
        <v>9</v>
      </c>
      <c r="DI27" s="412" t="s">
        <v>10</v>
      </c>
      <c r="DJ27" s="412" t="s">
        <v>46</v>
      </c>
      <c r="DK27" s="412" t="s">
        <v>10</v>
      </c>
      <c r="DL27" s="412">
        <v>2012</v>
      </c>
      <c r="DM27" s="412">
        <f t="shared" si="41"/>
        <v>0</v>
      </c>
      <c r="DN27" s="412" t="str">
        <f t="shared" si="42"/>
        <v>- - -</v>
      </c>
      <c r="DO27" s="412" t="s">
        <v>9</v>
      </c>
      <c r="DP27" s="412" t="s">
        <v>10</v>
      </c>
      <c r="DQ27" s="604" t="s">
        <v>46</v>
      </c>
      <c r="DR27" s="142" t="s">
        <v>10</v>
      </c>
      <c r="DS27" s="142">
        <v>2012</v>
      </c>
      <c r="DU27" s="142" t="str">
        <f t="shared" si="43"/>
        <v>- - -</v>
      </c>
      <c r="DV27" s="142" t="str">
        <f t="shared" si="44"/>
        <v>---</v>
      </c>
    </row>
    <row r="28" spans="1:126" s="142" customFormat="1" ht="31.5" customHeight="1" x14ac:dyDescent="0.25">
      <c r="A28" s="152">
        <v>236</v>
      </c>
      <c r="B28" s="615">
        <v>11</v>
      </c>
      <c r="C28" s="139" t="str">
        <f t="shared" si="0"/>
        <v>Bà</v>
      </c>
      <c r="D28" s="497" t="s">
        <v>255</v>
      </c>
      <c r="E28" s="139" t="s">
        <v>32</v>
      </c>
      <c r="F28" s="276" t="s">
        <v>134</v>
      </c>
      <c r="G28" s="276" t="s">
        <v>10</v>
      </c>
      <c r="H28" s="276">
        <v>7</v>
      </c>
      <c r="I28" s="276" t="s">
        <v>10</v>
      </c>
      <c r="J28" s="139">
        <v>1974</v>
      </c>
      <c r="K28" s="139"/>
      <c r="L28" s="139"/>
      <c r="M28" s="143" t="e">
        <f>VLOOKUP(L28,'[1]- DLiêu Gốc -'!$B$2:$G$121,2,0)</f>
        <v>#N/A</v>
      </c>
      <c r="N28" s="498"/>
      <c r="O28" s="295" t="s">
        <v>181</v>
      </c>
      <c r="P28" s="165" t="str">
        <f>VLOOKUP(U28,'[1]- DLiêu Gốc -'!$B$2:$G$56,5,0)</f>
        <v>A1</v>
      </c>
      <c r="Q28" s="165" t="str">
        <f>VLOOKUP(U28,'[1]- DLiêu Gốc -'!$B$2:$G$56,6,0)</f>
        <v>- - -</v>
      </c>
      <c r="R28" s="139" t="s">
        <v>34</v>
      </c>
      <c r="S28" s="277" t="str">
        <f t="shared" si="1"/>
        <v>Giảng viên (hạng III)</v>
      </c>
      <c r="T28" s="278" t="str">
        <f t="shared" si="2"/>
        <v>V.07.01.03</v>
      </c>
      <c r="U28" s="180" t="s">
        <v>35</v>
      </c>
      <c r="V28" s="141" t="str">
        <f>VLOOKUP(U28,'[1]- DLiêu Gốc -'!$B$1:$G$121,2,0)</f>
        <v>V.07.01.03</v>
      </c>
      <c r="W28" s="274" t="str">
        <f t="shared" si="3"/>
        <v>Lương</v>
      </c>
      <c r="X28" s="274">
        <v>5</v>
      </c>
      <c r="Y28" s="274" t="str">
        <f t="shared" si="4"/>
        <v>/</v>
      </c>
      <c r="Z28" s="274">
        <f t="shared" si="5"/>
        <v>9</v>
      </c>
      <c r="AA28" s="274">
        <f t="shared" si="6"/>
        <v>3.66</v>
      </c>
      <c r="AB28" s="274">
        <f t="shared" si="7"/>
        <v>6</v>
      </c>
      <c r="AC28" s="274" t="str">
        <f t="shared" si="8"/>
        <v>/</v>
      </c>
      <c r="AD28" s="274">
        <f t="shared" si="9"/>
        <v>9</v>
      </c>
      <c r="AE28" s="274">
        <f t="shared" si="10"/>
        <v>3.99</v>
      </c>
      <c r="AF28" s="274" t="s">
        <v>9</v>
      </c>
      <c r="AG28" s="274" t="s">
        <v>10</v>
      </c>
      <c r="AH28" s="274" t="s">
        <v>9</v>
      </c>
      <c r="AI28" s="274" t="s">
        <v>10</v>
      </c>
      <c r="AJ28" s="274">
        <v>2014</v>
      </c>
      <c r="AK28" s="147"/>
      <c r="AL28" s="141"/>
      <c r="AM28" s="274">
        <f t="shared" si="11"/>
        <v>3</v>
      </c>
      <c r="AN28" s="274">
        <f t="shared" si="12"/>
        <v>-24169</v>
      </c>
      <c r="AO28" s="180"/>
      <c r="AP28" s="180"/>
      <c r="AQ28" s="274">
        <f>VLOOKUP(U28,'[1]- DLiêu Gốc -'!$B$1:$E$56,3,0)</f>
        <v>2.34</v>
      </c>
      <c r="AR28" s="274">
        <f>VLOOKUP(U28,'[1]- DLiêu Gốc -'!$B$1:$E$56,4,0)</f>
        <v>0.33</v>
      </c>
      <c r="AT28" s="274" t="str">
        <f t="shared" si="13"/>
        <v>PCTN</v>
      </c>
      <c r="AU28" s="279">
        <v>11</v>
      </c>
      <c r="AV28" s="280" t="s">
        <v>38</v>
      </c>
      <c r="AW28" s="279">
        <f t="shared" si="14"/>
        <v>12</v>
      </c>
      <c r="AX28" s="281" t="s">
        <v>38</v>
      </c>
      <c r="AY28" s="282" t="s">
        <v>9</v>
      </c>
      <c r="AZ28" s="169" t="s">
        <v>10</v>
      </c>
      <c r="BA28" s="283">
        <v>2016</v>
      </c>
      <c r="BB28" s="253"/>
      <c r="BC28" s="253"/>
      <c r="BD28" s="180"/>
      <c r="BE28" s="253">
        <v>1</v>
      </c>
      <c r="BF28" s="180">
        <f t="shared" si="15"/>
        <v>-24193</v>
      </c>
      <c r="BG28" s="140" t="str">
        <f t="shared" si="16"/>
        <v>- - -</v>
      </c>
      <c r="BH28" s="253" t="str">
        <f t="shared" si="17"/>
        <v>VC</v>
      </c>
      <c r="BI28" s="619"/>
      <c r="BJ28" s="413"/>
      <c r="BK28" s="413" t="s">
        <v>101</v>
      </c>
      <c r="BL28" s="428" t="str">
        <f t="shared" si="18"/>
        <v>A</v>
      </c>
      <c r="BM28" s="417" t="str">
        <f t="shared" si="19"/>
        <v>=&gt; s</v>
      </c>
      <c r="BN28" s="428">
        <f t="shared" si="20"/>
        <v>24193</v>
      </c>
      <c r="BO28" s="413" t="str">
        <f t="shared" si="21"/>
        <v>S</v>
      </c>
      <c r="BP28" s="428">
        <v>2011</v>
      </c>
      <c r="BQ28" s="429" t="s">
        <v>36</v>
      </c>
      <c r="BR28" s="429"/>
      <c r="BS28" s="430"/>
      <c r="BT28" s="412" t="str">
        <f t="shared" si="22"/>
        <v>Cùg Ng</v>
      </c>
      <c r="BU28" s="412" t="str">
        <f t="shared" si="23"/>
        <v>- - -</v>
      </c>
      <c r="BV28" s="412"/>
      <c r="BW28" s="412"/>
      <c r="BX28" s="412"/>
      <c r="BY28" s="412"/>
      <c r="BZ28" s="429" t="str">
        <f t="shared" si="24"/>
        <v>- - -</v>
      </c>
      <c r="CA28" s="428"/>
      <c r="CB28" s="428"/>
      <c r="CC28" s="508"/>
      <c r="CD28" s="508"/>
      <c r="CE28" s="412" t="str">
        <f t="shared" si="25"/>
        <v>---</v>
      </c>
      <c r="CF28" s="428" t="str">
        <f t="shared" si="26"/>
        <v>/-/ /-/</v>
      </c>
      <c r="CG28" s="428">
        <f t="shared" si="27"/>
        <v>8</v>
      </c>
      <c r="CH28" s="428">
        <f t="shared" si="28"/>
        <v>2029</v>
      </c>
      <c r="CI28" s="412">
        <f t="shared" si="29"/>
        <v>5</v>
      </c>
      <c r="CJ28" s="412">
        <f t="shared" si="30"/>
        <v>2029</v>
      </c>
      <c r="CK28" s="413">
        <f t="shared" si="31"/>
        <v>2</v>
      </c>
      <c r="CL28" s="428">
        <f t="shared" si="32"/>
        <v>2029</v>
      </c>
      <c r="CM28" s="428" t="str">
        <f t="shared" si="33"/>
        <v>- - -</v>
      </c>
      <c r="CN28" s="428" t="str">
        <f t="shared" si="34"/>
        <v>. .</v>
      </c>
      <c r="CO28" s="428"/>
      <c r="CP28" s="417">
        <f t="shared" si="35"/>
        <v>660</v>
      </c>
      <c r="CQ28" s="417">
        <f t="shared" si="36"/>
        <v>-23683</v>
      </c>
      <c r="CR28" s="428">
        <f t="shared" si="37"/>
        <v>-1974</v>
      </c>
      <c r="CS28" s="417" t="str">
        <f t="shared" si="38"/>
        <v>Nữ dưới 30</v>
      </c>
      <c r="CT28" s="412"/>
      <c r="CU28" s="412"/>
      <c r="CV28" s="412" t="str">
        <f t="shared" si="39"/>
        <v>Đến 30</v>
      </c>
      <c r="CW28" s="412" t="str">
        <f t="shared" si="40"/>
        <v>TD</v>
      </c>
      <c r="CX28" s="412">
        <v>2008</v>
      </c>
      <c r="CY28" s="412"/>
      <c r="CZ28" s="412"/>
      <c r="DA28" s="412"/>
      <c r="DB28" s="412"/>
      <c r="DC28" s="412"/>
      <c r="DD28" s="412"/>
      <c r="DE28" s="412"/>
      <c r="DF28" s="412"/>
      <c r="DG28" s="412"/>
      <c r="DH28" s="412" t="s">
        <v>9</v>
      </c>
      <c r="DI28" s="412" t="s">
        <v>10</v>
      </c>
      <c r="DJ28" s="412" t="s">
        <v>9</v>
      </c>
      <c r="DK28" s="412" t="s">
        <v>10</v>
      </c>
      <c r="DL28" s="412">
        <v>2014</v>
      </c>
      <c r="DM28" s="412">
        <f t="shared" si="41"/>
        <v>0</v>
      </c>
      <c r="DN28" s="412" t="str">
        <f t="shared" si="42"/>
        <v>- - -</v>
      </c>
      <c r="DO28" s="412" t="s">
        <v>9</v>
      </c>
      <c r="DP28" s="412" t="s">
        <v>10</v>
      </c>
      <c r="DQ28" s="604" t="s">
        <v>9</v>
      </c>
      <c r="DR28" s="142" t="s">
        <v>10</v>
      </c>
      <c r="DS28" s="142">
        <v>2014</v>
      </c>
      <c r="DU28" s="142" t="str">
        <f t="shared" si="43"/>
        <v>- - -</v>
      </c>
      <c r="DV28" s="142" t="str">
        <f t="shared" si="44"/>
        <v>---</v>
      </c>
    </row>
    <row r="29" spans="1:126" s="142" customFormat="1" ht="31.5" customHeight="1" x14ac:dyDescent="0.25">
      <c r="A29" s="152">
        <v>240</v>
      </c>
      <c r="B29" s="615">
        <v>12</v>
      </c>
      <c r="C29" s="139" t="str">
        <f t="shared" si="0"/>
        <v>Ông</v>
      </c>
      <c r="D29" s="497" t="s">
        <v>256</v>
      </c>
      <c r="E29" s="139" t="s">
        <v>39</v>
      </c>
      <c r="F29" s="276" t="s">
        <v>149</v>
      </c>
      <c r="G29" s="276" t="s">
        <v>10</v>
      </c>
      <c r="H29" s="276" t="s">
        <v>40</v>
      </c>
      <c r="I29" s="276" t="s">
        <v>10</v>
      </c>
      <c r="J29" s="139">
        <v>1975</v>
      </c>
      <c r="K29" s="139"/>
      <c r="L29" s="139"/>
      <c r="M29" s="143" t="e">
        <f>VLOOKUP(L29,'[1]- DLiêu Gốc -'!$B$2:$G$121,2,0)</f>
        <v>#N/A</v>
      </c>
      <c r="N29" s="498"/>
      <c r="O29" s="295" t="s">
        <v>181</v>
      </c>
      <c r="P29" s="165" t="str">
        <f>VLOOKUP(U29,'[1]- DLiêu Gốc -'!$B$2:$G$56,5,0)</f>
        <v>A1</v>
      </c>
      <c r="Q29" s="165" t="str">
        <f>VLOOKUP(U29,'[1]- DLiêu Gốc -'!$B$2:$G$56,6,0)</f>
        <v>- - -</v>
      </c>
      <c r="R29" s="139" t="s">
        <v>34</v>
      </c>
      <c r="S29" s="277" t="str">
        <f t="shared" si="1"/>
        <v>Giảng viên (hạng III)</v>
      </c>
      <c r="T29" s="278" t="str">
        <f t="shared" si="2"/>
        <v>V.07.01.03</v>
      </c>
      <c r="U29" s="180" t="s">
        <v>35</v>
      </c>
      <c r="V29" s="141" t="str">
        <f>VLOOKUP(U29,'[1]- DLiêu Gốc -'!$B$1:$G$121,2,0)</f>
        <v>V.07.01.03</v>
      </c>
      <c r="W29" s="274" t="str">
        <f t="shared" si="3"/>
        <v>Lương</v>
      </c>
      <c r="X29" s="274">
        <v>4</v>
      </c>
      <c r="Y29" s="274" t="str">
        <f t="shared" si="4"/>
        <v>/</v>
      </c>
      <c r="Z29" s="274">
        <f t="shared" si="5"/>
        <v>9</v>
      </c>
      <c r="AA29" s="274">
        <f t="shared" si="6"/>
        <v>3.33</v>
      </c>
      <c r="AB29" s="274">
        <f t="shared" si="7"/>
        <v>5</v>
      </c>
      <c r="AC29" s="274" t="str">
        <f t="shared" si="8"/>
        <v>/</v>
      </c>
      <c r="AD29" s="274">
        <f t="shared" si="9"/>
        <v>9</v>
      </c>
      <c r="AE29" s="274">
        <f t="shared" si="10"/>
        <v>3.66</v>
      </c>
      <c r="AF29" s="274" t="s">
        <v>9</v>
      </c>
      <c r="AG29" s="274" t="s">
        <v>10</v>
      </c>
      <c r="AH29" s="274" t="s">
        <v>105</v>
      </c>
      <c r="AI29" s="274" t="s">
        <v>10</v>
      </c>
      <c r="AJ29" s="274">
        <v>2015</v>
      </c>
      <c r="AK29" s="147"/>
      <c r="AL29" s="141">
        <v>5</v>
      </c>
      <c r="AM29" s="274">
        <f t="shared" si="11"/>
        <v>3</v>
      </c>
      <c r="AN29" s="274">
        <f t="shared" si="12"/>
        <v>-24185</v>
      </c>
      <c r="AO29" s="180"/>
      <c r="AP29" s="180"/>
      <c r="AQ29" s="274">
        <f>VLOOKUP(U29,'[1]- DLiêu Gốc -'!$B$1:$E$56,3,0)</f>
        <v>2.34</v>
      </c>
      <c r="AR29" s="274">
        <f>VLOOKUP(U29,'[1]- DLiêu Gốc -'!$B$1:$E$56,4,0)</f>
        <v>0.33</v>
      </c>
      <c r="AT29" s="274" t="str">
        <f t="shared" si="13"/>
        <v>PCTN</v>
      </c>
      <c r="AU29" s="279">
        <v>10</v>
      </c>
      <c r="AV29" s="280" t="s">
        <v>38</v>
      </c>
      <c r="AW29" s="279">
        <f t="shared" si="14"/>
        <v>11</v>
      </c>
      <c r="AX29" s="281" t="s">
        <v>38</v>
      </c>
      <c r="AY29" s="282" t="s">
        <v>9</v>
      </c>
      <c r="AZ29" s="169" t="s">
        <v>10</v>
      </c>
      <c r="BA29" s="283">
        <v>2016</v>
      </c>
      <c r="BB29" s="253"/>
      <c r="BC29" s="253"/>
      <c r="BD29" s="180"/>
      <c r="BE29" s="253">
        <v>1</v>
      </c>
      <c r="BF29" s="180">
        <f t="shared" si="15"/>
        <v>-24193</v>
      </c>
      <c r="BG29" s="140" t="str">
        <f t="shared" si="16"/>
        <v>- - -</v>
      </c>
      <c r="BH29" s="253" t="str">
        <f t="shared" si="17"/>
        <v>VC</v>
      </c>
      <c r="BI29" s="619"/>
      <c r="BJ29" s="413"/>
      <c r="BK29" s="413" t="s">
        <v>101</v>
      </c>
      <c r="BL29" s="428" t="str">
        <f t="shared" si="18"/>
        <v>A</v>
      </c>
      <c r="BM29" s="417" t="str">
        <f t="shared" si="19"/>
        <v>=&gt; s</v>
      </c>
      <c r="BN29" s="428">
        <f t="shared" si="20"/>
        <v>24209</v>
      </c>
      <c r="BO29" s="413" t="str">
        <f t="shared" si="21"/>
        <v>---</v>
      </c>
      <c r="BP29" s="428"/>
      <c r="BQ29" s="429"/>
      <c r="BR29" s="429"/>
      <c r="BS29" s="430"/>
      <c r="BT29" s="412" t="str">
        <f t="shared" si="22"/>
        <v>- - -</v>
      </c>
      <c r="BU29" s="412" t="str">
        <f t="shared" si="23"/>
        <v>- - -</v>
      </c>
      <c r="BV29" s="412"/>
      <c r="BW29" s="412"/>
      <c r="BX29" s="412"/>
      <c r="BY29" s="412"/>
      <c r="BZ29" s="429" t="str">
        <f t="shared" si="24"/>
        <v>- - -</v>
      </c>
      <c r="CA29" s="428"/>
      <c r="CB29" s="428"/>
      <c r="CC29" s="508"/>
      <c r="CD29" s="508"/>
      <c r="CE29" s="412" t="str">
        <f t="shared" si="25"/>
        <v>---</v>
      </c>
      <c r="CF29" s="428" t="str">
        <f t="shared" si="26"/>
        <v>/-/ /-/</v>
      </c>
      <c r="CG29" s="428">
        <f t="shared" si="27"/>
        <v>12</v>
      </c>
      <c r="CH29" s="428">
        <f t="shared" si="28"/>
        <v>2035</v>
      </c>
      <c r="CI29" s="412">
        <f t="shared" si="29"/>
        <v>9</v>
      </c>
      <c r="CJ29" s="412">
        <f t="shared" si="30"/>
        <v>2035</v>
      </c>
      <c r="CK29" s="413">
        <f t="shared" si="31"/>
        <v>6</v>
      </c>
      <c r="CL29" s="428">
        <f t="shared" si="32"/>
        <v>2035</v>
      </c>
      <c r="CM29" s="428" t="str">
        <f t="shared" si="33"/>
        <v>- - -</v>
      </c>
      <c r="CN29" s="428" t="str">
        <f t="shared" si="34"/>
        <v>. .</v>
      </c>
      <c r="CO29" s="428"/>
      <c r="CP29" s="417">
        <f t="shared" si="35"/>
        <v>720</v>
      </c>
      <c r="CQ29" s="417">
        <f t="shared" si="36"/>
        <v>-23699</v>
      </c>
      <c r="CR29" s="428">
        <f t="shared" si="37"/>
        <v>-1975</v>
      </c>
      <c r="CS29" s="417" t="str">
        <f t="shared" si="38"/>
        <v>Nam dưới 35</v>
      </c>
      <c r="CT29" s="412"/>
      <c r="CU29" s="412"/>
      <c r="CV29" s="412" t="str">
        <f t="shared" si="39"/>
        <v>Đến 30</v>
      </c>
      <c r="CW29" s="412" t="str">
        <f t="shared" si="40"/>
        <v>TD</v>
      </c>
      <c r="CX29" s="412">
        <v>2012</v>
      </c>
      <c r="CY29" s="412"/>
      <c r="CZ29" s="412"/>
      <c r="DA29" s="412"/>
      <c r="DB29" s="412"/>
      <c r="DC29" s="412"/>
      <c r="DD29" s="412"/>
      <c r="DE29" s="412"/>
      <c r="DF29" s="412"/>
      <c r="DG29" s="412"/>
      <c r="DH29" s="412" t="s">
        <v>9</v>
      </c>
      <c r="DI29" s="412" t="s">
        <v>10</v>
      </c>
      <c r="DJ29" s="412" t="s">
        <v>105</v>
      </c>
      <c r="DK29" s="412" t="s">
        <v>10</v>
      </c>
      <c r="DL29" s="412">
        <v>2012</v>
      </c>
      <c r="DM29" s="412">
        <f t="shared" si="41"/>
        <v>0</v>
      </c>
      <c r="DN29" s="412" t="str">
        <f t="shared" si="42"/>
        <v>- - -</v>
      </c>
      <c r="DO29" s="412" t="s">
        <v>9</v>
      </c>
      <c r="DP29" s="412" t="s">
        <v>10</v>
      </c>
      <c r="DQ29" s="604" t="s">
        <v>105</v>
      </c>
      <c r="DR29" s="142" t="s">
        <v>10</v>
      </c>
      <c r="DS29" s="142">
        <v>2012</v>
      </c>
      <c r="DU29" s="142" t="str">
        <f t="shared" si="43"/>
        <v>- - -</v>
      </c>
      <c r="DV29" s="142" t="str">
        <f t="shared" si="44"/>
        <v>---</v>
      </c>
    </row>
    <row r="30" spans="1:126" s="385" customFormat="1" ht="23.25" customHeight="1" x14ac:dyDescent="0.25">
      <c r="A30" s="453">
        <v>289</v>
      </c>
      <c r="B30" s="554">
        <v>13</v>
      </c>
      <c r="C30" s="384" t="str">
        <f t="shared" si="0"/>
        <v>Ông</v>
      </c>
      <c r="D30" s="321" t="s">
        <v>257</v>
      </c>
      <c r="E30" s="384" t="s">
        <v>39</v>
      </c>
      <c r="F30" s="386" t="s">
        <v>258</v>
      </c>
      <c r="G30" s="386" t="s">
        <v>10</v>
      </c>
      <c r="H30" s="386" t="s">
        <v>37</v>
      </c>
      <c r="I30" s="386" t="s">
        <v>10</v>
      </c>
      <c r="J30" s="384">
        <v>1975</v>
      </c>
      <c r="K30" s="384"/>
      <c r="L30" s="384"/>
      <c r="M30" s="387" t="e">
        <f>VLOOKUP(L30,'[1]- DLiêu Gốc -'!$B$2:$G$121,2,0)</f>
        <v>#N/A</v>
      </c>
      <c r="N30" s="388" t="s">
        <v>151</v>
      </c>
      <c r="O30" s="389" t="s">
        <v>95</v>
      </c>
      <c r="P30" s="390" t="str">
        <f>VLOOKUP(U30,'[1]- DLiêu Gốc -'!$B$2:$G$56,5,0)</f>
        <v>A2</v>
      </c>
      <c r="Q30" s="390" t="str">
        <f>VLOOKUP(U30,'[1]- DLiêu Gốc -'!$B$2:$G$56,6,0)</f>
        <v>A2.1</v>
      </c>
      <c r="R30" s="384" t="s">
        <v>34</v>
      </c>
      <c r="S30" s="391" t="str">
        <f t="shared" si="1"/>
        <v>Giảng viên chính (hạng II)</v>
      </c>
      <c r="T30" s="392" t="str">
        <f t="shared" si="2"/>
        <v>V.07.01.02</v>
      </c>
      <c r="U30" s="393" t="s">
        <v>45</v>
      </c>
      <c r="V30" s="394" t="str">
        <f>VLOOKUP(U30,'[1]- DLiêu Gốc -'!$B$1:$G$121,2,0)</f>
        <v>V.07.01.02</v>
      </c>
      <c r="W30" s="395" t="str">
        <f t="shared" si="3"/>
        <v>Lương</v>
      </c>
      <c r="X30" s="395">
        <v>1</v>
      </c>
      <c r="Y30" s="395" t="str">
        <f t="shared" si="4"/>
        <v>/</v>
      </c>
      <c r="Z30" s="395">
        <f t="shared" si="5"/>
        <v>8</v>
      </c>
      <c r="AA30" s="395">
        <f t="shared" si="6"/>
        <v>4.4000000000000004</v>
      </c>
      <c r="AB30" s="395">
        <f t="shared" si="7"/>
        <v>2</v>
      </c>
      <c r="AC30" s="395" t="str">
        <f t="shared" si="8"/>
        <v>/</v>
      </c>
      <c r="AD30" s="395">
        <f t="shared" si="9"/>
        <v>8</v>
      </c>
      <c r="AE30" s="395">
        <f t="shared" si="10"/>
        <v>4.74</v>
      </c>
      <c r="AF30" s="395" t="s">
        <v>9</v>
      </c>
      <c r="AG30" s="395" t="s">
        <v>10</v>
      </c>
      <c r="AH30" s="395" t="s">
        <v>11</v>
      </c>
      <c r="AI30" s="395" t="s">
        <v>10</v>
      </c>
      <c r="AJ30" s="395">
        <v>2015</v>
      </c>
      <c r="AK30" s="396"/>
      <c r="AL30" s="394">
        <v>7</v>
      </c>
      <c r="AM30" s="395">
        <f t="shared" si="11"/>
        <v>3</v>
      </c>
      <c r="AN30" s="395">
        <f t="shared" si="12"/>
        <v>-24187</v>
      </c>
      <c r="AO30" s="393"/>
      <c r="AP30" s="393"/>
      <c r="AQ30" s="395">
        <f>VLOOKUP(U30,'[1]- DLiêu Gốc -'!$B$1:$E$56,3,0)</f>
        <v>4.4000000000000004</v>
      </c>
      <c r="AR30" s="395">
        <f>VLOOKUP(U30,'[1]- DLiêu Gốc -'!$B$1:$E$56,4,0)</f>
        <v>0.34</v>
      </c>
      <c r="AT30" s="395" t="str">
        <f t="shared" si="13"/>
        <v>PCTN</v>
      </c>
      <c r="AU30" s="397">
        <v>5</v>
      </c>
      <c r="AV30" s="398" t="s">
        <v>38</v>
      </c>
      <c r="AW30" s="397">
        <f t="shared" si="14"/>
        <v>6</v>
      </c>
      <c r="AX30" s="399" t="s">
        <v>38</v>
      </c>
      <c r="AY30" s="400" t="s">
        <v>9</v>
      </c>
      <c r="AZ30" s="401" t="s">
        <v>10</v>
      </c>
      <c r="BA30" s="402">
        <v>2016</v>
      </c>
      <c r="BB30" s="431"/>
      <c r="BC30" s="431"/>
      <c r="BD30" s="393"/>
      <c r="BE30" s="431"/>
      <c r="BF30" s="393">
        <f t="shared" si="15"/>
        <v>-24193</v>
      </c>
      <c r="BG30" s="404" t="str">
        <f t="shared" si="16"/>
        <v>- - -</v>
      </c>
      <c r="BH30" s="431" t="str">
        <f t="shared" si="17"/>
        <v>VC</v>
      </c>
      <c r="BI30" s="620"/>
      <c r="BJ30" s="210"/>
      <c r="BK30" s="210" t="s">
        <v>101</v>
      </c>
      <c r="BL30" s="216" t="str">
        <f t="shared" si="18"/>
        <v>A</v>
      </c>
      <c r="BM30" s="214" t="str">
        <f t="shared" si="19"/>
        <v>=&gt; s</v>
      </c>
      <c r="BN30" s="216">
        <f t="shared" si="20"/>
        <v>24211</v>
      </c>
      <c r="BO30" s="210" t="str">
        <f t="shared" si="21"/>
        <v>---</v>
      </c>
      <c r="BP30" s="216"/>
      <c r="BQ30" s="220"/>
      <c r="BR30" s="220"/>
      <c r="BS30" s="309"/>
      <c r="BT30" s="209" t="str">
        <f t="shared" si="22"/>
        <v>- - -</v>
      </c>
      <c r="BU30" s="209" t="str">
        <f t="shared" si="23"/>
        <v>NN</v>
      </c>
      <c r="BV30" s="209">
        <v>7</v>
      </c>
      <c r="BW30" s="209">
        <v>2012</v>
      </c>
      <c r="BX30" s="209"/>
      <c r="BY30" s="209"/>
      <c r="BZ30" s="220" t="str">
        <f t="shared" si="24"/>
        <v>- - -</v>
      </c>
      <c r="CA30" s="216"/>
      <c r="CB30" s="216"/>
      <c r="CC30" s="222"/>
      <c r="CD30" s="222"/>
      <c r="CE30" s="209" t="str">
        <f t="shared" si="25"/>
        <v>---</v>
      </c>
      <c r="CF30" s="216" t="str">
        <f t="shared" si="26"/>
        <v>/-/ /-/</v>
      </c>
      <c r="CG30" s="216">
        <f t="shared" si="27"/>
        <v>3</v>
      </c>
      <c r="CH30" s="216">
        <f t="shared" si="28"/>
        <v>2035</v>
      </c>
      <c r="CI30" s="209">
        <f t="shared" si="29"/>
        <v>12</v>
      </c>
      <c r="CJ30" s="209">
        <f t="shared" si="30"/>
        <v>2034</v>
      </c>
      <c r="CK30" s="210">
        <f t="shared" si="31"/>
        <v>9</v>
      </c>
      <c r="CL30" s="216">
        <f t="shared" si="32"/>
        <v>2034</v>
      </c>
      <c r="CM30" s="216" t="str">
        <f t="shared" si="33"/>
        <v>- - -</v>
      </c>
      <c r="CN30" s="216" t="str">
        <f t="shared" si="34"/>
        <v>. .</v>
      </c>
      <c r="CO30" s="216"/>
      <c r="CP30" s="214">
        <f t="shared" si="35"/>
        <v>720</v>
      </c>
      <c r="CQ30" s="214">
        <f t="shared" si="36"/>
        <v>-23690</v>
      </c>
      <c r="CR30" s="216">
        <f t="shared" si="37"/>
        <v>-1975</v>
      </c>
      <c r="CS30" s="214" t="str">
        <f t="shared" si="38"/>
        <v>Nam dưới 35</v>
      </c>
      <c r="CT30" s="209"/>
      <c r="CU30" s="209"/>
      <c r="CV30" s="209" t="str">
        <f t="shared" si="39"/>
        <v>Đến 30</v>
      </c>
      <c r="CW30" s="209" t="str">
        <f t="shared" si="40"/>
        <v>--</v>
      </c>
      <c r="CX30" s="209"/>
      <c r="CY30" s="209"/>
      <c r="CZ30" s="209"/>
      <c r="DA30" s="209"/>
      <c r="DB30" s="209"/>
      <c r="DC30" s="209"/>
      <c r="DD30" s="209"/>
      <c r="DE30" s="209"/>
      <c r="DF30" s="209"/>
      <c r="DG30" s="209" t="s">
        <v>151</v>
      </c>
      <c r="DH30" s="209" t="s">
        <v>9</v>
      </c>
      <c r="DI30" s="209" t="s">
        <v>10</v>
      </c>
      <c r="DJ30" s="209" t="s">
        <v>11</v>
      </c>
      <c r="DK30" s="209" t="s">
        <v>10</v>
      </c>
      <c r="DL30" s="209">
        <v>2012</v>
      </c>
      <c r="DM30" s="209">
        <f t="shared" si="41"/>
        <v>0</v>
      </c>
      <c r="DN30" s="209" t="str">
        <f t="shared" si="42"/>
        <v>- - -</v>
      </c>
      <c r="DO30" s="209" t="s">
        <v>9</v>
      </c>
      <c r="DP30" s="209" t="s">
        <v>10</v>
      </c>
      <c r="DQ30" s="605" t="s">
        <v>11</v>
      </c>
      <c r="DR30" s="385" t="s">
        <v>10</v>
      </c>
      <c r="DS30" s="385">
        <v>2012</v>
      </c>
      <c r="DT30" s="385">
        <v>3.66</v>
      </c>
      <c r="DU30" s="385" t="str">
        <f t="shared" si="43"/>
        <v>- - -</v>
      </c>
      <c r="DV30" s="385" t="str">
        <f t="shared" si="44"/>
        <v>---</v>
      </c>
    </row>
    <row r="31" spans="1:126" s="142" customFormat="1" ht="30" customHeight="1" x14ac:dyDescent="0.25">
      <c r="A31" s="152">
        <v>368</v>
      </c>
      <c r="B31" s="615">
        <v>14</v>
      </c>
      <c r="C31" s="139" t="str">
        <f t="shared" si="0"/>
        <v>Bà</v>
      </c>
      <c r="D31" s="497" t="s">
        <v>259</v>
      </c>
      <c r="E31" s="139" t="s">
        <v>32</v>
      </c>
      <c r="F31" s="276" t="s">
        <v>115</v>
      </c>
      <c r="G31" s="276" t="s">
        <v>10</v>
      </c>
      <c r="H31" s="276" t="s">
        <v>89</v>
      </c>
      <c r="I31" s="276" t="s">
        <v>10</v>
      </c>
      <c r="J31" s="139">
        <v>1983</v>
      </c>
      <c r="K31" s="139"/>
      <c r="L31" s="139"/>
      <c r="M31" s="143" t="e">
        <f>VLOOKUP(L31,'[1]- DLiêu Gốc -'!$B$2:$G$121,2,0)</f>
        <v>#N/A</v>
      </c>
      <c r="N31" s="302" t="s">
        <v>159</v>
      </c>
      <c r="O31" s="295" t="s">
        <v>33</v>
      </c>
      <c r="P31" s="165" t="str">
        <f>VLOOKUP(U31,'[1]- DLiêu Gốc -'!$B$2:$G$56,5,0)</f>
        <v>A1</v>
      </c>
      <c r="Q31" s="165" t="str">
        <f>VLOOKUP(U31,'[1]- DLiêu Gốc -'!$B$2:$G$56,6,0)</f>
        <v>- - -</v>
      </c>
      <c r="R31" s="139" t="s">
        <v>34</v>
      </c>
      <c r="S31" s="277" t="str">
        <f t="shared" si="1"/>
        <v>Giảng viên (hạng III)</v>
      </c>
      <c r="T31" s="278" t="str">
        <f t="shared" si="2"/>
        <v>V.07.01.03</v>
      </c>
      <c r="U31" s="180" t="s">
        <v>35</v>
      </c>
      <c r="V31" s="141" t="str">
        <f>VLOOKUP(U31,'[1]- DLiêu Gốc -'!$B$1:$G$121,2,0)</f>
        <v>V.07.01.03</v>
      </c>
      <c r="W31" s="274" t="str">
        <f t="shared" si="3"/>
        <v>Lương</v>
      </c>
      <c r="X31" s="274">
        <v>3</v>
      </c>
      <c r="Y31" s="274" t="str">
        <f t="shared" si="4"/>
        <v>/</v>
      </c>
      <c r="Z31" s="274">
        <f t="shared" si="5"/>
        <v>9</v>
      </c>
      <c r="AA31" s="274">
        <f t="shared" si="6"/>
        <v>3</v>
      </c>
      <c r="AB31" s="274">
        <f t="shared" si="7"/>
        <v>4</v>
      </c>
      <c r="AC31" s="274" t="str">
        <f t="shared" si="8"/>
        <v>/</v>
      </c>
      <c r="AD31" s="274">
        <f t="shared" si="9"/>
        <v>9</v>
      </c>
      <c r="AE31" s="274">
        <f t="shared" si="10"/>
        <v>3.33</v>
      </c>
      <c r="AF31" s="274" t="s">
        <v>9</v>
      </c>
      <c r="AG31" s="274" t="s">
        <v>10</v>
      </c>
      <c r="AH31" s="274" t="s">
        <v>9</v>
      </c>
      <c r="AI31" s="274" t="s">
        <v>10</v>
      </c>
      <c r="AJ31" s="274">
        <v>2015</v>
      </c>
      <c r="AK31" s="147"/>
      <c r="AL31" s="141"/>
      <c r="AM31" s="274">
        <f t="shared" si="11"/>
        <v>3</v>
      </c>
      <c r="AN31" s="274">
        <f t="shared" si="12"/>
        <v>-24181</v>
      </c>
      <c r="AO31" s="180"/>
      <c r="AP31" s="180"/>
      <c r="AQ31" s="274">
        <f>VLOOKUP(U31,'[1]- DLiêu Gốc -'!$B$1:$E$56,3,0)</f>
        <v>2.34</v>
      </c>
      <c r="AR31" s="274">
        <f>VLOOKUP(U31,'[1]- DLiêu Gốc -'!$B$1:$E$56,4,0)</f>
        <v>0.33</v>
      </c>
      <c r="AT31" s="274" t="str">
        <f t="shared" si="13"/>
        <v>PCTN</v>
      </c>
      <c r="AU31" s="279">
        <v>8</v>
      </c>
      <c r="AV31" s="280" t="s">
        <v>38</v>
      </c>
      <c r="AW31" s="279">
        <f t="shared" si="14"/>
        <v>9</v>
      </c>
      <c r="AX31" s="281" t="s">
        <v>38</v>
      </c>
      <c r="AY31" s="282" t="s">
        <v>9</v>
      </c>
      <c r="AZ31" s="169" t="s">
        <v>10</v>
      </c>
      <c r="BA31" s="283">
        <v>2016</v>
      </c>
      <c r="BB31" s="253"/>
      <c r="BC31" s="253"/>
      <c r="BD31" s="180"/>
      <c r="BE31" s="253">
        <v>1</v>
      </c>
      <c r="BF31" s="180">
        <f t="shared" si="15"/>
        <v>-24193</v>
      </c>
      <c r="BG31" s="140" t="str">
        <f t="shared" si="16"/>
        <v>- - -</v>
      </c>
      <c r="BH31" s="253" t="str">
        <f t="shared" si="17"/>
        <v>VC</v>
      </c>
      <c r="BI31" s="619"/>
      <c r="BJ31" s="413"/>
      <c r="BK31" s="413" t="s">
        <v>101</v>
      </c>
      <c r="BL31" s="428" t="str">
        <f t="shared" si="18"/>
        <v>A</v>
      </c>
      <c r="BM31" s="417" t="str">
        <f t="shared" si="19"/>
        <v>=&gt; s</v>
      </c>
      <c r="BN31" s="428">
        <f t="shared" si="20"/>
        <v>24205</v>
      </c>
      <c r="BO31" s="413" t="str">
        <f t="shared" si="21"/>
        <v>S</v>
      </c>
      <c r="BP31" s="428">
        <v>2012</v>
      </c>
      <c r="BQ31" s="429" t="s">
        <v>36</v>
      </c>
      <c r="BR31" s="429"/>
      <c r="BS31" s="430"/>
      <c r="BT31" s="412" t="str">
        <f t="shared" si="22"/>
        <v>Cùg Ng</v>
      </c>
      <c r="BU31" s="412" t="str">
        <f t="shared" si="23"/>
        <v>- - -</v>
      </c>
      <c r="BV31" s="412"/>
      <c r="BW31" s="412"/>
      <c r="BX31" s="412"/>
      <c r="BY31" s="412"/>
      <c r="BZ31" s="429" t="str">
        <f t="shared" si="24"/>
        <v>- - -</v>
      </c>
      <c r="CA31" s="428"/>
      <c r="CB31" s="428"/>
      <c r="CC31" s="508"/>
      <c r="CD31" s="508"/>
      <c r="CE31" s="412" t="str">
        <f t="shared" si="25"/>
        <v>---</v>
      </c>
      <c r="CF31" s="428" t="str">
        <f t="shared" si="26"/>
        <v>/-/ /-/</v>
      </c>
      <c r="CG31" s="428">
        <f t="shared" si="27"/>
        <v>4</v>
      </c>
      <c r="CH31" s="428">
        <f t="shared" si="28"/>
        <v>2038</v>
      </c>
      <c r="CI31" s="412">
        <f t="shared" si="29"/>
        <v>1</v>
      </c>
      <c r="CJ31" s="412">
        <f t="shared" si="30"/>
        <v>2038</v>
      </c>
      <c r="CK31" s="413">
        <f t="shared" si="31"/>
        <v>10</v>
      </c>
      <c r="CL31" s="428">
        <f t="shared" si="32"/>
        <v>2037</v>
      </c>
      <c r="CM31" s="428" t="str">
        <f t="shared" si="33"/>
        <v>- - -</v>
      </c>
      <c r="CN31" s="428" t="str">
        <f t="shared" si="34"/>
        <v>. .</v>
      </c>
      <c r="CO31" s="428"/>
      <c r="CP31" s="417">
        <f t="shared" si="35"/>
        <v>660</v>
      </c>
      <c r="CQ31" s="417">
        <f t="shared" si="36"/>
        <v>-23787</v>
      </c>
      <c r="CR31" s="428">
        <f t="shared" si="37"/>
        <v>-1983</v>
      </c>
      <c r="CS31" s="417" t="str">
        <f t="shared" si="38"/>
        <v>Nữ dưới 30</v>
      </c>
      <c r="CT31" s="412"/>
      <c r="CU31" s="412"/>
      <c r="CV31" s="412" t="str">
        <f t="shared" si="39"/>
        <v>Đến 30</v>
      </c>
      <c r="CW31" s="412" t="str">
        <f t="shared" si="40"/>
        <v>TD</v>
      </c>
      <c r="CX31" s="412">
        <v>2012</v>
      </c>
      <c r="CY31" s="412"/>
      <c r="CZ31" s="412"/>
      <c r="DA31" s="412"/>
      <c r="DB31" s="412"/>
      <c r="DC31" s="412"/>
      <c r="DD31" s="412"/>
      <c r="DE31" s="412"/>
      <c r="DF31" s="412"/>
      <c r="DG31" s="412" t="s">
        <v>159</v>
      </c>
      <c r="DH31" s="412" t="s">
        <v>9</v>
      </c>
      <c r="DI31" s="412" t="s">
        <v>10</v>
      </c>
      <c r="DJ31" s="412" t="s">
        <v>9</v>
      </c>
      <c r="DK31" s="412" t="s">
        <v>10</v>
      </c>
      <c r="DL31" s="412">
        <v>2012</v>
      </c>
      <c r="DM31" s="412">
        <f t="shared" si="41"/>
        <v>0</v>
      </c>
      <c r="DN31" s="412" t="str">
        <f t="shared" si="42"/>
        <v>- - -</v>
      </c>
      <c r="DO31" s="412" t="s">
        <v>9</v>
      </c>
      <c r="DP31" s="412" t="s">
        <v>10</v>
      </c>
      <c r="DQ31" s="604" t="s">
        <v>9</v>
      </c>
      <c r="DR31" s="142" t="s">
        <v>10</v>
      </c>
      <c r="DS31" s="142">
        <v>2012</v>
      </c>
      <c r="DU31" s="142" t="str">
        <f t="shared" si="43"/>
        <v>- - -</v>
      </c>
      <c r="DV31" s="142" t="str">
        <f t="shared" si="44"/>
        <v>---</v>
      </c>
    </row>
    <row r="32" spans="1:126" s="385" customFormat="1" ht="25.5" customHeight="1" x14ac:dyDescent="0.25">
      <c r="A32" s="453">
        <v>410</v>
      </c>
      <c r="B32" s="554">
        <v>15</v>
      </c>
      <c r="C32" s="384" t="str">
        <f t="shared" si="0"/>
        <v>Bà</v>
      </c>
      <c r="D32" s="321" t="s">
        <v>192</v>
      </c>
      <c r="E32" s="384" t="s">
        <v>32</v>
      </c>
      <c r="F32" s="386" t="s">
        <v>193</v>
      </c>
      <c r="G32" s="386" t="s">
        <v>10</v>
      </c>
      <c r="H32" s="386" t="s">
        <v>46</v>
      </c>
      <c r="I32" s="386" t="s">
        <v>10</v>
      </c>
      <c r="J32" s="384">
        <v>1983</v>
      </c>
      <c r="K32" s="384"/>
      <c r="L32" s="384"/>
      <c r="M32" s="387" t="e">
        <f>VLOOKUP(L32,'[1]- DLiêu Gốc -'!$B$2:$G$121,2,0)</f>
        <v>#N/A</v>
      </c>
      <c r="N32" s="499"/>
      <c r="O32" s="389" t="s">
        <v>160</v>
      </c>
      <c r="P32" s="390" t="str">
        <f>VLOOKUP(U32,'[1]- DLiêu Gốc -'!$B$2:$G$56,5,0)</f>
        <v>A1</v>
      </c>
      <c r="Q32" s="390" t="str">
        <f>VLOOKUP(U32,'[1]- DLiêu Gốc -'!$B$2:$G$56,6,0)</f>
        <v>- - -</v>
      </c>
      <c r="R32" s="384" t="s">
        <v>41</v>
      </c>
      <c r="S32" s="391" t="str">
        <f t="shared" si="1"/>
        <v>Giáo viên trung học</v>
      </c>
      <c r="T32" s="392" t="str">
        <f t="shared" si="2"/>
        <v>15.113</v>
      </c>
      <c r="U32" s="393" t="s">
        <v>194</v>
      </c>
      <c r="V32" s="394" t="str">
        <f>VLOOKUP(U32,'[1]- DLiêu Gốc -'!$B$1:$G$121,2,0)</f>
        <v>15.113</v>
      </c>
      <c r="W32" s="395" t="str">
        <f t="shared" si="3"/>
        <v>Lương</v>
      </c>
      <c r="X32" s="395">
        <v>2</v>
      </c>
      <c r="Y32" s="395" t="str">
        <f t="shared" si="4"/>
        <v>/</v>
      </c>
      <c r="Z32" s="395">
        <f t="shared" si="5"/>
        <v>9</v>
      </c>
      <c r="AA32" s="395">
        <f t="shared" si="6"/>
        <v>2.67</v>
      </c>
      <c r="AB32" s="395">
        <f t="shared" si="7"/>
        <v>3</v>
      </c>
      <c r="AC32" s="395" t="str">
        <f t="shared" si="8"/>
        <v>/</v>
      </c>
      <c r="AD32" s="395">
        <f t="shared" si="9"/>
        <v>9</v>
      </c>
      <c r="AE32" s="395">
        <f t="shared" si="10"/>
        <v>3</v>
      </c>
      <c r="AF32" s="395" t="s">
        <v>9</v>
      </c>
      <c r="AG32" s="395" t="s">
        <v>10</v>
      </c>
      <c r="AH32" s="395" t="s">
        <v>9</v>
      </c>
      <c r="AI32" s="395" t="s">
        <v>10</v>
      </c>
      <c r="AJ32" s="395">
        <v>2016</v>
      </c>
      <c r="AK32" s="396"/>
      <c r="AL32" s="394"/>
      <c r="AM32" s="395">
        <f t="shared" si="11"/>
        <v>3</v>
      </c>
      <c r="AN32" s="395">
        <f t="shared" si="12"/>
        <v>-24193</v>
      </c>
      <c r="AO32" s="393"/>
      <c r="AP32" s="393"/>
      <c r="AQ32" s="395">
        <f>VLOOKUP(U32,'[1]- DLiêu Gốc -'!$B$1:$E$56,3,0)</f>
        <v>2.34</v>
      </c>
      <c r="AR32" s="395">
        <f>VLOOKUP(U32,'[1]- DLiêu Gốc -'!$B$1:$E$56,4,0)</f>
        <v>0.33</v>
      </c>
      <c r="AT32" s="395" t="str">
        <f t="shared" si="13"/>
        <v>PCTN</v>
      </c>
      <c r="AU32" s="397">
        <v>5</v>
      </c>
      <c r="AV32" s="398" t="s">
        <v>38</v>
      </c>
      <c r="AW32" s="397">
        <f t="shared" si="14"/>
        <v>6</v>
      </c>
      <c r="AX32" s="399" t="s">
        <v>38</v>
      </c>
      <c r="AY32" s="400" t="s">
        <v>9</v>
      </c>
      <c r="AZ32" s="401" t="s">
        <v>10</v>
      </c>
      <c r="BA32" s="402">
        <v>2016</v>
      </c>
      <c r="BB32" s="431"/>
      <c r="BC32" s="431"/>
      <c r="BD32" s="393"/>
      <c r="BE32" s="431"/>
      <c r="BF32" s="393">
        <f t="shared" si="15"/>
        <v>-24193</v>
      </c>
      <c r="BG32" s="404" t="str">
        <f t="shared" si="16"/>
        <v>- - -</v>
      </c>
      <c r="BH32" s="431" t="str">
        <f t="shared" si="17"/>
        <v>VC</v>
      </c>
      <c r="BI32" s="620"/>
      <c r="BJ32" s="210"/>
      <c r="BK32" s="210" t="s">
        <v>101</v>
      </c>
      <c r="BL32" s="216" t="str">
        <f t="shared" si="18"/>
        <v>A</v>
      </c>
      <c r="BM32" s="214" t="str">
        <f t="shared" si="19"/>
        <v>=&gt; s</v>
      </c>
      <c r="BN32" s="216">
        <f t="shared" si="20"/>
        <v>24217</v>
      </c>
      <c r="BO32" s="210" t="str">
        <f t="shared" si="21"/>
        <v>---</v>
      </c>
      <c r="BP32" s="216"/>
      <c r="BQ32" s="220"/>
      <c r="BR32" s="220"/>
      <c r="BS32" s="309"/>
      <c r="BT32" s="209" t="str">
        <f t="shared" si="22"/>
        <v>- - -</v>
      </c>
      <c r="BU32" s="209" t="str">
        <f t="shared" si="23"/>
        <v>- - -</v>
      </c>
      <c r="BV32" s="209"/>
      <c r="BW32" s="209"/>
      <c r="BX32" s="209"/>
      <c r="BY32" s="209"/>
      <c r="BZ32" s="220" t="str">
        <f t="shared" si="24"/>
        <v>- - -</v>
      </c>
      <c r="CA32" s="216"/>
      <c r="CB32" s="216"/>
      <c r="CC32" s="222"/>
      <c r="CD32" s="222"/>
      <c r="CE32" s="209" t="str">
        <f t="shared" si="25"/>
        <v>---</v>
      </c>
      <c r="CF32" s="216" t="str">
        <f t="shared" si="26"/>
        <v>/-/ /-/</v>
      </c>
      <c r="CG32" s="216">
        <f t="shared" si="27"/>
        <v>11</v>
      </c>
      <c r="CH32" s="216">
        <f t="shared" si="28"/>
        <v>2038</v>
      </c>
      <c r="CI32" s="209">
        <f t="shared" si="29"/>
        <v>8</v>
      </c>
      <c r="CJ32" s="209">
        <f t="shared" si="30"/>
        <v>2038</v>
      </c>
      <c r="CK32" s="210">
        <f t="shared" si="31"/>
        <v>5</v>
      </c>
      <c r="CL32" s="216">
        <f t="shared" si="32"/>
        <v>2038</v>
      </c>
      <c r="CM32" s="216" t="str">
        <f t="shared" si="33"/>
        <v>- - -</v>
      </c>
      <c r="CN32" s="216" t="str">
        <f t="shared" si="34"/>
        <v>. .</v>
      </c>
      <c r="CO32" s="216"/>
      <c r="CP32" s="214">
        <f t="shared" si="35"/>
        <v>660</v>
      </c>
      <c r="CQ32" s="214">
        <f t="shared" si="36"/>
        <v>-23794</v>
      </c>
      <c r="CR32" s="216">
        <f t="shared" si="37"/>
        <v>-1983</v>
      </c>
      <c r="CS32" s="214" t="str">
        <f t="shared" si="38"/>
        <v>Nữ dưới 30</v>
      </c>
      <c r="CT32" s="209"/>
      <c r="CU32" s="209"/>
      <c r="CV32" s="209" t="str">
        <f t="shared" si="39"/>
        <v>Đến 30</v>
      </c>
      <c r="CW32" s="209"/>
      <c r="CX32" s="209" t="str">
        <f>IF(BU32&gt;0,"TD","--")</f>
        <v>TD</v>
      </c>
      <c r="CY32" s="209"/>
      <c r="CZ32" s="209"/>
      <c r="DA32" s="209"/>
      <c r="DB32" s="209"/>
      <c r="DC32" s="209"/>
      <c r="DD32" s="209"/>
      <c r="DE32" s="209"/>
      <c r="DF32" s="209"/>
      <c r="DG32" s="209"/>
      <c r="DH32" s="209" t="s">
        <v>9</v>
      </c>
      <c r="DI32" s="209" t="s">
        <v>10</v>
      </c>
      <c r="DJ32" s="209" t="s">
        <v>9</v>
      </c>
      <c r="DK32" s="209" t="s">
        <v>10</v>
      </c>
      <c r="DL32" s="209">
        <v>2013</v>
      </c>
      <c r="DM32" s="209">
        <f t="shared" si="41"/>
        <v>0</v>
      </c>
      <c r="DN32" s="209" t="str">
        <f t="shared" si="42"/>
        <v>- - -</v>
      </c>
      <c r="DO32" s="209" t="s">
        <v>9</v>
      </c>
      <c r="DP32" s="209" t="s">
        <v>10</v>
      </c>
      <c r="DQ32" s="605" t="s">
        <v>9</v>
      </c>
      <c r="DR32" s="385" t="s">
        <v>10</v>
      </c>
      <c r="DS32" s="385">
        <v>2013</v>
      </c>
      <c r="DU32" s="385" t="str">
        <f t="shared" si="43"/>
        <v>- - -</v>
      </c>
      <c r="DV32" s="385" t="str">
        <f t="shared" si="44"/>
        <v>---</v>
      </c>
    </row>
    <row r="33" spans="1:126" s="142" customFormat="1" ht="33.75" customHeight="1" x14ac:dyDescent="0.25">
      <c r="A33" s="152">
        <v>440</v>
      </c>
      <c r="B33" s="615">
        <v>16</v>
      </c>
      <c r="C33" s="139" t="str">
        <f t="shared" si="0"/>
        <v>Ông</v>
      </c>
      <c r="D33" s="497" t="s">
        <v>260</v>
      </c>
      <c r="E33" s="139" t="s">
        <v>39</v>
      </c>
      <c r="F33" s="276" t="s">
        <v>149</v>
      </c>
      <c r="G33" s="276" t="s">
        <v>10</v>
      </c>
      <c r="H33" s="276" t="s">
        <v>30</v>
      </c>
      <c r="I33" s="276" t="s">
        <v>10</v>
      </c>
      <c r="J33" s="139" t="s">
        <v>108</v>
      </c>
      <c r="K33" s="139"/>
      <c r="L33" s="139"/>
      <c r="M33" s="143" t="e">
        <f>VLOOKUP(L33,'[1]- DLiêu Gốc -'!$B$2:$G$121,2,0)</f>
        <v>#N/A</v>
      </c>
      <c r="N33" s="498"/>
      <c r="O33" s="295" t="s">
        <v>133</v>
      </c>
      <c r="P33" s="165" t="str">
        <f>VLOOKUP(U33,'[1]- DLiêu Gốc -'!$B$2:$G$56,5,0)</f>
        <v>A1</v>
      </c>
      <c r="Q33" s="165" t="str">
        <f>VLOOKUP(U33,'[1]- DLiêu Gốc -'!$B$2:$G$56,6,0)</f>
        <v>- - -</v>
      </c>
      <c r="R33" s="139" t="s">
        <v>34</v>
      </c>
      <c r="S33" s="277" t="str">
        <f t="shared" si="1"/>
        <v>Giảng viên (hạng III)</v>
      </c>
      <c r="T33" s="278" t="str">
        <f t="shared" si="2"/>
        <v>V.07.01.03</v>
      </c>
      <c r="U33" s="180" t="s">
        <v>35</v>
      </c>
      <c r="V33" s="141" t="str">
        <f>VLOOKUP(U33,'[1]- DLiêu Gốc -'!$B$1:$G$121,2,0)</f>
        <v>V.07.01.03</v>
      </c>
      <c r="W33" s="274" t="str">
        <f t="shared" si="3"/>
        <v>Lương</v>
      </c>
      <c r="X33" s="274">
        <v>4</v>
      </c>
      <c r="Y33" s="274" t="str">
        <f t="shared" si="4"/>
        <v>/</v>
      </c>
      <c r="Z33" s="274">
        <f t="shared" si="5"/>
        <v>9</v>
      </c>
      <c r="AA33" s="274">
        <f t="shared" si="6"/>
        <v>3.33</v>
      </c>
      <c r="AB33" s="274">
        <f t="shared" si="7"/>
        <v>5</v>
      </c>
      <c r="AC33" s="274" t="str">
        <f t="shared" si="8"/>
        <v>/</v>
      </c>
      <c r="AD33" s="274">
        <f t="shared" si="9"/>
        <v>9</v>
      </c>
      <c r="AE33" s="274">
        <f t="shared" si="10"/>
        <v>3.66</v>
      </c>
      <c r="AF33" s="274" t="s">
        <v>9</v>
      </c>
      <c r="AG33" s="274" t="s">
        <v>10</v>
      </c>
      <c r="AH33" s="274" t="s">
        <v>37</v>
      </c>
      <c r="AI33" s="274" t="s">
        <v>10</v>
      </c>
      <c r="AJ33" s="274">
        <v>2014</v>
      </c>
      <c r="AK33" s="147"/>
      <c r="AL33" s="141"/>
      <c r="AM33" s="274">
        <f t="shared" si="11"/>
        <v>3</v>
      </c>
      <c r="AN33" s="274">
        <f t="shared" si="12"/>
        <v>-24170</v>
      </c>
      <c r="AO33" s="180"/>
      <c r="AP33" s="180"/>
      <c r="AQ33" s="274">
        <f>VLOOKUP(U33,'[1]- DLiêu Gốc -'!$B$1:$E$56,3,0)</f>
        <v>2.34</v>
      </c>
      <c r="AR33" s="274">
        <f>VLOOKUP(U33,'[1]- DLiêu Gốc -'!$B$1:$E$56,4,0)</f>
        <v>0.33</v>
      </c>
      <c r="AT33" s="274" t="str">
        <f t="shared" si="13"/>
        <v>PCTN</v>
      </c>
      <c r="AU33" s="279">
        <v>10</v>
      </c>
      <c r="AV33" s="280" t="s">
        <v>38</v>
      </c>
      <c r="AW33" s="279">
        <f t="shared" si="14"/>
        <v>11</v>
      </c>
      <c r="AX33" s="281" t="s">
        <v>38</v>
      </c>
      <c r="AY33" s="282" t="s">
        <v>9</v>
      </c>
      <c r="AZ33" s="169" t="s">
        <v>10</v>
      </c>
      <c r="BA33" s="283">
        <v>2016</v>
      </c>
      <c r="BB33" s="253"/>
      <c r="BC33" s="253"/>
      <c r="BD33" s="180"/>
      <c r="BE33" s="253">
        <v>1</v>
      </c>
      <c r="BF33" s="180">
        <f t="shared" si="15"/>
        <v>-24193</v>
      </c>
      <c r="BG33" s="140" t="str">
        <f t="shared" si="16"/>
        <v>- - -</v>
      </c>
      <c r="BH33" s="253" t="str">
        <f t="shared" si="17"/>
        <v>VC</v>
      </c>
      <c r="BI33" s="619"/>
      <c r="BJ33" s="413"/>
      <c r="BK33" s="413" t="s">
        <v>101</v>
      </c>
      <c r="BL33" s="428" t="str">
        <f t="shared" si="18"/>
        <v>A</v>
      </c>
      <c r="BM33" s="417" t="str">
        <f t="shared" si="19"/>
        <v>=&gt; s</v>
      </c>
      <c r="BN33" s="428">
        <f t="shared" si="20"/>
        <v>24194</v>
      </c>
      <c r="BO33" s="413" t="str">
        <f t="shared" si="21"/>
        <v>---</v>
      </c>
      <c r="BP33" s="428"/>
      <c r="BQ33" s="429"/>
      <c r="BR33" s="429"/>
      <c r="BS33" s="430"/>
      <c r="BT33" s="412" t="str">
        <f t="shared" si="22"/>
        <v>- - -</v>
      </c>
      <c r="BU33" s="412" t="str">
        <f t="shared" si="23"/>
        <v>- - -</v>
      </c>
      <c r="BV33" s="412"/>
      <c r="BW33" s="412"/>
      <c r="BX33" s="412"/>
      <c r="BY33" s="412"/>
      <c r="BZ33" s="429" t="str">
        <f t="shared" si="24"/>
        <v>- - -</v>
      </c>
      <c r="CA33" s="428"/>
      <c r="CB33" s="428"/>
      <c r="CC33" s="508"/>
      <c r="CD33" s="508"/>
      <c r="CE33" s="412" t="str">
        <f t="shared" si="25"/>
        <v>---</v>
      </c>
      <c r="CF33" s="428" t="str">
        <f t="shared" si="26"/>
        <v>/-/ /-/</v>
      </c>
      <c r="CG33" s="428">
        <f t="shared" si="27"/>
        <v>9</v>
      </c>
      <c r="CH33" s="428">
        <f t="shared" si="28"/>
        <v>2036</v>
      </c>
      <c r="CI33" s="412">
        <f t="shared" si="29"/>
        <v>6</v>
      </c>
      <c r="CJ33" s="412">
        <f t="shared" si="30"/>
        <v>2036</v>
      </c>
      <c r="CK33" s="413">
        <f t="shared" si="31"/>
        <v>3</v>
      </c>
      <c r="CL33" s="428">
        <f t="shared" si="32"/>
        <v>2036</v>
      </c>
      <c r="CM33" s="428" t="str">
        <f t="shared" si="33"/>
        <v>- - -</v>
      </c>
      <c r="CN33" s="428" t="str">
        <f t="shared" si="34"/>
        <v>. .</v>
      </c>
      <c r="CO33" s="428"/>
      <c r="CP33" s="417">
        <f t="shared" si="35"/>
        <v>720</v>
      </c>
      <c r="CQ33" s="417">
        <f t="shared" si="36"/>
        <v>-23708</v>
      </c>
      <c r="CR33" s="428">
        <f t="shared" si="37"/>
        <v>-1976</v>
      </c>
      <c r="CS33" s="417" t="str">
        <f t="shared" si="38"/>
        <v>Nam dưới 35</v>
      </c>
      <c r="CT33" s="412"/>
      <c r="CU33" s="412"/>
      <c r="CV33" s="412" t="str">
        <f t="shared" si="39"/>
        <v>Đến 30</v>
      </c>
      <c r="CW33" s="412" t="str">
        <f>IF(CX33&gt;0,"TD","--")</f>
        <v>TD</v>
      </c>
      <c r="CX33" s="412">
        <v>2012</v>
      </c>
      <c r="CY33" s="412"/>
      <c r="CZ33" s="412"/>
      <c r="DA33" s="412"/>
      <c r="DB33" s="412"/>
      <c r="DC33" s="412"/>
      <c r="DD33" s="412"/>
      <c r="DE33" s="412"/>
      <c r="DF33" s="412"/>
      <c r="DG33" s="412"/>
      <c r="DH33" s="412" t="s">
        <v>9</v>
      </c>
      <c r="DI33" s="412" t="s">
        <v>10</v>
      </c>
      <c r="DJ33" s="412" t="s">
        <v>37</v>
      </c>
      <c r="DK33" s="412" t="s">
        <v>10</v>
      </c>
      <c r="DL33" s="412" t="s">
        <v>31</v>
      </c>
      <c r="DM33" s="412">
        <f t="shared" si="41"/>
        <v>0</v>
      </c>
      <c r="DN33" s="412" t="str">
        <f t="shared" si="42"/>
        <v>- - -</v>
      </c>
      <c r="DO33" s="412" t="s">
        <v>9</v>
      </c>
      <c r="DP33" s="412" t="s">
        <v>10</v>
      </c>
      <c r="DQ33" s="604" t="s">
        <v>37</v>
      </c>
      <c r="DR33" s="142" t="s">
        <v>10</v>
      </c>
      <c r="DS33" s="142" t="s">
        <v>31</v>
      </c>
      <c r="DU33" s="142" t="str">
        <f t="shared" si="43"/>
        <v>- - -</v>
      </c>
      <c r="DV33" s="142" t="str">
        <f t="shared" si="44"/>
        <v>---</v>
      </c>
    </row>
    <row r="34" spans="1:126" s="142" customFormat="1" ht="33.75" customHeight="1" x14ac:dyDescent="0.25">
      <c r="A34" s="152">
        <v>442</v>
      </c>
      <c r="B34" s="615">
        <v>17</v>
      </c>
      <c r="C34" s="139" t="str">
        <f t="shared" si="0"/>
        <v>Bà</v>
      </c>
      <c r="D34" s="497" t="s">
        <v>261</v>
      </c>
      <c r="E34" s="139" t="s">
        <v>32</v>
      </c>
      <c r="F34" s="276" t="s">
        <v>107</v>
      </c>
      <c r="G34" s="276" t="s">
        <v>10</v>
      </c>
      <c r="H34" s="276" t="s">
        <v>37</v>
      </c>
      <c r="I34" s="276" t="s">
        <v>10</v>
      </c>
      <c r="J34" s="139">
        <v>1976</v>
      </c>
      <c r="K34" s="139"/>
      <c r="L34" s="139"/>
      <c r="M34" s="143" t="e">
        <f>VLOOKUP(L34,'[1]- DLiêu Gốc -'!$B$2:$G$121,2,0)</f>
        <v>#N/A</v>
      </c>
      <c r="N34" s="498"/>
      <c r="O34" s="295" t="s">
        <v>133</v>
      </c>
      <c r="P34" s="165" t="str">
        <f>VLOOKUP(U34,'[1]- DLiêu Gốc -'!$B$2:$G$56,5,0)</f>
        <v>A1</v>
      </c>
      <c r="Q34" s="165" t="str">
        <f>VLOOKUP(U34,'[1]- DLiêu Gốc -'!$B$2:$G$56,6,0)</f>
        <v>- - -</v>
      </c>
      <c r="R34" s="139" t="s">
        <v>34</v>
      </c>
      <c r="S34" s="277" t="str">
        <f t="shared" si="1"/>
        <v>Giảng viên (hạng III)</v>
      </c>
      <c r="T34" s="278" t="str">
        <f t="shared" si="2"/>
        <v>V.07.01.03</v>
      </c>
      <c r="U34" s="180" t="s">
        <v>35</v>
      </c>
      <c r="V34" s="141" t="str">
        <f>VLOOKUP(U34,'[1]- DLiêu Gốc -'!$B$1:$G$121,2,0)</f>
        <v>V.07.01.03</v>
      </c>
      <c r="W34" s="274" t="str">
        <f t="shared" si="3"/>
        <v>Lương</v>
      </c>
      <c r="X34" s="274">
        <v>5</v>
      </c>
      <c r="Y34" s="274" t="str">
        <f t="shared" si="4"/>
        <v>/</v>
      </c>
      <c r="Z34" s="274">
        <f t="shared" si="5"/>
        <v>9</v>
      </c>
      <c r="AA34" s="274">
        <f t="shared" si="6"/>
        <v>3.66</v>
      </c>
      <c r="AB34" s="274">
        <f t="shared" si="7"/>
        <v>6</v>
      </c>
      <c r="AC34" s="274" t="str">
        <f t="shared" si="8"/>
        <v>/</v>
      </c>
      <c r="AD34" s="274">
        <f t="shared" si="9"/>
        <v>9</v>
      </c>
      <c r="AE34" s="274">
        <f t="shared" si="10"/>
        <v>3.99</v>
      </c>
      <c r="AF34" s="274" t="s">
        <v>9</v>
      </c>
      <c r="AG34" s="274" t="s">
        <v>10</v>
      </c>
      <c r="AH34" s="274" t="s">
        <v>187</v>
      </c>
      <c r="AI34" s="274" t="s">
        <v>10</v>
      </c>
      <c r="AJ34" s="274">
        <v>2015</v>
      </c>
      <c r="AK34" s="147"/>
      <c r="AL34" s="141">
        <v>4</v>
      </c>
      <c r="AM34" s="274">
        <f t="shared" si="11"/>
        <v>3</v>
      </c>
      <c r="AN34" s="274">
        <f t="shared" si="12"/>
        <v>-24184</v>
      </c>
      <c r="AO34" s="180"/>
      <c r="AP34" s="180"/>
      <c r="AQ34" s="274">
        <f>VLOOKUP(U34,'[1]- DLiêu Gốc -'!$B$1:$E$56,3,0)</f>
        <v>2.34</v>
      </c>
      <c r="AR34" s="274">
        <f>VLOOKUP(U34,'[1]- DLiêu Gốc -'!$B$1:$E$56,4,0)</f>
        <v>0.33</v>
      </c>
      <c r="AT34" s="274" t="str">
        <f t="shared" si="13"/>
        <v>PCTN</v>
      </c>
      <c r="AU34" s="279">
        <v>12</v>
      </c>
      <c r="AV34" s="280" t="s">
        <v>38</v>
      </c>
      <c r="AW34" s="279">
        <f t="shared" si="14"/>
        <v>13</v>
      </c>
      <c r="AX34" s="281" t="s">
        <v>38</v>
      </c>
      <c r="AY34" s="282" t="s">
        <v>9</v>
      </c>
      <c r="AZ34" s="169" t="s">
        <v>10</v>
      </c>
      <c r="BA34" s="283">
        <v>2016</v>
      </c>
      <c r="BB34" s="253"/>
      <c r="BC34" s="253"/>
      <c r="BD34" s="180"/>
      <c r="BE34" s="253">
        <v>1</v>
      </c>
      <c r="BF34" s="180">
        <f t="shared" si="15"/>
        <v>-24193</v>
      </c>
      <c r="BG34" s="140" t="str">
        <f t="shared" si="16"/>
        <v>- - -</v>
      </c>
      <c r="BH34" s="253" t="str">
        <f t="shared" si="17"/>
        <v>VC</v>
      </c>
      <c r="BI34" s="619"/>
      <c r="BJ34" s="413"/>
      <c r="BK34" s="413" t="s">
        <v>101</v>
      </c>
      <c r="BL34" s="428" t="str">
        <f t="shared" si="18"/>
        <v>A</v>
      </c>
      <c r="BM34" s="417" t="str">
        <f t="shared" si="19"/>
        <v>=&gt; s</v>
      </c>
      <c r="BN34" s="428">
        <f t="shared" si="20"/>
        <v>24208</v>
      </c>
      <c r="BO34" s="413" t="str">
        <f t="shared" si="21"/>
        <v>---</v>
      </c>
      <c r="BP34" s="428"/>
      <c r="BQ34" s="429"/>
      <c r="BR34" s="429"/>
      <c r="BS34" s="430"/>
      <c r="BT34" s="412" t="str">
        <f t="shared" si="22"/>
        <v>- - -</v>
      </c>
      <c r="BU34" s="412" t="str">
        <f t="shared" si="23"/>
        <v>- - -</v>
      </c>
      <c r="BV34" s="412"/>
      <c r="BW34" s="412"/>
      <c r="BX34" s="412"/>
      <c r="BY34" s="412"/>
      <c r="BZ34" s="429" t="str">
        <f t="shared" si="24"/>
        <v>- - -</v>
      </c>
      <c r="CA34" s="428"/>
      <c r="CB34" s="428"/>
      <c r="CC34" s="508"/>
      <c r="CD34" s="508"/>
      <c r="CE34" s="412" t="str">
        <f t="shared" si="25"/>
        <v>---</v>
      </c>
      <c r="CF34" s="428" t="str">
        <f t="shared" si="26"/>
        <v>/-/ /-/</v>
      </c>
      <c r="CG34" s="428">
        <f t="shared" si="27"/>
        <v>3</v>
      </c>
      <c r="CH34" s="428">
        <f t="shared" si="28"/>
        <v>2031</v>
      </c>
      <c r="CI34" s="412">
        <f t="shared" si="29"/>
        <v>12</v>
      </c>
      <c r="CJ34" s="412">
        <f t="shared" si="30"/>
        <v>2030</v>
      </c>
      <c r="CK34" s="413">
        <f t="shared" si="31"/>
        <v>9</v>
      </c>
      <c r="CL34" s="428">
        <f t="shared" si="32"/>
        <v>2030</v>
      </c>
      <c r="CM34" s="428" t="str">
        <f t="shared" si="33"/>
        <v>- - -</v>
      </c>
      <c r="CN34" s="428" t="str">
        <f t="shared" si="34"/>
        <v>. .</v>
      </c>
      <c r="CO34" s="428"/>
      <c r="CP34" s="417">
        <f t="shared" si="35"/>
        <v>660</v>
      </c>
      <c r="CQ34" s="417">
        <f t="shared" si="36"/>
        <v>-23702</v>
      </c>
      <c r="CR34" s="428">
        <f t="shared" si="37"/>
        <v>-1976</v>
      </c>
      <c r="CS34" s="417" t="str">
        <f t="shared" si="38"/>
        <v>Nữ dưới 30</v>
      </c>
      <c r="CT34" s="412"/>
      <c r="CU34" s="412"/>
      <c r="CV34" s="412" t="str">
        <f t="shared" si="39"/>
        <v>Đến 30</v>
      </c>
      <c r="CW34" s="412" t="str">
        <f>IF(CX34&gt;0,"TD","--")</f>
        <v>--</v>
      </c>
      <c r="CX34" s="412"/>
      <c r="CY34" s="412"/>
      <c r="CZ34" s="412"/>
      <c r="DA34" s="412"/>
      <c r="DB34" s="412"/>
      <c r="DC34" s="412"/>
      <c r="DD34" s="412"/>
      <c r="DE34" s="412"/>
      <c r="DF34" s="412"/>
      <c r="DG34" s="412"/>
      <c r="DH34" s="412" t="s">
        <v>9</v>
      </c>
      <c r="DI34" s="412" t="s">
        <v>10</v>
      </c>
      <c r="DJ34" s="412" t="s">
        <v>187</v>
      </c>
      <c r="DK34" s="412" t="s">
        <v>10</v>
      </c>
      <c r="DL34" s="412">
        <v>2012</v>
      </c>
      <c r="DM34" s="412">
        <f t="shared" si="41"/>
        <v>0</v>
      </c>
      <c r="DN34" s="412" t="str">
        <f t="shared" si="42"/>
        <v>- - -</v>
      </c>
      <c r="DO34" s="412" t="s">
        <v>9</v>
      </c>
      <c r="DP34" s="412" t="s">
        <v>10</v>
      </c>
      <c r="DQ34" s="604" t="s">
        <v>187</v>
      </c>
      <c r="DR34" s="142" t="s">
        <v>10</v>
      </c>
      <c r="DS34" s="142">
        <v>2012</v>
      </c>
      <c r="DU34" s="142" t="str">
        <f t="shared" si="43"/>
        <v>- - -</v>
      </c>
      <c r="DV34" s="142" t="str">
        <f t="shared" si="44"/>
        <v>---</v>
      </c>
    </row>
    <row r="35" spans="1:126" s="142" customFormat="1" ht="33.75" customHeight="1" x14ac:dyDescent="0.25">
      <c r="A35" s="152">
        <v>549</v>
      </c>
      <c r="B35" s="615">
        <v>18</v>
      </c>
      <c r="C35" s="139" t="str">
        <f t="shared" si="0"/>
        <v>Ông</v>
      </c>
      <c r="D35" s="497" t="s">
        <v>262</v>
      </c>
      <c r="E35" s="139" t="s">
        <v>39</v>
      </c>
      <c r="F35" s="276" t="s">
        <v>158</v>
      </c>
      <c r="G35" s="276" t="s">
        <v>10</v>
      </c>
      <c r="H35" s="276" t="s">
        <v>187</v>
      </c>
      <c r="I35" s="276" t="s">
        <v>10</v>
      </c>
      <c r="J35" s="139" t="s">
        <v>142</v>
      </c>
      <c r="K35" s="139" t="str">
        <f>IF(AND((M35+0)&gt;0.3,(M35+0)&lt;1.5),"CVụ","- -")</f>
        <v>CVụ</v>
      </c>
      <c r="L35" s="139" t="s">
        <v>263</v>
      </c>
      <c r="M35" s="143" t="str">
        <f>VLOOKUP(L35,'[3]- DLiêu Gốc -'!$B$2:$G$120,2,0)</f>
        <v>0,8</v>
      </c>
      <c r="N35" s="498"/>
      <c r="O35" s="295" t="s">
        <v>264</v>
      </c>
      <c r="P35" s="165" t="str">
        <f>VLOOKUP(U35,'[1]- DLiêu Gốc -'!$B$2:$G$56,5,0)</f>
        <v>A2</v>
      </c>
      <c r="Q35" s="165" t="str">
        <f>VLOOKUP(U35,'[1]- DLiêu Gốc -'!$B$2:$G$56,6,0)</f>
        <v>A2.1</v>
      </c>
      <c r="R35" s="139" t="s">
        <v>34</v>
      </c>
      <c r="S35" s="277" t="str">
        <f t="shared" si="1"/>
        <v>Giảng viên chính (hạng II)</v>
      </c>
      <c r="T35" s="278" t="str">
        <f t="shared" si="2"/>
        <v>V.07.01.02</v>
      </c>
      <c r="U35" s="180" t="s">
        <v>45</v>
      </c>
      <c r="V35" s="141" t="str">
        <f>VLOOKUP(U35,'[1]- DLiêu Gốc -'!$B$1:$G$121,2,0)</f>
        <v>V.07.01.02</v>
      </c>
      <c r="W35" s="274" t="str">
        <f t="shared" si="3"/>
        <v>Lương</v>
      </c>
      <c r="X35" s="274">
        <v>4</v>
      </c>
      <c r="Y35" s="274" t="str">
        <f t="shared" si="4"/>
        <v>/</v>
      </c>
      <c r="Z35" s="274">
        <f t="shared" si="5"/>
        <v>8</v>
      </c>
      <c r="AA35" s="274">
        <f t="shared" si="6"/>
        <v>5.42</v>
      </c>
      <c r="AB35" s="274">
        <f t="shared" si="7"/>
        <v>5</v>
      </c>
      <c r="AC35" s="274" t="str">
        <f t="shared" si="8"/>
        <v>/</v>
      </c>
      <c r="AD35" s="274">
        <f t="shared" si="9"/>
        <v>8</v>
      </c>
      <c r="AE35" s="274">
        <f t="shared" si="10"/>
        <v>5.76</v>
      </c>
      <c r="AF35" s="274" t="s">
        <v>9</v>
      </c>
      <c r="AG35" s="274" t="s">
        <v>10</v>
      </c>
      <c r="AH35" s="274" t="s">
        <v>30</v>
      </c>
      <c r="AI35" s="274" t="s">
        <v>10</v>
      </c>
      <c r="AJ35" s="274">
        <v>2012</v>
      </c>
      <c r="AK35" s="147"/>
      <c r="AL35" s="141"/>
      <c r="AM35" s="274">
        <f t="shared" si="11"/>
        <v>3</v>
      </c>
      <c r="AN35" s="274">
        <f t="shared" si="12"/>
        <v>-24152</v>
      </c>
      <c r="AO35" s="180"/>
      <c r="AP35" s="180"/>
      <c r="AQ35" s="274">
        <f>VLOOKUP(U35,'[1]- DLiêu Gốc -'!$B$1:$E$56,3,0)</f>
        <v>4.4000000000000004</v>
      </c>
      <c r="AR35" s="274">
        <f>VLOOKUP(U35,'[1]- DLiêu Gốc -'!$B$1:$E$56,4,0)</f>
        <v>0.34</v>
      </c>
      <c r="AT35" s="274" t="str">
        <f t="shared" si="13"/>
        <v>PCTN</v>
      </c>
      <c r="AU35" s="279">
        <v>26</v>
      </c>
      <c r="AV35" s="280" t="s">
        <v>38</v>
      </c>
      <c r="AW35" s="279">
        <f t="shared" si="14"/>
        <v>27</v>
      </c>
      <c r="AX35" s="281" t="s">
        <v>38</v>
      </c>
      <c r="AY35" s="282" t="s">
        <v>9</v>
      </c>
      <c r="AZ35" s="169" t="s">
        <v>10</v>
      </c>
      <c r="BA35" s="283">
        <v>2016</v>
      </c>
      <c r="BB35" s="253" t="s">
        <v>265</v>
      </c>
      <c r="BC35" s="253"/>
      <c r="BD35" s="180"/>
      <c r="BE35" s="253">
        <v>1</v>
      </c>
      <c r="BF35" s="180">
        <f t="shared" si="15"/>
        <v>-24193</v>
      </c>
      <c r="BG35" s="140" t="str">
        <f t="shared" si="16"/>
        <v>- - -</v>
      </c>
      <c r="BH35" s="253" t="str">
        <f t="shared" si="17"/>
        <v>VC</v>
      </c>
      <c r="BI35" s="619"/>
      <c r="BJ35" s="413"/>
      <c r="BK35" s="413" t="s">
        <v>101</v>
      </c>
      <c r="BL35" s="428" t="str">
        <f t="shared" si="18"/>
        <v>A</v>
      </c>
      <c r="BM35" s="417" t="str">
        <f t="shared" si="19"/>
        <v>=&gt; s</v>
      </c>
      <c r="BN35" s="428">
        <f t="shared" si="20"/>
        <v>24176</v>
      </c>
      <c r="BO35" s="413" t="str">
        <f t="shared" si="21"/>
        <v>S</v>
      </c>
      <c r="BP35" s="428">
        <v>2009</v>
      </c>
      <c r="BQ35" s="429" t="s">
        <v>109</v>
      </c>
      <c r="BR35" s="429"/>
      <c r="BS35" s="430"/>
      <c r="BT35" s="412" t="str">
        <f t="shared" si="22"/>
        <v>Cùg Ng</v>
      </c>
      <c r="BU35" s="412" t="str">
        <f t="shared" si="23"/>
        <v>- - -</v>
      </c>
      <c r="BV35" s="412"/>
      <c r="BW35" s="412"/>
      <c r="BX35" s="412"/>
      <c r="BY35" s="412"/>
      <c r="BZ35" s="429" t="str">
        <f t="shared" si="24"/>
        <v>- - -</v>
      </c>
      <c r="CA35" s="428"/>
      <c r="CB35" s="428"/>
      <c r="CC35" s="508"/>
      <c r="CD35" s="508"/>
      <c r="CE35" s="412" t="str">
        <f>IF(AND(CF35="Hưu",X35&lt;(Z35-1),CM35&gt;0,CM35&lt;18,OR(AU35&lt;4,AND(AU35&gt;3,OR(BG35&lt;3,BG35&gt;5)))),"Lg Sớm",IF(AND(CF35="Hưu",X35&gt;(Z35-2),OR(AR35=0.33,AR35=0.34),OR(AU35&lt;4,AND(AU35&gt;3,OR(BG35&lt;3,BG35&gt;5)))),"Nâng Ngạch??",IF(AND(CF35="Hưu",AM35=1,CM35&gt;2,CM35&lt;6,OR(AU35&lt;4,AND(AU35&gt;3,OR(BG35&lt;3,BG35&gt;5)))),"Nâng PcVK cùng QĐ",IF(AND(CF35="Hưu",AU35&gt;3,BG35&gt;2,BG35&lt;6,X35&lt;(Z35-1),CM35&gt;17,OR(AM35&gt;1,AND(AM35=1,OR(CM35&lt;3,CM35&gt;5)))),"Nâng PcNG cùng QĐ",IF(AND(CF35="Hưu",X35&lt;(Z35-1),CM35&gt;0,CM35&lt;18,AU35&gt;3,BG35&gt;2,BG35&lt;6),"Nâng Lg Sớm +(PcNG cùng QĐ)",IF(AND(CF35="Hưu",X35&gt;(Z35-2),OR(AR35=0.33,AR35=0.34),AU35&gt;3,BG35&gt;2,BG35&lt;6),"Nâng Ngạch?? +(PcNG cùng QĐ)",IF(AND(CF35="Hưu",AM35=1,CM35&gt;2,CM35&lt;6,AU35&gt;3,BG35&gt;2,BG35&lt;6),"Nâng (PcVK +PcNG) cùng QĐ",("---"))))))))</f>
        <v>---</v>
      </c>
      <c r="CF35" s="428" t="str">
        <f t="shared" si="26"/>
        <v>/-/ /-/</v>
      </c>
      <c r="CG35" s="428">
        <f t="shared" si="27"/>
        <v>5</v>
      </c>
      <c r="CH35" s="428">
        <f t="shared" si="28"/>
        <v>2023</v>
      </c>
      <c r="CI35" s="412">
        <f t="shared" si="29"/>
        <v>2</v>
      </c>
      <c r="CJ35" s="412">
        <f t="shared" si="30"/>
        <v>2023</v>
      </c>
      <c r="CK35" s="413">
        <f t="shared" si="31"/>
        <v>11</v>
      </c>
      <c r="CL35" s="428">
        <f t="shared" si="32"/>
        <v>2022</v>
      </c>
      <c r="CM35" s="428" t="str">
        <f t="shared" si="33"/>
        <v>- - -</v>
      </c>
      <c r="CN35" s="428" t="str">
        <f t="shared" si="34"/>
        <v>. .</v>
      </c>
      <c r="CO35" s="428"/>
      <c r="CP35" s="417">
        <f t="shared" si="35"/>
        <v>720</v>
      </c>
      <c r="CQ35" s="417">
        <f t="shared" si="36"/>
        <v>-23548</v>
      </c>
      <c r="CR35" s="428">
        <f t="shared" si="37"/>
        <v>-1963</v>
      </c>
      <c r="CS35" s="417" t="str">
        <f t="shared" si="38"/>
        <v>Nam dưới 35</v>
      </c>
      <c r="CT35" s="412"/>
      <c r="CU35" s="412"/>
      <c r="CV35" s="412" t="str">
        <f t="shared" si="39"/>
        <v>Đến 30</v>
      </c>
      <c r="CW35" s="412" t="str">
        <f>IF(CX35&gt;0,"TD","--")</f>
        <v>--</v>
      </c>
      <c r="CX35" s="412"/>
      <c r="CY35" s="412"/>
      <c r="CZ35" s="412"/>
      <c r="DA35" s="412"/>
      <c r="DB35" s="412"/>
      <c r="DC35" s="412"/>
      <c r="DD35" s="412"/>
      <c r="DE35" s="412"/>
      <c r="DF35" s="412"/>
      <c r="DG35" s="412"/>
      <c r="DH35" s="412" t="s">
        <v>9</v>
      </c>
      <c r="DI35" s="412" t="s">
        <v>10</v>
      </c>
      <c r="DJ35" s="412" t="s">
        <v>30</v>
      </c>
      <c r="DK35" s="412" t="s">
        <v>10</v>
      </c>
      <c r="DL35" s="412">
        <v>2012</v>
      </c>
      <c r="DM35" s="412">
        <f t="shared" si="41"/>
        <v>0</v>
      </c>
      <c r="DN35" s="412" t="str">
        <f t="shared" si="42"/>
        <v>- - -</v>
      </c>
      <c r="DO35" s="412" t="s">
        <v>9</v>
      </c>
      <c r="DP35" s="412" t="s">
        <v>10</v>
      </c>
      <c r="DQ35" s="604" t="s">
        <v>30</v>
      </c>
      <c r="DR35" s="142" t="s">
        <v>10</v>
      </c>
      <c r="DS35" s="142">
        <v>2012</v>
      </c>
      <c r="DU35" s="142" t="str">
        <f t="shared" si="43"/>
        <v>- - -</v>
      </c>
      <c r="DV35" s="142" t="str">
        <f t="shared" si="44"/>
        <v>---</v>
      </c>
    </row>
    <row r="36" spans="1:126" s="142" customFormat="1" ht="25.5" customHeight="1" x14ac:dyDescent="0.25">
      <c r="A36" s="152">
        <v>608</v>
      </c>
      <c r="B36" s="615">
        <v>19</v>
      </c>
      <c r="C36" s="139" t="str">
        <f t="shared" si="0"/>
        <v>Ông</v>
      </c>
      <c r="D36" s="497" t="s">
        <v>266</v>
      </c>
      <c r="E36" s="139" t="s">
        <v>39</v>
      </c>
      <c r="F36" s="276" t="s">
        <v>42</v>
      </c>
      <c r="G36" s="276" t="s">
        <v>10</v>
      </c>
      <c r="H36" s="276" t="s">
        <v>241</v>
      </c>
      <c r="I36" s="276" t="s">
        <v>10</v>
      </c>
      <c r="J36" s="139" t="s">
        <v>142</v>
      </c>
      <c r="K36" s="139"/>
      <c r="L36" s="139"/>
      <c r="M36" s="143" t="e">
        <f>VLOOKUP(L36,'[1]- DLiêu Gốc -'!$B$2:$G$121,2,0)</f>
        <v>#N/A</v>
      </c>
      <c r="N36" s="498" t="s">
        <v>205</v>
      </c>
      <c r="O36" s="295" t="s">
        <v>267</v>
      </c>
      <c r="P36" s="165" t="str">
        <f>VLOOKUP(U36,'[1]- DLiêu Gốc -'!$B$2:$G$56,5,0)</f>
        <v>A1</v>
      </c>
      <c r="Q36" s="165" t="str">
        <f>VLOOKUP(U36,'[1]- DLiêu Gốc -'!$B$2:$G$56,6,0)</f>
        <v>- - -</v>
      </c>
      <c r="R36" s="139" t="s">
        <v>41</v>
      </c>
      <c r="S36" s="277" t="str">
        <f t="shared" si="1"/>
        <v>Giáo viên trung học</v>
      </c>
      <c r="T36" s="278" t="str">
        <f t="shared" si="2"/>
        <v>15.113</v>
      </c>
      <c r="U36" s="180" t="s">
        <v>194</v>
      </c>
      <c r="V36" s="141" t="str">
        <f>VLOOKUP(U36,'[1]- DLiêu Gốc -'!$B$1:$G$121,2,0)</f>
        <v>15.113</v>
      </c>
      <c r="W36" s="274" t="str">
        <f t="shared" si="3"/>
        <v>Lương</v>
      </c>
      <c r="X36" s="274">
        <v>7</v>
      </c>
      <c r="Y36" s="274" t="str">
        <f t="shared" si="4"/>
        <v>/</v>
      </c>
      <c r="Z36" s="274">
        <f t="shared" si="5"/>
        <v>9</v>
      </c>
      <c r="AA36" s="274">
        <f t="shared" si="6"/>
        <v>4.32</v>
      </c>
      <c r="AB36" s="274">
        <f t="shared" si="7"/>
        <v>8</v>
      </c>
      <c r="AC36" s="274" t="str">
        <f t="shared" si="8"/>
        <v>/</v>
      </c>
      <c r="AD36" s="274">
        <f t="shared" si="9"/>
        <v>9</v>
      </c>
      <c r="AE36" s="274">
        <f t="shared" si="10"/>
        <v>4.6500000000000004</v>
      </c>
      <c r="AF36" s="274" t="s">
        <v>9</v>
      </c>
      <c r="AG36" s="274" t="s">
        <v>10</v>
      </c>
      <c r="AH36" s="274" t="s">
        <v>46</v>
      </c>
      <c r="AI36" s="274" t="s">
        <v>10</v>
      </c>
      <c r="AJ36" s="274">
        <v>2015</v>
      </c>
      <c r="AK36" s="147"/>
      <c r="AL36" s="141"/>
      <c r="AM36" s="274">
        <f t="shared" si="11"/>
        <v>3</v>
      </c>
      <c r="AN36" s="274">
        <f t="shared" si="12"/>
        <v>-24190</v>
      </c>
      <c r="AO36" s="180"/>
      <c r="AP36" s="180"/>
      <c r="AQ36" s="274">
        <f>VLOOKUP(U36,'[1]- DLiêu Gốc -'!$B$1:$E$56,3,0)</f>
        <v>2.34</v>
      </c>
      <c r="AR36" s="274">
        <f>VLOOKUP(U36,'[1]- DLiêu Gốc -'!$B$1:$E$56,4,0)</f>
        <v>0.33</v>
      </c>
      <c r="AT36" s="274" t="str">
        <f t="shared" si="13"/>
        <v>PCTN</v>
      </c>
      <c r="AU36" s="279">
        <v>27</v>
      </c>
      <c r="AV36" s="280" t="s">
        <v>38</v>
      </c>
      <c r="AW36" s="279">
        <f t="shared" si="14"/>
        <v>28</v>
      </c>
      <c r="AX36" s="281" t="s">
        <v>38</v>
      </c>
      <c r="AY36" s="282" t="s">
        <v>9</v>
      </c>
      <c r="AZ36" s="169" t="s">
        <v>10</v>
      </c>
      <c r="BA36" s="283">
        <v>2016</v>
      </c>
      <c r="BB36" s="253"/>
      <c r="BC36" s="253"/>
      <c r="BD36" s="180"/>
      <c r="BE36" s="253">
        <v>1</v>
      </c>
      <c r="BF36" s="180">
        <f t="shared" si="15"/>
        <v>-24193</v>
      </c>
      <c r="BG36" s="140" t="str">
        <f t="shared" si="16"/>
        <v>- - -</v>
      </c>
      <c r="BH36" s="253" t="str">
        <f t="shared" si="17"/>
        <v>VC</v>
      </c>
      <c r="BI36" s="619"/>
      <c r="BJ36" s="413"/>
      <c r="BK36" s="413" t="s">
        <v>101</v>
      </c>
      <c r="BL36" s="428" t="str">
        <f t="shared" si="18"/>
        <v>C</v>
      </c>
      <c r="BM36" s="417" t="str">
        <f t="shared" si="19"/>
        <v>=&gt; s</v>
      </c>
      <c r="BN36" s="428">
        <f t="shared" si="20"/>
        <v>24214</v>
      </c>
      <c r="BO36" s="413" t="str">
        <f t="shared" si="21"/>
        <v>---</v>
      </c>
      <c r="BP36" s="428"/>
      <c r="BQ36" s="429"/>
      <c r="BR36" s="429"/>
      <c r="BS36" s="430"/>
      <c r="BT36" s="412" t="str">
        <f t="shared" si="22"/>
        <v>- - -</v>
      </c>
      <c r="BU36" s="412" t="str">
        <f t="shared" si="23"/>
        <v>- - -</v>
      </c>
      <c r="BV36" s="412"/>
      <c r="BW36" s="412"/>
      <c r="BX36" s="412"/>
      <c r="BY36" s="412"/>
      <c r="BZ36" s="429" t="str">
        <f t="shared" si="24"/>
        <v>- - -</v>
      </c>
      <c r="CA36" s="428"/>
      <c r="CB36" s="428"/>
      <c r="CC36" s="508"/>
      <c r="CD36" s="508"/>
      <c r="CE36" s="412" t="str">
        <f>IF(AND(CF36="Hưu",X36&lt;(Z36-1),CM36&gt;0,CM36&lt;18,OR(AU36&lt;4,AND(AU36&gt;3,OR(BG36&lt;3,BG36&gt;5)))),"Lg Sớm",IF(AND(CF36="Hưu",X36&gt;(Z36-2),OR(AR36=0.33,AR36=0.34),OR(AU36&lt;4,AND(AU36&gt;3,OR(BG36&lt;3,BG36&gt;5)))),"Nâng Ngạch",IF(AND(CF36="Hưu",AM36=1,CM36&gt;2,CM36&lt;6,OR(AU36&lt;4,AND(AU36&gt;3,OR(BG36&lt;3,BG36&gt;5)))),"Nâng PcVK cùng QĐ",IF(AND(CF36="Hưu",AU36&gt;3,BG36&gt;2,BG36&lt;6,X36&lt;(Z36-1),CM36&gt;17,OR(AM36&gt;1,AND(AM36=1,OR(CM36&lt;3,CM36&gt;5)))),"Nâng PcNG cùng QĐ",IF(AND(CF36="Hưu",X36&lt;(Z36-1),CM36&gt;0,CM36&lt;18,AU36&gt;3,BG36&gt;2,BG36&lt;6),"Nâng Lg Sớm +(PcNG cùng QĐ)",IF(AND(CF36="Hưu",X36&gt;(Z36-2),OR(AR36=0.33,AR36=0.34),AU36&gt;3,BG36&gt;2,BG36&lt;6),"Nâng Ngạch +(PcNG cùng QĐ)",IF(AND(CF36="Hưu",AM36=1,CM36&gt;2,CM36&lt;6,AU36&gt;3,BG36&gt;2,BG36&lt;6),"Nâng (PcVK +PcNG) cùng QĐ",("---"))))))))</f>
        <v>---</v>
      </c>
      <c r="CF36" s="428" t="str">
        <f t="shared" si="26"/>
        <v>/-/ /-/</v>
      </c>
      <c r="CG36" s="428">
        <f t="shared" si="27"/>
        <v>7</v>
      </c>
      <c r="CH36" s="428">
        <f t="shared" si="28"/>
        <v>2023</v>
      </c>
      <c r="CI36" s="412">
        <f t="shared" si="29"/>
        <v>4</v>
      </c>
      <c r="CJ36" s="412">
        <f t="shared" si="30"/>
        <v>2023</v>
      </c>
      <c r="CK36" s="413">
        <f t="shared" si="31"/>
        <v>1</v>
      </c>
      <c r="CL36" s="428">
        <f t="shared" si="32"/>
        <v>2023</v>
      </c>
      <c r="CM36" s="428" t="str">
        <f t="shared" si="33"/>
        <v>- - -</v>
      </c>
      <c r="CN36" s="428" t="str">
        <f t="shared" si="34"/>
        <v>. .</v>
      </c>
      <c r="CO36" s="428"/>
      <c r="CP36" s="417">
        <f t="shared" si="35"/>
        <v>720</v>
      </c>
      <c r="CQ36" s="417">
        <f t="shared" si="36"/>
        <v>-23550</v>
      </c>
      <c r="CR36" s="428">
        <f t="shared" si="37"/>
        <v>-1963</v>
      </c>
      <c r="CS36" s="417" t="str">
        <f t="shared" si="38"/>
        <v>Nam dưới 35</v>
      </c>
      <c r="CT36" s="412"/>
      <c r="CU36" s="412"/>
      <c r="CV36" s="412" t="str">
        <f t="shared" si="39"/>
        <v>Đến 30</v>
      </c>
      <c r="CW36" s="412" t="str">
        <f>IF(CX36&gt;0,"TD","--")</f>
        <v>--</v>
      </c>
      <c r="CX36" s="412"/>
      <c r="CY36" s="412"/>
      <c r="CZ36" s="412"/>
      <c r="DA36" s="412"/>
      <c r="DB36" s="412"/>
      <c r="DC36" s="412"/>
      <c r="DD36" s="412"/>
      <c r="DE36" s="412"/>
      <c r="DF36" s="412"/>
      <c r="DG36" s="412" t="s">
        <v>268</v>
      </c>
      <c r="DH36" s="412" t="s">
        <v>9</v>
      </c>
      <c r="DI36" s="412" t="s">
        <v>10</v>
      </c>
      <c r="DJ36" s="412" t="s">
        <v>46</v>
      </c>
      <c r="DK36" s="412" t="s">
        <v>10</v>
      </c>
      <c r="DL36" s="412">
        <v>2012</v>
      </c>
      <c r="DM36" s="412">
        <f t="shared" si="41"/>
        <v>0</v>
      </c>
      <c r="DN36" s="412" t="str">
        <f t="shared" si="42"/>
        <v>- - -</v>
      </c>
      <c r="DO36" s="412" t="s">
        <v>9</v>
      </c>
      <c r="DP36" s="412" t="s">
        <v>10</v>
      </c>
      <c r="DQ36" s="604" t="s">
        <v>46</v>
      </c>
      <c r="DR36" s="142" t="s">
        <v>10</v>
      </c>
      <c r="DS36" s="142">
        <v>2012</v>
      </c>
      <c r="DU36" s="142" t="str">
        <f t="shared" si="43"/>
        <v>- - -</v>
      </c>
      <c r="DV36" s="142" t="str">
        <f t="shared" si="44"/>
        <v>---</v>
      </c>
    </row>
    <row r="37" spans="1:126" s="142" customFormat="1" ht="43.5" customHeight="1" x14ac:dyDescent="0.25">
      <c r="A37" s="152">
        <v>678</v>
      </c>
      <c r="B37" s="615">
        <v>20</v>
      </c>
      <c r="C37" s="139" t="str">
        <f t="shared" si="0"/>
        <v>Ông</v>
      </c>
      <c r="D37" s="497" t="s">
        <v>269</v>
      </c>
      <c r="E37" s="139" t="s">
        <v>39</v>
      </c>
      <c r="F37" s="276" t="s">
        <v>102</v>
      </c>
      <c r="G37" s="276" t="s">
        <v>10</v>
      </c>
      <c r="H37" s="276" t="s">
        <v>37</v>
      </c>
      <c r="I37" s="276" t="s">
        <v>10</v>
      </c>
      <c r="J37" s="139" t="s">
        <v>270</v>
      </c>
      <c r="K37" s="139"/>
      <c r="L37" s="139"/>
      <c r="M37" s="143" t="e">
        <f>VLOOKUP(L37,'[1]- DLiêu Gốc -'!$B$2:$G$121,2,0)</f>
        <v>#N/A</v>
      </c>
      <c r="N37" s="498" t="s">
        <v>271</v>
      </c>
      <c r="O37" s="295" t="s">
        <v>162</v>
      </c>
      <c r="P37" s="165" t="str">
        <f>VLOOKUP(U37,'[1]- DLiêu Gốc -'!$B$2:$G$56,5,0)</f>
        <v>A3</v>
      </c>
      <c r="Q37" s="165" t="str">
        <f>VLOOKUP(U37,'[1]- DLiêu Gốc -'!$B$2:$G$56,6,0)</f>
        <v>A3.1</v>
      </c>
      <c r="R37" s="139" t="s">
        <v>41</v>
      </c>
      <c r="S37" s="277" t="str">
        <f t="shared" si="1"/>
        <v>Giảng viên cao cấp (hạng I)</v>
      </c>
      <c r="T37" s="278" t="str">
        <f t="shared" si="2"/>
        <v>V.07.01.01</v>
      </c>
      <c r="U37" s="180" t="s">
        <v>88</v>
      </c>
      <c r="V37" s="141" t="str">
        <f>VLOOKUP(U37,'[1]- DLiêu Gốc -'!$B$1:$G$121,2,0)</f>
        <v>V.07.01.01</v>
      </c>
      <c r="W37" s="274" t="str">
        <f t="shared" si="3"/>
        <v>Lương</v>
      </c>
      <c r="X37" s="274">
        <v>5</v>
      </c>
      <c r="Y37" s="274" t="str">
        <f t="shared" si="4"/>
        <v>/</v>
      </c>
      <c r="Z37" s="274">
        <f t="shared" si="5"/>
        <v>6</v>
      </c>
      <c r="AA37" s="274">
        <f t="shared" si="6"/>
        <v>7.6400000000000006</v>
      </c>
      <c r="AB37" s="274">
        <f t="shared" si="7"/>
        <v>6</v>
      </c>
      <c r="AC37" s="274" t="str">
        <f t="shared" si="8"/>
        <v>/</v>
      </c>
      <c r="AD37" s="274">
        <f t="shared" si="9"/>
        <v>6</v>
      </c>
      <c r="AE37" s="274">
        <f t="shared" si="10"/>
        <v>8</v>
      </c>
      <c r="AF37" s="274" t="s">
        <v>9</v>
      </c>
      <c r="AG37" s="274" t="s">
        <v>10</v>
      </c>
      <c r="AH37" s="274" t="s">
        <v>9</v>
      </c>
      <c r="AI37" s="274" t="s">
        <v>10</v>
      </c>
      <c r="AJ37" s="274">
        <v>2016</v>
      </c>
      <c r="AK37" s="147"/>
      <c r="AL37" s="141"/>
      <c r="AM37" s="274">
        <f t="shared" si="11"/>
        <v>3</v>
      </c>
      <c r="AN37" s="274">
        <f t="shared" si="12"/>
        <v>-24193</v>
      </c>
      <c r="AO37" s="180"/>
      <c r="AP37" s="180"/>
      <c r="AQ37" s="274">
        <f>VLOOKUP(U37,'[1]- DLiêu Gốc -'!$B$1:$E$56,3,0)</f>
        <v>6.2</v>
      </c>
      <c r="AR37" s="274">
        <f>VLOOKUP(U37,'[1]- DLiêu Gốc -'!$B$1:$E$56,4,0)</f>
        <v>0.36</v>
      </c>
      <c r="AT37" s="274" t="str">
        <f t="shared" si="13"/>
        <v>PCTN</v>
      </c>
      <c r="AU37" s="279">
        <v>11</v>
      </c>
      <c r="AV37" s="280" t="s">
        <v>38</v>
      </c>
      <c r="AW37" s="279">
        <f t="shared" si="14"/>
        <v>12</v>
      </c>
      <c r="AX37" s="281" t="s">
        <v>38</v>
      </c>
      <c r="AY37" s="282" t="s">
        <v>42</v>
      </c>
      <c r="AZ37" s="169" t="s">
        <v>10</v>
      </c>
      <c r="BA37" s="283">
        <v>2015</v>
      </c>
      <c r="BB37" s="253" t="s">
        <v>272</v>
      </c>
      <c r="BC37" s="253"/>
      <c r="BD37" s="180"/>
      <c r="BE37" s="253"/>
      <c r="BF37" s="180">
        <f t="shared" si="15"/>
        <v>-24192</v>
      </c>
      <c r="BG37" s="140" t="str">
        <f t="shared" si="16"/>
        <v>- - -</v>
      </c>
      <c r="BH37" s="253" t="str">
        <f t="shared" si="17"/>
        <v>VC</v>
      </c>
      <c r="BI37" s="619"/>
      <c r="BJ37" s="413"/>
      <c r="BK37" s="413" t="s">
        <v>101</v>
      </c>
      <c r="BL37" s="428" t="str">
        <f t="shared" si="18"/>
        <v>A</v>
      </c>
      <c r="BM37" s="417" t="str">
        <f t="shared" si="19"/>
        <v>=&gt; s</v>
      </c>
      <c r="BN37" s="428">
        <f t="shared" si="20"/>
        <v>24217</v>
      </c>
      <c r="BO37" s="413" t="str">
        <f t="shared" si="21"/>
        <v>---</v>
      </c>
      <c r="BP37" s="428"/>
      <c r="BQ37" s="429"/>
      <c r="BR37" s="429"/>
      <c r="BS37" s="430"/>
      <c r="BT37" s="412" t="str">
        <f t="shared" si="22"/>
        <v>- - -</v>
      </c>
      <c r="BU37" s="412" t="str">
        <f t="shared" si="23"/>
        <v>- - -</v>
      </c>
      <c r="BV37" s="412"/>
      <c r="BW37" s="412"/>
      <c r="BX37" s="412"/>
      <c r="BY37" s="412"/>
      <c r="BZ37" s="429" t="str">
        <f t="shared" si="24"/>
        <v>- - -</v>
      </c>
      <c r="CA37" s="428"/>
      <c r="CB37" s="428"/>
      <c r="CC37" s="508"/>
      <c r="CD37" s="508"/>
      <c r="CE37" s="412" t="str">
        <f>IF(AND(CF37="Hưu",X37&lt;(Z37-1),CM37&gt;0,CM37&lt;18,OR(AU37&lt;4,AND(AU37&gt;3,OR(BG37&lt;3,BG37&gt;5)))),"Lg Sớm",IF(AND(CF37="Hưu",X37&gt;(Z37-2),OR(AR37=0.33,AR37=0.34),OR(AU37&lt;4,AND(AU37&gt;3,OR(BG37&lt;3,BG37&gt;5)))),"Nâng Ngạch",IF(AND(CF37="Hưu",AM37=1,CM37&gt;2,CM37&lt;6,OR(AU37&lt;4,AND(AU37&gt;3,OR(BG37&lt;3,BG37&gt;5)))),"Nâng PcVK cùng QĐ",IF(AND(CF37="Hưu",AU37&gt;3,BG37&gt;2,BG37&lt;6,X37&lt;(Z37-1),CM37&gt;17,OR(AM37&gt;1,AND(AM37=1,OR(CM37&lt;3,CM37&gt;5)))),"Nâng PcNG cùng QĐ",IF(AND(CF37="Hưu",X37&lt;(Z37-1),CM37&gt;0,CM37&lt;18,AU37&gt;3,BG37&gt;2,BG37&lt;6),"Nâng Lg Sớm +(PcNG cùng QĐ)",IF(AND(CF37="Hưu",X37&gt;(Z37-2),OR(AR37=0.33,AR37=0.34),AU37&gt;3,BG37&gt;2,BG37&lt;6),"Nâng Ngạch +(PcNG cùng QĐ)",IF(AND(CF37="Hưu",AM37=1,CM37&gt;2,CM37&lt;6,AU37&gt;3,BG37&gt;2,BG37&lt;6),"Nâng (PcVK +PcNG) cùng QĐ",("---"))))))))</f>
        <v>---</v>
      </c>
      <c r="CF37" s="428" t="str">
        <f t="shared" si="26"/>
        <v>/-/ /-/</v>
      </c>
      <c r="CG37" s="428">
        <f t="shared" si="27"/>
        <v>3</v>
      </c>
      <c r="CH37" s="428">
        <f t="shared" si="28"/>
        <v>2016</v>
      </c>
      <c r="CI37" s="412">
        <f t="shared" si="29"/>
        <v>12</v>
      </c>
      <c r="CJ37" s="412">
        <f t="shared" si="30"/>
        <v>2015</v>
      </c>
      <c r="CK37" s="413">
        <f t="shared" si="31"/>
        <v>9</v>
      </c>
      <c r="CL37" s="428">
        <f t="shared" si="32"/>
        <v>2015</v>
      </c>
      <c r="CM37" s="428" t="str">
        <f t="shared" si="33"/>
        <v>- - -</v>
      </c>
      <c r="CN37" s="428" t="str">
        <f t="shared" si="34"/>
        <v>K.Dài</v>
      </c>
      <c r="CO37" s="428">
        <v>7</v>
      </c>
      <c r="CP37" s="417">
        <f t="shared" si="35"/>
        <v>804</v>
      </c>
      <c r="CQ37" s="417">
        <f t="shared" si="36"/>
        <v>-23378</v>
      </c>
      <c r="CR37" s="428">
        <f t="shared" si="37"/>
        <v>-1949</v>
      </c>
      <c r="CS37" s="417" t="str">
        <f t="shared" si="38"/>
        <v>Nam dưới 35</v>
      </c>
      <c r="CT37" s="412"/>
      <c r="CU37" s="412"/>
      <c r="CV37" s="412" t="str">
        <f t="shared" si="39"/>
        <v>Đến 30</v>
      </c>
      <c r="CW37" s="412" t="str">
        <f>IF(CX37&gt;0,"TD","--")</f>
        <v>--</v>
      </c>
      <c r="CX37" s="412"/>
      <c r="CY37" s="412"/>
      <c r="CZ37" s="412"/>
      <c r="DA37" s="412"/>
      <c r="DB37" s="412" t="s">
        <v>145</v>
      </c>
      <c r="DC37" s="412"/>
      <c r="DD37" s="412"/>
      <c r="DE37" s="412"/>
      <c r="DF37" s="412"/>
      <c r="DG37" s="412" t="s">
        <v>271</v>
      </c>
      <c r="DH37" s="412" t="s">
        <v>9</v>
      </c>
      <c r="DI37" s="412" t="s">
        <v>10</v>
      </c>
      <c r="DJ37" s="412" t="s">
        <v>9</v>
      </c>
      <c r="DK37" s="412" t="s">
        <v>10</v>
      </c>
      <c r="DL37" s="412">
        <v>2013</v>
      </c>
      <c r="DM37" s="412">
        <f t="shared" si="41"/>
        <v>0</v>
      </c>
      <c r="DN37" s="412" t="str">
        <f t="shared" si="42"/>
        <v>- - -</v>
      </c>
      <c r="DO37" s="412" t="s">
        <v>9</v>
      </c>
      <c r="DP37" s="412" t="s">
        <v>10</v>
      </c>
      <c r="DQ37" s="604" t="s">
        <v>9</v>
      </c>
      <c r="DR37" s="142" t="s">
        <v>10</v>
      </c>
      <c r="DS37" s="142">
        <v>2013</v>
      </c>
      <c r="DU37" s="142" t="str">
        <f t="shared" si="43"/>
        <v>- - -</v>
      </c>
      <c r="DV37" s="142" t="str">
        <f t="shared" si="44"/>
        <v>---</v>
      </c>
    </row>
    <row r="38" spans="1:126" s="490" customFormat="1" ht="21" customHeight="1" x14ac:dyDescent="0.2">
      <c r="B38" s="617" t="s">
        <v>138</v>
      </c>
      <c r="C38" s="491"/>
      <c r="D38" s="492" t="s">
        <v>214</v>
      </c>
      <c r="E38" s="491"/>
      <c r="F38" s="491"/>
      <c r="G38" s="491"/>
      <c r="H38" s="491"/>
      <c r="I38" s="491"/>
      <c r="J38" s="491"/>
      <c r="K38" s="491"/>
      <c r="L38" s="491"/>
      <c r="M38" s="491"/>
      <c r="N38" s="493"/>
      <c r="O38" s="494"/>
      <c r="P38" s="491"/>
      <c r="Q38" s="491"/>
      <c r="R38" s="491"/>
      <c r="S38" s="493"/>
      <c r="T38" s="494"/>
      <c r="U38" s="491"/>
      <c r="V38" s="491"/>
      <c r="W38" s="491"/>
      <c r="X38" s="491"/>
      <c r="Y38" s="491"/>
      <c r="Z38" s="491"/>
      <c r="AA38" s="491"/>
      <c r="AB38" s="491"/>
      <c r="AC38" s="491"/>
      <c r="AD38" s="491"/>
      <c r="AE38" s="491"/>
      <c r="AF38" s="491"/>
      <c r="AG38" s="491"/>
      <c r="AH38" s="491"/>
      <c r="AI38" s="491"/>
      <c r="AJ38" s="491"/>
      <c r="AK38" s="491"/>
      <c r="AL38" s="491"/>
      <c r="AM38" s="491"/>
      <c r="AN38" s="491"/>
      <c r="AO38" s="491"/>
      <c r="AP38" s="491"/>
      <c r="AQ38" s="491"/>
      <c r="AR38" s="491"/>
      <c r="AS38" s="491"/>
      <c r="AT38" s="491"/>
      <c r="AU38" s="493"/>
      <c r="AV38" s="494"/>
      <c r="AW38" s="493"/>
      <c r="AX38" s="494"/>
      <c r="AY38" s="493"/>
      <c r="AZ38" s="495"/>
      <c r="BA38" s="495"/>
      <c r="BB38" s="496"/>
      <c r="BC38" s="496"/>
      <c r="BD38" s="491"/>
      <c r="BE38" s="496"/>
      <c r="BF38" s="491"/>
      <c r="BG38" s="491"/>
      <c r="BH38" s="496"/>
      <c r="BI38" s="618"/>
      <c r="BJ38" s="606"/>
      <c r="BK38" s="606"/>
      <c r="BL38" s="606"/>
      <c r="BM38" s="606"/>
      <c r="BN38" s="606"/>
      <c r="BO38" s="606"/>
      <c r="BP38" s="606"/>
      <c r="BQ38" s="606"/>
      <c r="BR38" s="606"/>
      <c r="BS38" s="606"/>
      <c r="BT38" s="606"/>
      <c r="BU38" s="606"/>
      <c r="BV38" s="606"/>
      <c r="BW38" s="606"/>
      <c r="BX38" s="606"/>
      <c r="BY38" s="606"/>
      <c r="BZ38" s="606"/>
      <c r="CA38" s="606"/>
      <c r="CB38" s="606"/>
      <c r="CC38" s="606"/>
      <c r="CD38" s="606"/>
      <c r="CE38" s="606"/>
      <c r="CF38" s="606"/>
      <c r="CG38" s="606"/>
      <c r="CH38" s="606"/>
      <c r="CI38" s="606"/>
      <c r="CJ38" s="606"/>
      <c r="CK38" s="606"/>
      <c r="CL38" s="606"/>
      <c r="CM38" s="606"/>
      <c r="CN38" s="606"/>
      <c r="CO38" s="606"/>
      <c r="CP38" s="606"/>
      <c r="CQ38" s="606"/>
      <c r="CR38" s="606"/>
      <c r="CS38" s="606"/>
      <c r="CT38" s="606"/>
      <c r="CU38" s="606"/>
      <c r="CV38" s="606"/>
      <c r="CW38" s="606"/>
      <c r="CX38" s="606"/>
      <c r="CY38" s="606"/>
      <c r="CZ38" s="606"/>
      <c r="DA38" s="606"/>
      <c r="DB38" s="606"/>
      <c r="DC38" s="606"/>
      <c r="DD38" s="606"/>
      <c r="DE38" s="606"/>
      <c r="DF38" s="606"/>
      <c r="DG38" s="606"/>
      <c r="DH38" s="606"/>
      <c r="DI38" s="606"/>
      <c r="DJ38" s="606"/>
      <c r="DK38" s="606"/>
      <c r="DL38" s="606"/>
      <c r="DM38" s="606"/>
      <c r="DN38" s="606"/>
      <c r="DO38" s="606"/>
      <c r="DP38" s="606"/>
    </row>
    <row r="39" spans="1:126" s="142" customFormat="1" ht="27" customHeight="1" x14ac:dyDescent="0.25">
      <c r="A39" s="152">
        <v>52</v>
      </c>
      <c r="B39" s="615">
        <v>1</v>
      </c>
      <c r="C39" s="139" t="str">
        <f t="shared" ref="C39:C51" si="45">IF(E39="Nam","Ông","Bà")</f>
        <v>Bà</v>
      </c>
      <c r="D39" s="497" t="s">
        <v>273</v>
      </c>
      <c r="E39" s="139" t="s">
        <v>32</v>
      </c>
      <c r="F39" s="276" t="s">
        <v>146</v>
      </c>
      <c r="G39" s="276" t="s">
        <v>10</v>
      </c>
      <c r="H39" s="276" t="s">
        <v>94</v>
      </c>
      <c r="I39" s="276" t="s">
        <v>10</v>
      </c>
      <c r="J39" s="139" t="s">
        <v>150</v>
      </c>
      <c r="K39" s="139" t="str">
        <f>IF(AND((M39+0)&gt;0.3,(M39+0)&lt;1.5),"CVụ","- -")</f>
        <v>CVụ</v>
      </c>
      <c r="L39" s="139" t="s">
        <v>168</v>
      </c>
      <c r="M39" s="143" t="str">
        <f>VLOOKUP(L39,'[2]- DLiêu Gốc -'!$B$2:$G$121,2,0)</f>
        <v>0,6</v>
      </c>
      <c r="N39" s="302" t="s">
        <v>274</v>
      </c>
      <c r="O39" s="295" t="s">
        <v>275</v>
      </c>
      <c r="P39" s="165" t="str">
        <f>VLOOKUP(U39,'[2]- DLiêu Gốc -'!$B$2:$G$56,5,0)</f>
        <v>A2</v>
      </c>
      <c r="Q39" s="165" t="str">
        <f>VLOOKUP(U39,'[2]- DLiêu Gốc -'!$B$2:$G$56,6,0)</f>
        <v>A2.1</v>
      </c>
      <c r="R39" s="139" t="s">
        <v>34</v>
      </c>
      <c r="S39" s="277" t="str">
        <f t="shared" ref="S39:S51" si="46">IF(OR(U39="Kỹ thuật viên đánh máy",U39="Nhân viên đánh máy",U39="Nhân viên kỹ thuật",U39="Nhân viên văn thư",U39="Nhân viên phục vụ",U39="Lái xe cơ quan",U39="Nhân viên bảo vệ"),"Nhân viên",U39)</f>
        <v>Giảng viên chính (hạng II)</v>
      </c>
      <c r="T39" s="278" t="str">
        <f t="shared" ref="T39:T51" si="47">IF(S39="Nhân viên","01.005",V39)</f>
        <v>V.07.01.02</v>
      </c>
      <c r="U39" s="180" t="s">
        <v>45</v>
      </c>
      <c r="V39" s="141" t="str">
        <f>VLOOKUP(U39,'[2]- DLiêu Gốc -'!$B$1:$G$121,2,0)</f>
        <v>V.07.01.02</v>
      </c>
      <c r="W39" s="274" t="str">
        <f t="shared" ref="W39:W51" si="48">IF(OR(AND(AN39=36,AM39=3),AND(AN39=24,AM39=2),AND(AN39=12,AM39=1)),"Đến $",IF(AND(AN39&lt;12*10,OR(AND(AN39&gt;36,AM39=3),AND(AN39&gt;24,AN39&lt;120,AM39=2),AND(AN39&gt;12,AM39=1))),"Dừng $","Lương"))</f>
        <v>Lương</v>
      </c>
      <c r="X39" s="274">
        <v>1</v>
      </c>
      <c r="Y39" s="274" t="str">
        <f t="shared" ref="Y39:Y51" si="49">IF(Z39&gt;0,"/")</f>
        <v>/</v>
      </c>
      <c r="Z39" s="274">
        <f t="shared" ref="Z39:Z51" si="50">IF(OR(AR39=0.18,AR39=0.2),12,IF(AR39=0.31,10,IF(AR39=0.33,9,IF(AR39=0.34,8,IF(AR39=0.36,6)))))</f>
        <v>8</v>
      </c>
      <c r="AA39" s="274">
        <f t="shared" ref="AA39:AA51" si="51">AQ39+(X39-1)*AR39</f>
        <v>4.4000000000000004</v>
      </c>
      <c r="AB39" s="274">
        <f t="shared" ref="AB39:AB51" si="52">X39+1</f>
        <v>2</v>
      </c>
      <c r="AC39" s="274" t="str">
        <f t="shared" ref="AC39:AC51" si="53">IF(Z39=X39,"%",IF(Z39&gt;X39,"/"))</f>
        <v>/</v>
      </c>
      <c r="AD39" s="274">
        <f t="shared" ref="AD39:AD51" si="54">IF(AND(Z39=X39,AB39=4),5,IF(AND(Z39=X39,AB39&gt;4),AB39+1,IF(Z39&gt;X39,Z39)))</f>
        <v>8</v>
      </c>
      <c r="AE39" s="274">
        <f t="shared" ref="AE39:AE51" si="55">IF(Z39=X39,"%",IF(Z39&gt;X39,AA39+AR39))</f>
        <v>4.74</v>
      </c>
      <c r="AF39" s="274" t="s">
        <v>9</v>
      </c>
      <c r="AG39" s="274" t="s">
        <v>10</v>
      </c>
      <c r="AH39" s="274" t="s">
        <v>9</v>
      </c>
      <c r="AI39" s="274" t="s">
        <v>10</v>
      </c>
      <c r="AJ39" s="274">
        <v>2014</v>
      </c>
      <c r="AK39" s="147"/>
      <c r="AL39" s="141"/>
      <c r="AM39" s="274">
        <f t="shared" ref="AM39:AM51" si="56">IF(AND(Z39&gt;X39,OR(AR39=0.18,AR39=0.2)),2,IF(AND(Z39&gt;X39,OR(AR39=0.31,AR39=0.33,AR39=0.34,AR39=0.36)),3,IF(Z39=X39,1)))</f>
        <v>3</v>
      </c>
      <c r="AN39" s="274">
        <f t="shared" ref="AN39:AN51" si="57">12*($W$2-AJ39)+($W$4-AH39)-AO39</f>
        <v>-24169</v>
      </c>
      <c r="AO39" s="180"/>
      <c r="AP39" s="180"/>
      <c r="AQ39" s="274">
        <f>VLOOKUP(U39,'[2]- DLiêu Gốc -'!$B$1:$E$56,3,0)</f>
        <v>4.4000000000000004</v>
      </c>
      <c r="AR39" s="274">
        <f>VLOOKUP(U39,'[2]- DLiêu Gốc -'!$B$1:$E$56,4,0)</f>
        <v>0.34</v>
      </c>
      <c r="AT39" s="274" t="str">
        <f t="shared" ref="AT39:AT51" si="58">IF(AND(AU39&gt;3,BF39=12),"Đến %",IF(AND(AU39&gt;3,BF39&gt;12,BF39&lt;120),"Dừng %",IF(AND(AU39&gt;3,BF39&lt;12),"PCTN","o-o-o")))</f>
        <v>PCTN</v>
      </c>
      <c r="AU39" s="279">
        <v>18</v>
      </c>
      <c r="AV39" s="280" t="s">
        <v>38</v>
      </c>
      <c r="AW39" s="279">
        <f t="shared" ref="AW39:AW51" si="59">IF(AU39&gt;3,AU39+1,0)</f>
        <v>19</v>
      </c>
      <c r="AX39" s="281" t="s">
        <v>38</v>
      </c>
      <c r="AY39" s="282" t="s">
        <v>37</v>
      </c>
      <c r="AZ39" s="169" t="s">
        <v>10</v>
      </c>
      <c r="BA39" s="283">
        <v>2016</v>
      </c>
      <c r="BB39" s="253"/>
      <c r="BC39" s="253"/>
      <c r="BD39" s="180"/>
      <c r="BE39" s="253">
        <v>2</v>
      </c>
      <c r="BF39" s="180">
        <f t="shared" ref="BF39:BF51" si="60">IF(AU39&gt;3,(($AT$2-BA39)*12+($AT$4-AY39)-BC39),"- - -")</f>
        <v>-24194</v>
      </c>
      <c r="BG39" s="140" t="str">
        <f t="shared" ref="BG39:BG51" si="61">IF(AND(CF39="Hưu",AU39&gt;3),12-(12*(CL39-BA39)+(CK39-AY39))-BC39,"- - -")</f>
        <v>- - -</v>
      </c>
      <c r="BH39" s="253" t="str">
        <f t="shared" ref="BH39:BH51" si="62">IF(BK39="công chức","CC",IF(BK39="viên chức","VC",IF(BK39="người lao động","NLĐ","- - -")))</f>
        <v>VC</v>
      </c>
      <c r="BI39" s="619"/>
      <c r="BJ39" s="413"/>
      <c r="BK39" s="413" t="s">
        <v>101</v>
      </c>
      <c r="BL39" s="428" t="str">
        <f t="shared" ref="BL39:BL51" si="63">IF(O39="Cơ sở Học viện Hành chính khu vực miền Trung","B",IF(O39="Phân viện Khu vực Tây Nguyên","C",IF(O39="Cơ sở Học viện Hành chính tại thành phố Hồ Chí Minh","D","A")))</f>
        <v>A</v>
      </c>
      <c r="BM39" s="417" t="str">
        <f t="shared" ref="BM39:BM51" si="64">IF(AND(AB39&gt;0,X39&lt;(Z39-1),BN39&gt;0,BN39&lt;13,OR(AND(BT39="Cùg Ng",($BM$2-BP39)&gt;AM39),BT39="- - -")),"Sớm TT","=&gt; s")</f>
        <v>=&gt; s</v>
      </c>
      <c r="BN39" s="428">
        <f t="shared" ref="BN39:BN51" si="65">IF(AM39=3,36-(12*($BM$2-AJ39)+(12-AH39)-AO39),IF(AM39=2,24-(12*($BM$2-AJ39)+(12-AH39)-AO39),"---"))</f>
        <v>24193</v>
      </c>
      <c r="BO39" s="413" t="str">
        <f t="shared" ref="BO39:BO51" si="66">IF(BP39&gt;1,"S","---")</f>
        <v>S</v>
      </c>
      <c r="BP39" s="428">
        <v>2008</v>
      </c>
      <c r="BQ39" s="429" t="s">
        <v>36</v>
      </c>
      <c r="BR39" s="429"/>
      <c r="BS39" s="430"/>
      <c r="BT39" s="412" t="str">
        <f t="shared" ref="BT39:BT51" si="67">IF(T39=BQ39,"Cùg Ng","- - -")</f>
        <v>- - -</v>
      </c>
      <c r="BU39" s="412" t="str">
        <f t="shared" ref="BU39:BU51" si="68">IF(BW39&gt;2000,"NN","- - -")</f>
        <v>NN</v>
      </c>
      <c r="BV39" s="412">
        <v>1</v>
      </c>
      <c r="BW39" s="412" t="s">
        <v>31</v>
      </c>
      <c r="BX39" s="412"/>
      <c r="BY39" s="412"/>
      <c r="BZ39" s="429" t="str">
        <f t="shared" ref="BZ39:BZ51" si="69">IF(CB39&gt;2000,"CN","- - -")</f>
        <v>- - -</v>
      </c>
      <c r="CA39" s="428"/>
      <c r="CB39" s="428"/>
      <c r="CC39" s="508"/>
      <c r="CD39" s="508"/>
      <c r="CE39" s="412" t="str">
        <f t="shared" ref="CE39:CE51" si="70">IF(AND(CF39="Hưu",X39&lt;(Z39-1),CM39&gt;0,CM39&lt;18,OR(AU39&lt;4,AND(AU39&gt;3,OR(BG39&lt;3,BG39&gt;5)))),"Lg Sớm",IF(AND(CF39="Hưu",X39&gt;(Z39-2),OR(AR39=0.33,AR39=0.34),OR(AU39&lt;4,AND(AU39&gt;3,OR(BG39&lt;3,BG39&gt;5)))),"Nâng Ngạch",IF(AND(CF39="Hưu",AM39=1,CM39&gt;2,CM39&lt;6,OR(AU39&lt;4,AND(AU39&gt;3,OR(BG39&lt;3,BG39&gt;5)))),"Nâng PcVK cùng QĐ",IF(AND(CF39="Hưu",AU39&gt;3,BG39&gt;2,BG39&lt;6,X39&lt;(Z39-1),CM39&gt;17,OR(AM39&gt;1,AND(AM39=1,OR(CM39&lt;3,CM39&gt;5)))),"Nâng PcNG cùng QĐ",IF(AND(CF39="Hưu",X39&lt;(Z39-1),CM39&gt;0,CM39&lt;18,AU39&gt;3,BG39&gt;2,BG39&lt;6),"Nâng Lg Sớm +(PcNG cùng QĐ)",IF(AND(CF39="Hưu",X39&gt;(Z39-2),OR(AR39=0.33,AR39=0.34),AU39&gt;3,BG39&gt;2,BG39&lt;6),"Nâng Ngạch +(PcNG cùng QĐ)",IF(AND(CF39="Hưu",AM39=1,CM39&gt;2,CM39&lt;6,AU39&gt;3,BG39&gt;2,BG39&lt;6),"Nâng (PcVK +PcNG) cùng QĐ",("---"))))))))</f>
        <v>---</v>
      </c>
      <c r="CF39" s="428" t="str">
        <f t="shared" ref="CF39:CF51" si="71">IF(AND(CQ39&gt;CP39,CQ39&lt;(CP39+13)),"Hưu",IF(AND(CQ39&gt;(CP39+12),CQ39&lt;1000),"Quá","/-/ /-/"))</f>
        <v>/-/ /-/</v>
      </c>
      <c r="CG39" s="428">
        <f t="shared" ref="CG39:CG51" si="72">IF((H39+0)&lt;12,(H39+0)+1,IF((H39+0)=12,1,IF((H39+0)&gt;12,(H39+0)-12)))</f>
        <v>10</v>
      </c>
      <c r="CH39" s="428">
        <f t="shared" ref="CH39:CH51" si="73">IF(OR((H39+0)=12,(H39+0)&gt;12),J39+CP39/12+1,IF(AND((H39+0)&gt;0,(H39+0)&lt;12),J39+CP39/12,"---"))</f>
        <v>2026</v>
      </c>
      <c r="CI39" s="412">
        <f t="shared" ref="CI39:CI51" si="74">IF(AND(CG39&gt;3,CG39&lt;13),CG39-3,IF(CG39&lt;4,CG39-3+12))</f>
        <v>7</v>
      </c>
      <c r="CJ39" s="412">
        <f t="shared" ref="CJ39:CJ51" si="75">IF(CI39&lt;CG39,CH39,IF(CI39&gt;CG39,CH39-1))</f>
        <v>2026</v>
      </c>
      <c r="CK39" s="413">
        <f t="shared" ref="CK39:CK51" si="76">IF(CG39&gt;6,CG39-6,IF(CG39=6,12,IF(CG39&lt;6,CG39+6)))</f>
        <v>4</v>
      </c>
      <c r="CL39" s="428">
        <f t="shared" ref="CL39:CL51" si="77">IF(CG39&gt;6,CH39,IF(CG39&lt;7,CH39-1))</f>
        <v>2026</v>
      </c>
      <c r="CM39" s="428" t="str">
        <f t="shared" ref="CM39:CM51" si="78">IF(AND(CF39="Hưu",AM39=3),36+AO39-(12*(CL39-AJ39)+(CK39-AH39)),IF(AND(CF39="Hưu",AM39=2),24+AO39-(12*(CL39-AJ39)+(CK39-AH39)),IF(AND(CF39="Hưu",AM39=1),12+AO39-(12*(CL39-AJ39)+(CK39-AH39)),"- - -")))</f>
        <v>- - -</v>
      </c>
      <c r="CN39" s="428" t="str">
        <f t="shared" ref="CN39:CN51" si="79">IF(CO39&gt;0,"K.Dài",". .")</f>
        <v>. .</v>
      </c>
      <c r="CO39" s="428"/>
      <c r="CP39" s="417">
        <f t="shared" ref="CP39:CP51" si="80">IF(E39="Nam",(60+CO39)*12,IF(E39="Nữ",(55+CO39)*12,))</f>
        <v>660</v>
      </c>
      <c r="CQ39" s="417">
        <f t="shared" ref="CQ39:CQ51" si="81">12*($CF$4-J39)+(12-H39)</f>
        <v>-23649</v>
      </c>
      <c r="CR39" s="428">
        <f t="shared" ref="CR39:CR51" si="82">$CV$4-J39</f>
        <v>-1971</v>
      </c>
      <c r="CS39" s="417" t="str">
        <f t="shared" ref="CS39:CS51" si="83">IF(AND(CR39&lt;35,E39="Nam"),"Nam dưới 35",IF(AND(CR39&lt;30,E39="Nữ"),"Nữ dưới 30",IF(AND(CR39&gt;34,CR39&lt;46,E39="Nam"),"Nam từ 35 - 45",IF(AND(CR39&gt;29,CR39&lt;41,E39="Nữ"),"Nữ từ 30 - 40",IF(AND(CR39&gt;45,CR39&lt;56,E39="Nam"),"Nam trên 45 - 55",IF(AND(CR39&gt;40,CR39&lt;51,E39="Nữ"),"Nữ trên 40 - 50",IF(AND(CR39&gt;55,E39="Nam"),"Nam trên 55","Nữ trên 50")))))))</f>
        <v>Nữ dưới 30</v>
      </c>
      <c r="CT39" s="412"/>
      <c r="CU39" s="412"/>
      <c r="CV39" s="412" t="str">
        <f t="shared" ref="CV39:CV51" si="84">IF(CR39&lt;31,"Đến 30",IF(AND(CR39&gt;30,CR39&lt;46),"31 - 45",IF(AND(CR39&gt;45,CR39&lt;70),"Trên 45")))</f>
        <v>Đến 30</v>
      </c>
      <c r="CW39" s="412" t="str">
        <f t="shared" ref="CW39:CW51" si="85">IF(CX39&gt;0,"TD","--")</f>
        <v>--</v>
      </c>
      <c r="CX39" s="412"/>
      <c r="CY39" s="412"/>
      <c r="CZ39" s="412"/>
      <c r="DA39" s="412"/>
      <c r="DB39" s="412"/>
      <c r="DC39" s="412"/>
      <c r="DD39" s="412"/>
      <c r="DE39" s="412"/>
      <c r="DF39" s="412"/>
      <c r="DG39" s="412" t="s">
        <v>274</v>
      </c>
      <c r="DH39" s="412" t="s">
        <v>9</v>
      </c>
      <c r="DI39" s="412" t="s">
        <v>10</v>
      </c>
      <c r="DJ39" s="412" t="s">
        <v>9</v>
      </c>
      <c r="DK39" s="412" t="s">
        <v>10</v>
      </c>
      <c r="DL39" s="412">
        <v>2014</v>
      </c>
      <c r="DM39" s="412">
        <f t="shared" ref="DM39:DM51" si="86">(DH39+0)-(DO39+0)</f>
        <v>0</v>
      </c>
      <c r="DN39" s="412" t="str">
        <f t="shared" ref="DN39:DN51" si="87">IF(DM39&gt;0,"Sửa","- - -")</f>
        <v>- - -</v>
      </c>
      <c r="DO39" s="412" t="s">
        <v>9</v>
      </c>
      <c r="DP39" s="412" t="s">
        <v>10</v>
      </c>
      <c r="DQ39" s="604" t="s">
        <v>9</v>
      </c>
      <c r="DR39" s="142" t="s">
        <v>10</v>
      </c>
      <c r="DS39" s="142">
        <v>2014</v>
      </c>
      <c r="DT39" s="142">
        <v>3.66</v>
      </c>
      <c r="DU39" s="142" t="str">
        <f t="shared" ref="DU39:DU51" si="88">IF(AND(AR39&gt;0.34,AB39=1,OR(AQ39=6.2,AQ39=5.75)),((AQ39-DT39)-2*0.34),IF(AND(AR39&gt;0.33,AB39=1,OR(AQ39=4.4,AQ39=4)),((AQ39-DT39)-2*0.33),"- - -"))</f>
        <v>- - -</v>
      </c>
      <c r="DV39" s="142" t="str">
        <f t="shared" ref="DV39:DV51" si="89">IF(CF39="Hưu",12*(CL39-AJ39)+(CK39-AH39),"---")</f>
        <v>---</v>
      </c>
    </row>
    <row r="40" spans="1:126" s="142" customFormat="1" ht="27" customHeight="1" x14ac:dyDescent="0.25">
      <c r="A40" s="152">
        <v>90</v>
      </c>
      <c r="B40" s="615">
        <v>2</v>
      </c>
      <c r="C40" s="139" t="str">
        <f t="shared" si="45"/>
        <v>Bà</v>
      </c>
      <c r="D40" s="497" t="s">
        <v>276</v>
      </c>
      <c r="E40" s="139" t="s">
        <v>32</v>
      </c>
      <c r="F40" s="276" t="s">
        <v>117</v>
      </c>
      <c r="G40" s="276" t="s">
        <v>10</v>
      </c>
      <c r="H40" s="276" t="s">
        <v>30</v>
      </c>
      <c r="I40" s="276" t="s">
        <v>10</v>
      </c>
      <c r="J40" s="139" t="s">
        <v>172</v>
      </c>
      <c r="K40" s="139"/>
      <c r="L40" s="139"/>
      <c r="M40" s="143" t="e">
        <f>VLOOKUP(L40,'[2]- DLiêu Gốc -'!$B$2:$G$121,2,0)</f>
        <v>#N/A</v>
      </c>
      <c r="N40" s="302"/>
      <c r="O40" s="295" t="s">
        <v>128</v>
      </c>
      <c r="P40" s="165" t="str">
        <f>VLOOKUP(U40,'[2]- DLiêu Gốc -'!$B$2:$G$56,5,0)</f>
        <v>A1</v>
      </c>
      <c r="Q40" s="165" t="str">
        <f>VLOOKUP(U40,'[2]- DLiêu Gốc -'!$B$2:$G$56,6,0)</f>
        <v>- - -</v>
      </c>
      <c r="R40" s="139" t="s">
        <v>34</v>
      </c>
      <c r="S40" s="277" t="str">
        <f t="shared" si="46"/>
        <v>Giảng viên (hạng III)</v>
      </c>
      <c r="T40" s="278" t="str">
        <f t="shared" si="47"/>
        <v>V.07.01.03</v>
      </c>
      <c r="U40" s="180" t="s">
        <v>35</v>
      </c>
      <c r="V40" s="141" t="str">
        <f>VLOOKUP(U40,'[2]- DLiêu Gốc -'!$B$1:$G$121,2,0)</f>
        <v>V.07.01.03</v>
      </c>
      <c r="W40" s="274" t="str">
        <f t="shared" si="48"/>
        <v>Lương</v>
      </c>
      <c r="X40" s="274">
        <v>4</v>
      </c>
      <c r="Y40" s="274" t="str">
        <f t="shared" si="49"/>
        <v>/</v>
      </c>
      <c r="Z40" s="274">
        <f t="shared" si="50"/>
        <v>9</v>
      </c>
      <c r="AA40" s="274">
        <f t="shared" si="51"/>
        <v>3.33</v>
      </c>
      <c r="AB40" s="274">
        <f t="shared" si="52"/>
        <v>5</v>
      </c>
      <c r="AC40" s="274" t="str">
        <f t="shared" si="53"/>
        <v>/</v>
      </c>
      <c r="AD40" s="274">
        <f t="shared" si="54"/>
        <v>9</v>
      </c>
      <c r="AE40" s="274">
        <f t="shared" si="55"/>
        <v>3.66</v>
      </c>
      <c r="AF40" s="274" t="s">
        <v>9</v>
      </c>
      <c r="AG40" s="274" t="s">
        <v>10</v>
      </c>
      <c r="AH40" s="274">
        <v>2</v>
      </c>
      <c r="AI40" s="274" t="s">
        <v>10</v>
      </c>
      <c r="AJ40" s="274">
        <v>2015</v>
      </c>
      <c r="AK40" s="147"/>
      <c r="AL40" s="141">
        <v>1</v>
      </c>
      <c r="AM40" s="274">
        <f t="shared" si="56"/>
        <v>3</v>
      </c>
      <c r="AN40" s="274">
        <f t="shared" si="57"/>
        <v>-24183</v>
      </c>
      <c r="AO40" s="180">
        <v>1</v>
      </c>
      <c r="AP40" s="180"/>
      <c r="AQ40" s="274">
        <f>VLOOKUP(U40,'[2]- DLiêu Gốc -'!$B$1:$E$56,3,0)</f>
        <v>2.34</v>
      </c>
      <c r="AR40" s="274">
        <f>VLOOKUP(U40,'[2]- DLiêu Gốc -'!$B$1:$E$56,4,0)</f>
        <v>0.33</v>
      </c>
      <c r="AT40" s="274" t="str">
        <f t="shared" si="58"/>
        <v>PCTN</v>
      </c>
      <c r="AU40" s="279">
        <v>12</v>
      </c>
      <c r="AV40" s="280" t="s">
        <v>38</v>
      </c>
      <c r="AW40" s="279">
        <f t="shared" si="59"/>
        <v>13</v>
      </c>
      <c r="AX40" s="281" t="s">
        <v>38</v>
      </c>
      <c r="AY40" s="282" t="s">
        <v>37</v>
      </c>
      <c r="AZ40" s="169" t="s">
        <v>10</v>
      </c>
      <c r="BA40" s="283">
        <v>2016</v>
      </c>
      <c r="BB40" s="253"/>
      <c r="BC40" s="253"/>
      <c r="BD40" s="180"/>
      <c r="BE40" s="253">
        <v>2</v>
      </c>
      <c r="BF40" s="180">
        <f t="shared" si="60"/>
        <v>-24194</v>
      </c>
      <c r="BG40" s="140" t="str">
        <f t="shared" si="61"/>
        <v>- - -</v>
      </c>
      <c r="BH40" s="253" t="str">
        <f t="shared" si="62"/>
        <v>VC</v>
      </c>
      <c r="BI40" s="619"/>
      <c r="BJ40" s="413"/>
      <c r="BK40" s="413" t="s">
        <v>101</v>
      </c>
      <c r="BL40" s="428" t="str">
        <f t="shared" si="63"/>
        <v>A</v>
      </c>
      <c r="BM40" s="417" t="str">
        <f t="shared" si="64"/>
        <v>=&gt; s</v>
      </c>
      <c r="BN40" s="428">
        <f t="shared" si="65"/>
        <v>24207</v>
      </c>
      <c r="BO40" s="413" t="str">
        <f t="shared" si="66"/>
        <v>---</v>
      </c>
      <c r="BP40" s="428"/>
      <c r="BQ40" s="429"/>
      <c r="BR40" s="429"/>
      <c r="BS40" s="430"/>
      <c r="BT40" s="412" t="str">
        <f t="shared" si="67"/>
        <v>- - -</v>
      </c>
      <c r="BU40" s="412" t="str">
        <f t="shared" si="68"/>
        <v>- - -</v>
      </c>
      <c r="BV40" s="412"/>
      <c r="BW40" s="412"/>
      <c r="BX40" s="412"/>
      <c r="BY40" s="412"/>
      <c r="BZ40" s="429" t="str">
        <f t="shared" si="69"/>
        <v>- - -</v>
      </c>
      <c r="CA40" s="428"/>
      <c r="CB40" s="428"/>
      <c r="CC40" s="508"/>
      <c r="CD40" s="508"/>
      <c r="CE40" s="412" t="str">
        <f t="shared" si="70"/>
        <v>---</v>
      </c>
      <c r="CF40" s="428" t="str">
        <f t="shared" si="71"/>
        <v>/-/ /-/</v>
      </c>
      <c r="CG40" s="428">
        <f t="shared" si="72"/>
        <v>9</v>
      </c>
      <c r="CH40" s="428">
        <f t="shared" si="73"/>
        <v>2032</v>
      </c>
      <c r="CI40" s="412">
        <f t="shared" si="74"/>
        <v>6</v>
      </c>
      <c r="CJ40" s="412">
        <f t="shared" si="75"/>
        <v>2032</v>
      </c>
      <c r="CK40" s="413">
        <f t="shared" si="76"/>
        <v>3</v>
      </c>
      <c r="CL40" s="428">
        <f t="shared" si="77"/>
        <v>2032</v>
      </c>
      <c r="CM40" s="428" t="str">
        <f t="shared" si="78"/>
        <v>- - -</v>
      </c>
      <c r="CN40" s="428" t="str">
        <f t="shared" si="79"/>
        <v>. .</v>
      </c>
      <c r="CO40" s="428"/>
      <c r="CP40" s="417">
        <f t="shared" si="80"/>
        <v>660</v>
      </c>
      <c r="CQ40" s="417">
        <f t="shared" si="81"/>
        <v>-23720</v>
      </c>
      <c r="CR40" s="428">
        <f t="shared" si="82"/>
        <v>-1977</v>
      </c>
      <c r="CS40" s="417" t="str">
        <f t="shared" si="83"/>
        <v>Nữ dưới 30</v>
      </c>
      <c r="CT40" s="412"/>
      <c r="CU40" s="412"/>
      <c r="CV40" s="412" t="str">
        <f t="shared" si="84"/>
        <v>Đến 30</v>
      </c>
      <c r="CW40" s="412" t="str">
        <f t="shared" si="85"/>
        <v>--</v>
      </c>
      <c r="CX40" s="412"/>
      <c r="CY40" s="412"/>
      <c r="CZ40" s="412"/>
      <c r="DA40" s="412"/>
      <c r="DB40" s="412"/>
      <c r="DC40" s="412"/>
      <c r="DD40" s="412"/>
      <c r="DE40" s="412"/>
      <c r="DF40" s="412"/>
      <c r="DG40" s="412"/>
      <c r="DH40" s="412" t="s">
        <v>9</v>
      </c>
      <c r="DI40" s="412" t="s">
        <v>10</v>
      </c>
      <c r="DJ40" s="412" t="s">
        <v>9</v>
      </c>
      <c r="DK40" s="412" t="s">
        <v>10</v>
      </c>
      <c r="DL40" s="412" t="s">
        <v>239</v>
      </c>
      <c r="DM40" s="412">
        <f t="shared" si="86"/>
        <v>0</v>
      </c>
      <c r="DN40" s="412" t="str">
        <f t="shared" si="87"/>
        <v>- - -</v>
      </c>
      <c r="DO40" s="412" t="s">
        <v>9</v>
      </c>
      <c r="DP40" s="412" t="s">
        <v>10</v>
      </c>
      <c r="DQ40" s="604" t="s">
        <v>9</v>
      </c>
      <c r="DR40" s="142" t="s">
        <v>10</v>
      </c>
      <c r="DS40" s="142" t="s">
        <v>239</v>
      </c>
      <c r="DU40" s="142" t="str">
        <f t="shared" si="88"/>
        <v>- - -</v>
      </c>
      <c r="DV40" s="142" t="str">
        <f t="shared" si="89"/>
        <v>---</v>
      </c>
    </row>
    <row r="41" spans="1:126" s="142" customFormat="1" ht="32.25" customHeight="1" x14ac:dyDescent="0.25">
      <c r="A41" s="152">
        <v>109</v>
      </c>
      <c r="B41" s="615">
        <v>3</v>
      </c>
      <c r="C41" s="139" t="str">
        <f t="shared" si="45"/>
        <v>Ông</v>
      </c>
      <c r="D41" s="497" t="s">
        <v>277</v>
      </c>
      <c r="E41" s="139" t="s">
        <v>39</v>
      </c>
      <c r="F41" s="276" t="s">
        <v>104</v>
      </c>
      <c r="G41" s="276" t="s">
        <v>10</v>
      </c>
      <c r="H41" s="276" t="s">
        <v>9</v>
      </c>
      <c r="I41" s="276" t="s">
        <v>10</v>
      </c>
      <c r="J41" s="139" t="s">
        <v>152</v>
      </c>
      <c r="K41" s="139" t="str">
        <f>IF(AND((M41+0)&gt;0.3,(M41+0)&lt;1.5),"CVụ","- -")</f>
        <v>CVụ</v>
      </c>
      <c r="L41" s="139" t="s">
        <v>155</v>
      </c>
      <c r="M41" s="143" t="str">
        <f>VLOOKUP(L41,'[2]- DLiêu Gốc -'!$B$2:$G$121,2,0)</f>
        <v>1,0</v>
      </c>
      <c r="N41" s="302"/>
      <c r="O41" s="295" t="s">
        <v>278</v>
      </c>
      <c r="P41" s="165" t="str">
        <f>VLOOKUP(U41,'[2]- DLiêu Gốc -'!$B$2:$G$56,5,0)</f>
        <v>A3</v>
      </c>
      <c r="Q41" s="165" t="str">
        <f>VLOOKUP(U41,'[2]- DLiêu Gốc -'!$B$2:$G$56,6,0)</f>
        <v>A3.1</v>
      </c>
      <c r="R41" s="139" t="s">
        <v>34</v>
      </c>
      <c r="S41" s="277" t="str">
        <f t="shared" si="46"/>
        <v>Giảng viên cao cấp (hạng I)</v>
      </c>
      <c r="T41" s="278" t="str">
        <f t="shared" si="47"/>
        <v>V.07.01.01</v>
      </c>
      <c r="U41" s="180" t="s">
        <v>88</v>
      </c>
      <c r="V41" s="141" t="str">
        <f>VLOOKUP(U41,'[2]- DLiêu Gốc -'!$B$1:$G$121,2,0)</f>
        <v>V.07.01.01</v>
      </c>
      <c r="W41" s="274" t="str">
        <f t="shared" si="48"/>
        <v>Lương</v>
      </c>
      <c r="X41" s="274">
        <v>3</v>
      </c>
      <c r="Y41" s="274" t="str">
        <f t="shared" si="49"/>
        <v>/</v>
      </c>
      <c r="Z41" s="274">
        <f t="shared" si="50"/>
        <v>6</v>
      </c>
      <c r="AA41" s="274">
        <f t="shared" si="51"/>
        <v>6.92</v>
      </c>
      <c r="AB41" s="274">
        <f t="shared" si="52"/>
        <v>4</v>
      </c>
      <c r="AC41" s="274" t="str">
        <f t="shared" si="53"/>
        <v>/</v>
      </c>
      <c r="AD41" s="274">
        <f t="shared" si="54"/>
        <v>6</v>
      </c>
      <c r="AE41" s="274">
        <f t="shared" si="55"/>
        <v>7.28</v>
      </c>
      <c r="AF41" s="274" t="s">
        <v>9</v>
      </c>
      <c r="AG41" s="274" t="s">
        <v>10</v>
      </c>
      <c r="AH41" s="274" t="s">
        <v>46</v>
      </c>
      <c r="AI41" s="274" t="s">
        <v>10</v>
      </c>
      <c r="AJ41" s="274">
        <v>2014</v>
      </c>
      <c r="AK41" s="147"/>
      <c r="AL41" s="141"/>
      <c r="AM41" s="274">
        <f t="shared" si="56"/>
        <v>3</v>
      </c>
      <c r="AN41" s="274">
        <f t="shared" si="57"/>
        <v>-24178</v>
      </c>
      <c r="AO41" s="180"/>
      <c r="AP41" s="180"/>
      <c r="AQ41" s="274">
        <f>VLOOKUP(U41,'[2]- DLiêu Gốc -'!$B$1:$E$56,3,0)</f>
        <v>6.2</v>
      </c>
      <c r="AR41" s="274">
        <f>VLOOKUP(U41,'[2]- DLiêu Gốc -'!$B$1:$E$56,4,0)</f>
        <v>0.36</v>
      </c>
      <c r="AT41" s="274" t="str">
        <f t="shared" si="58"/>
        <v>PCTN</v>
      </c>
      <c r="AU41" s="279">
        <v>40</v>
      </c>
      <c r="AV41" s="280" t="s">
        <v>38</v>
      </c>
      <c r="AW41" s="279">
        <f t="shared" si="59"/>
        <v>41</v>
      </c>
      <c r="AX41" s="281" t="s">
        <v>38</v>
      </c>
      <c r="AY41" s="282" t="s">
        <v>37</v>
      </c>
      <c r="AZ41" s="169" t="s">
        <v>10</v>
      </c>
      <c r="BA41" s="283">
        <v>2016</v>
      </c>
      <c r="BB41" s="253"/>
      <c r="BC41" s="253"/>
      <c r="BD41" s="180"/>
      <c r="BE41" s="253">
        <v>2</v>
      </c>
      <c r="BF41" s="180">
        <f t="shared" si="60"/>
        <v>-24194</v>
      </c>
      <c r="BG41" s="140" t="str">
        <f t="shared" si="61"/>
        <v>- - -</v>
      </c>
      <c r="BH41" s="253" t="str">
        <f t="shared" si="62"/>
        <v>VC</v>
      </c>
      <c r="BI41" s="619"/>
      <c r="BJ41" s="413"/>
      <c r="BK41" s="413" t="s">
        <v>101</v>
      </c>
      <c r="BL41" s="428" t="str">
        <f t="shared" si="63"/>
        <v>A</v>
      </c>
      <c r="BM41" s="417" t="str">
        <f t="shared" si="64"/>
        <v>=&gt; s</v>
      </c>
      <c r="BN41" s="428">
        <f t="shared" si="65"/>
        <v>24202</v>
      </c>
      <c r="BO41" s="413" t="str">
        <f t="shared" si="66"/>
        <v>S</v>
      </c>
      <c r="BP41" s="428">
        <v>2009</v>
      </c>
      <c r="BQ41" s="429" t="s">
        <v>109</v>
      </c>
      <c r="BR41" s="429"/>
      <c r="BS41" s="430"/>
      <c r="BT41" s="412" t="str">
        <f t="shared" si="67"/>
        <v>- - -</v>
      </c>
      <c r="BU41" s="412" t="str">
        <f t="shared" si="68"/>
        <v>NN</v>
      </c>
      <c r="BV41" s="412">
        <v>5</v>
      </c>
      <c r="BW41" s="412">
        <v>2012</v>
      </c>
      <c r="BX41" s="412"/>
      <c r="BY41" s="412"/>
      <c r="BZ41" s="429" t="str">
        <f t="shared" si="69"/>
        <v>- - -</v>
      </c>
      <c r="CA41" s="428"/>
      <c r="CB41" s="428"/>
      <c r="CC41" s="508"/>
      <c r="CD41" s="508"/>
      <c r="CE41" s="412" t="str">
        <f t="shared" si="70"/>
        <v>---</v>
      </c>
      <c r="CF41" s="428" t="str">
        <f t="shared" si="71"/>
        <v>/-/ /-/</v>
      </c>
      <c r="CG41" s="428">
        <f t="shared" si="72"/>
        <v>2</v>
      </c>
      <c r="CH41" s="428">
        <f t="shared" si="73"/>
        <v>2018</v>
      </c>
      <c r="CI41" s="412">
        <f t="shared" si="74"/>
        <v>11</v>
      </c>
      <c r="CJ41" s="412">
        <f t="shared" si="75"/>
        <v>2017</v>
      </c>
      <c r="CK41" s="413">
        <f t="shared" si="76"/>
        <v>8</v>
      </c>
      <c r="CL41" s="428">
        <f t="shared" si="77"/>
        <v>2017</v>
      </c>
      <c r="CM41" s="428" t="str">
        <f t="shared" si="78"/>
        <v>- - -</v>
      </c>
      <c r="CN41" s="428" t="str">
        <f t="shared" si="79"/>
        <v>. .</v>
      </c>
      <c r="CO41" s="428"/>
      <c r="CP41" s="417">
        <f t="shared" si="80"/>
        <v>720</v>
      </c>
      <c r="CQ41" s="417">
        <f t="shared" si="81"/>
        <v>-23485</v>
      </c>
      <c r="CR41" s="428">
        <f t="shared" si="82"/>
        <v>-1958</v>
      </c>
      <c r="CS41" s="417" t="str">
        <f t="shared" si="83"/>
        <v>Nam dưới 35</v>
      </c>
      <c r="CT41" s="412"/>
      <c r="CU41" s="412"/>
      <c r="CV41" s="412" t="str">
        <f t="shared" si="84"/>
        <v>Đến 30</v>
      </c>
      <c r="CW41" s="412" t="str">
        <f t="shared" si="85"/>
        <v>--</v>
      </c>
      <c r="CX41" s="412"/>
      <c r="CY41" s="412"/>
      <c r="CZ41" s="412"/>
      <c r="DA41" s="412"/>
      <c r="DB41" s="412"/>
      <c r="DC41" s="412"/>
      <c r="DD41" s="412"/>
      <c r="DE41" s="412"/>
      <c r="DF41" s="412"/>
      <c r="DG41" s="412"/>
      <c r="DH41" s="412" t="s">
        <v>9</v>
      </c>
      <c r="DI41" s="412" t="s">
        <v>10</v>
      </c>
      <c r="DJ41" s="412" t="s">
        <v>46</v>
      </c>
      <c r="DK41" s="412" t="s">
        <v>10</v>
      </c>
      <c r="DL41" s="412">
        <v>2011</v>
      </c>
      <c r="DM41" s="412">
        <f t="shared" si="86"/>
        <v>0</v>
      </c>
      <c r="DN41" s="412" t="str">
        <f t="shared" si="87"/>
        <v>- - -</v>
      </c>
      <c r="DO41" s="412" t="s">
        <v>9</v>
      </c>
      <c r="DP41" s="412" t="s">
        <v>10</v>
      </c>
      <c r="DQ41" s="604" t="s">
        <v>46</v>
      </c>
      <c r="DR41" s="142" t="s">
        <v>10</v>
      </c>
      <c r="DS41" s="142">
        <v>2011</v>
      </c>
      <c r="DT41" s="142">
        <v>6.78</v>
      </c>
      <c r="DU41" s="142" t="str">
        <f t="shared" si="88"/>
        <v>- - -</v>
      </c>
      <c r="DV41" s="142" t="str">
        <f t="shared" si="89"/>
        <v>---</v>
      </c>
    </row>
    <row r="42" spans="1:126" s="142" customFormat="1" ht="27" customHeight="1" x14ac:dyDescent="0.25">
      <c r="A42" s="152">
        <v>144</v>
      </c>
      <c r="B42" s="615">
        <v>4</v>
      </c>
      <c r="C42" s="139" t="str">
        <f t="shared" si="45"/>
        <v>Ông</v>
      </c>
      <c r="D42" s="497" t="s">
        <v>279</v>
      </c>
      <c r="E42" s="139" t="s">
        <v>39</v>
      </c>
      <c r="F42" s="276" t="s">
        <v>37</v>
      </c>
      <c r="G42" s="276" t="s">
        <v>10</v>
      </c>
      <c r="H42" s="276" t="s">
        <v>94</v>
      </c>
      <c r="I42" s="276" t="s">
        <v>10</v>
      </c>
      <c r="J42" s="139" t="s">
        <v>280</v>
      </c>
      <c r="K42" s="139"/>
      <c r="L42" s="139"/>
      <c r="M42" s="143" t="e">
        <f>VLOOKUP(L42,'[2]- DLiêu Gốc -'!$B$2:$G$121,2,0)</f>
        <v>#N/A</v>
      </c>
      <c r="N42" s="302" t="s">
        <v>118</v>
      </c>
      <c r="O42" s="295" t="s">
        <v>113</v>
      </c>
      <c r="P42" s="165" t="str">
        <f>VLOOKUP(U42,'[2]- DLiêu Gốc -'!$B$2:$G$56,5,0)</f>
        <v>A2</v>
      </c>
      <c r="Q42" s="165" t="str">
        <f>VLOOKUP(U42,'[2]- DLiêu Gốc -'!$B$2:$G$56,6,0)</f>
        <v>A2.1</v>
      </c>
      <c r="R42" s="139" t="s">
        <v>34</v>
      </c>
      <c r="S42" s="277" t="str">
        <f t="shared" si="46"/>
        <v>Giảng viên chính (hạng II)</v>
      </c>
      <c r="T42" s="278" t="str">
        <f t="shared" si="47"/>
        <v>V.07.01.02</v>
      </c>
      <c r="U42" s="180" t="s">
        <v>45</v>
      </c>
      <c r="V42" s="141" t="str">
        <f>VLOOKUP(U42,'[2]- DLiêu Gốc -'!$B$1:$G$121,2,0)</f>
        <v>V.07.01.02</v>
      </c>
      <c r="W42" s="274" t="str">
        <f t="shared" si="48"/>
        <v>Lương</v>
      </c>
      <c r="X42" s="274">
        <v>1</v>
      </c>
      <c r="Y42" s="274" t="str">
        <f t="shared" si="49"/>
        <v>/</v>
      </c>
      <c r="Z42" s="274">
        <f t="shared" si="50"/>
        <v>8</v>
      </c>
      <c r="AA42" s="274">
        <f t="shared" si="51"/>
        <v>4.4000000000000004</v>
      </c>
      <c r="AB42" s="274">
        <f t="shared" si="52"/>
        <v>2</v>
      </c>
      <c r="AC42" s="274" t="str">
        <f t="shared" si="53"/>
        <v>/</v>
      </c>
      <c r="AD42" s="274">
        <f t="shared" si="54"/>
        <v>8</v>
      </c>
      <c r="AE42" s="274">
        <f t="shared" si="55"/>
        <v>4.74</v>
      </c>
      <c r="AF42" s="274" t="s">
        <v>9</v>
      </c>
      <c r="AG42" s="274" t="s">
        <v>10</v>
      </c>
      <c r="AH42" s="274" t="s">
        <v>9</v>
      </c>
      <c r="AI42" s="274" t="s">
        <v>10</v>
      </c>
      <c r="AJ42" s="274">
        <v>2014</v>
      </c>
      <c r="AK42" s="147"/>
      <c r="AL42" s="141"/>
      <c r="AM42" s="274">
        <f t="shared" si="56"/>
        <v>3</v>
      </c>
      <c r="AN42" s="274">
        <f t="shared" si="57"/>
        <v>-24169</v>
      </c>
      <c r="AO42" s="180"/>
      <c r="AP42" s="180"/>
      <c r="AQ42" s="274">
        <f>VLOOKUP(U42,'[2]- DLiêu Gốc -'!$B$1:$E$56,3,0)</f>
        <v>4.4000000000000004</v>
      </c>
      <c r="AR42" s="274">
        <f>VLOOKUP(U42,'[2]- DLiêu Gốc -'!$B$1:$E$56,4,0)</f>
        <v>0.34</v>
      </c>
      <c r="AT42" s="274" t="str">
        <f t="shared" si="58"/>
        <v>PCTN</v>
      </c>
      <c r="AU42" s="279">
        <v>18</v>
      </c>
      <c r="AV42" s="280" t="s">
        <v>38</v>
      </c>
      <c r="AW42" s="279">
        <f t="shared" si="59"/>
        <v>19</v>
      </c>
      <c r="AX42" s="281" t="s">
        <v>38</v>
      </c>
      <c r="AY42" s="282" t="s">
        <v>37</v>
      </c>
      <c r="AZ42" s="169" t="s">
        <v>10</v>
      </c>
      <c r="BA42" s="283">
        <v>2016</v>
      </c>
      <c r="BB42" s="253"/>
      <c r="BC42" s="253"/>
      <c r="BD42" s="180"/>
      <c r="BE42" s="253">
        <v>2</v>
      </c>
      <c r="BF42" s="180">
        <f t="shared" si="60"/>
        <v>-24194</v>
      </c>
      <c r="BG42" s="140" t="str">
        <f t="shared" si="61"/>
        <v>- - -</v>
      </c>
      <c r="BH42" s="253" t="str">
        <f t="shared" si="62"/>
        <v>VC</v>
      </c>
      <c r="BI42" s="619"/>
      <c r="BJ42" s="413"/>
      <c r="BK42" s="413" t="s">
        <v>101</v>
      </c>
      <c r="BL42" s="428" t="str">
        <f t="shared" si="63"/>
        <v>A</v>
      </c>
      <c r="BM42" s="417" t="str">
        <f t="shared" si="64"/>
        <v>=&gt; s</v>
      </c>
      <c r="BN42" s="428">
        <f t="shared" si="65"/>
        <v>24193</v>
      </c>
      <c r="BO42" s="413" t="str">
        <f t="shared" si="66"/>
        <v>S</v>
      </c>
      <c r="BP42" s="428">
        <v>2008</v>
      </c>
      <c r="BQ42" s="429" t="s">
        <v>36</v>
      </c>
      <c r="BR42" s="429"/>
      <c r="BS42" s="430"/>
      <c r="BT42" s="412" t="str">
        <f t="shared" si="67"/>
        <v>- - -</v>
      </c>
      <c r="BU42" s="412" t="str">
        <f t="shared" si="68"/>
        <v>NN</v>
      </c>
      <c r="BV42" s="412">
        <v>1</v>
      </c>
      <c r="BW42" s="412" t="s">
        <v>31</v>
      </c>
      <c r="BX42" s="412"/>
      <c r="BY42" s="412"/>
      <c r="BZ42" s="429" t="str">
        <f t="shared" si="69"/>
        <v>- - -</v>
      </c>
      <c r="CA42" s="428"/>
      <c r="CB42" s="428"/>
      <c r="CC42" s="508"/>
      <c r="CD42" s="508"/>
      <c r="CE42" s="412" t="str">
        <f t="shared" si="70"/>
        <v>---</v>
      </c>
      <c r="CF42" s="428" t="str">
        <f t="shared" si="71"/>
        <v>/-/ /-/</v>
      </c>
      <c r="CG42" s="428">
        <f t="shared" si="72"/>
        <v>10</v>
      </c>
      <c r="CH42" s="428">
        <f t="shared" si="73"/>
        <v>2029</v>
      </c>
      <c r="CI42" s="412">
        <f t="shared" si="74"/>
        <v>7</v>
      </c>
      <c r="CJ42" s="412">
        <f t="shared" si="75"/>
        <v>2029</v>
      </c>
      <c r="CK42" s="413">
        <f t="shared" si="76"/>
        <v>4</v>
      </c>
      <c r="CL42" s="428">
        <f t="shared" si="77"/>
        <v>2029</v>
      </c>
      <c r="CM42" s="428" t="str">
        <f t="shared" si="78"/>
        <v>- - -</v>
      </c>
      <c r="CN42" s="428" t="str">
        <f t="shared" si="79"/>
        <v>. .</v>
      </c>
      <c r="CO42" s="428"/>
      <c r="CP42" s="417">
        <f t="shared" si="80"/>
        <v>720</v>
      </c>
      <c r="CQ42" s="417">
        <f t="shared" si="81"/>
        <v>-23625</v>
      </c>
      <c r="CR42" s="428">
        <f t="shared" si="82"/>
        <v>-1969</v>
      </c>
      <c r="CS42" s="417" t="str">
        <f t="shared" si="83"/>
        <v>Nam dưới 35</v>
      </c>
      <c r="CT42" s="412"/>
      <c r="CU42" s="412"/>
      <c r="CV42" s="412" t="str">
        <f t="shared" si="84"/>
        <v>Đến 30</v>
      </c>
      <c r="CW42" s="412" t="str">
        <f t="shared" si="85"/>
        <v>--</v>
      </c>
      <c r="CX42" s="412"/>
      <c r="CY42" s="412"/>
      <c r="CZ42" s="412"/>
      <c r="DA42" s="412"/>
      <c r="DB42" s="412"/>
      <c r="DC42" s="412"/>
      <c r="DD42" s="412"/>
      <c r="DE42" s="412"/>
      <c r="DF42" s="412"/>
      <c r="DG42" s="412" t="s">
        <v>118</v>
      </c>
      <c r="DH42" s="412" t="s">
        <v>9</v>
      </c>
      <c r="DI42" s="412" t="s">
        <v>10</v>
      </c>
      <c r="DJ42" s="412" t="s">
        <v>9</v>
      </c>
      <c r="DK42" s="412" t="s">
        <v>10</v>
      </c>
      <c r="DL42" s="412">
        <v>2014</v>
      </c>
      <c r="DM42" s="412">
        <f t="shared" si="86"/>
        <v>0</v>
      </c>
      <c r="DN42" s="412" t="str">
        <f t="shared" si="87"/>
        <v>- - -</v>
      </c>
      <c r="DO42" s="412" t="s">
        <v>9</v>
      </c>
      <c r="DP42" s="412" t="s">
        <v>10</v>
      </c>
      <c r="DQ42" s="604" t="s">
        <v>9</v>
      </c>
      <c r="DR42" s="142" t="s">
        <v>10</v>
      </c>
      <c r="DS42" s="142">
        <v>2014</v>
      </c>
      <c r="DT42" s="142">
        <v>3.66</v>
      </c>
      <c r="DU42" s="142" t="str">
        <f t="shared" si="88"/>
        <v>- - -</v>
      </c>
      <c r="DV42" s="142" t="str">
        <f t="shared" si="89"/>
        <v>---</v>
      </c>
    </row>
    <row r="43" spans="1:126" s="142" customFormat="1" ht="27" customHeight="1" x14ac:dyDescent="0.25">
      <c r="A43" s="152">
        <v>151</v>
      </c>
      <c r="B43" s="615">
        <v>5</v>
      </c>
      <c r="C43" s="139" t="str">
        <f t="shared" si="45"/>
        <v>Bà</v>
      </c>
      <c r="D43" s="497" t="s">
        <v>217</v>
      </c>
      <c r="E43" s="139" t="s">
        <v>32</v>
      </c>
      <c r="F43" s="276" t="s">
        <v>104</v>
      </c>
      <c r="G43" s="276" t="s">
        <v>10</v>
      </c>
      <c r="H43" s="276" t="s">
        <v>42</v>
      </c>
      <c r="I43" s="276" t="s">
        <v>10</v>
      </c>
      <c r="J43" s="139">
        <v>1983</v>
      </c>
      <c r="K43" s="139"/>
      <c r="L43" s="139"/>
      <c r="M43" s="143" t="e">
        <f>VLOOKUP(L43,'[2]- DLiêu Gốc -'!$B$2:$G$121,2,0)</f>
        <v>#N/A</v>
      </c>
      <c r="N43" s="302" t="s">
        <v>29</v>
      </c>
      <c r="O43" s="295" t="s">
        <v>113</v>
      </c>
      <c r="P43" s="165" t="str">
        <f>VLOOKUP(U43,'[2]- DLiêu Gốc -'!$B$2:$G$56,5,0)</f>
        <v>A1</v>
      </c>
      <c r="Q43" s="165" t="str">
        <f>VLOOKUP(U43,'[2]- DLiêu Gốc -'!$B$2:$G$56,6,0)</f>
        <v>- - -</v>
      </c>
      <c r="R43" s="139" t="s">
        <v>34</v>
      </c>
      <c r="S43" s="277" t="str">
        <f t="shared" si="46"/>
        <v>Giảng viên (hạng III)</v>
      </c>
      <c r="T43" s="278" t="str">
        <f t="shared" si="47"/>
        <v>V.07.01.03</v>
      </c>
      <c r="U43" s="180" t="s">
        <v>35</v>
      </c>
      <c r="V43" s="141" t="str">
        <f>VLOOKUP(U43,'[2]- DLiêu Gốc -'!$B$1:$G$121,2,0)</f>
        <v>V.07.01.03</v>
      </c>
      <c r="W43" s="274" t="str">
        <f t="shared" si="48"/>
        <v>Lương</v>
      </c>
      <c r="X43" s="274">
        <v>3</v>
      </c>
      <c r="Y43" s="274" t="str">
        <f t="shared" si="49"/>
        <v>/</v>
      </c>
      <c r="Z43" s="274">
        <f t="shared" si="50"/>
        <v>9</v>
      </c>
      <c r="AA43" s="274">
        <f t="shared" si="51"/>
        <v>3</v>
      </c>
      <c r="AB43" s="274">
        <f t="shared" si="52"/>
        <v>4</v>
      </c>
      <c r="AC43" s="274" t="str">
        <f t="shared" si="53"/>
        <v>/</v>
      </c>
      <c r="AD43" s="274">
        <f t="shared" si="54"/>
        <v>9</v>
      </c>
      <c r="AE43" s="274">
        <f t="shared" si="55"/>
        <v>3.33</v>
      </c>
      <c r="AF43" s="274" t="s">
        <v>9</v>
      </c>
      <c r="AG43" s="274" t="s">
        <v>10</v>
      </c>
      <c r="AH43" s="274" t="s">
        <v>37</v>
      </c>
      <c r="AI43" s="274" t="s">
        <v>10</v>
      </c>
      <c r="AJ43" s="274">
        <v>2016</v>
      </c>
      <c r="AK43" s="147"/>
      <c r="AL43" s="141"/>
      <c r="AM43" s="274">
        <f t="shared" si="56"/>
        <v>3</v>
      </c>
      <c r="AN43" s="274">
        <f t="shared" si="57"/>
        <v>-24194</v>
      </c>
      <c r="AO43" s="180"/>
      <c r="AP43" s="180"/>
      <c r="AQ43" s="274">
        <f>VLOOKUP(U43,'[2]- DLiêu Gốc -'!$B$1:$E$56,3,0)</f>
        <v>2.34</v>
      </c>
      <c r="AR43" s="274">
        <f>VLOOKUP(U43,'[2]- DLiêu Gốc -'!$B$1:$E$56,4,0)</f>
        <v>0.33</v>
      </c>
      <c r="AT43" s="274" t="str">
        <f t="shared" si="58"/>
        <v>PCTN</v>
      </c>
      <c r="AU43" s="279">
        <v>8</v>
      </c>
      <c r="AV43" s="280" t="s">
        <v>38</v>
      </c>
      <c r="AW43" s="279">
        <f t="shared" si="59"/>
        <v>9</v>
      </c>
      <c r="AX43" s="281" t="s">
        <v>38</v>
      </c>
      <c r="AY43" s="282" t="s">
        <v>37</v>
      </c>
      <c r="AZ43" s="169" t="s">
        <v>10</v>
      </c>
      <c r="BA43" s="283">
        <v>2016</v>
      </c>
      <c r="BB43" s="253"/>
      <c r="BC43" s="253"/>
      <c r="BD43" s="180"/>
      <c r="BE43" s="253">
        <v>2</v>
      </c>
      <c r="BF43" s="180">
        <f t="shared" si="60"/>
        <v>-24194</v>
      </c>
      <c r="BG43" s="140" t="str">
        <f t="shared" si="61"/>
        <v>- - -</v>
      </c>
      <c r="BH43" s="253" t="str">
        <f t="shared" si="62"/>
        <v>VC</v>
      </c>
      <c r="BI43" s="619"/>
      <c r="BJ43" s="413"/>
      <c r="BK43" s="413" t="s">
        <v>101</v>
      </c>
      <c r="BL43" s="428" t="str">
        <f t="shared" si="63"/>
        <v>A</v>
      </c>
      <c r="BM43" s="417" t="str">
        <f t="shared" si="64"/>
        <v>=&gt; s</v>
      </c>
      <c r="BN43" s="428">
        <f t="shared" si="65"/>
        <v>24218</v>
      </c>
      <c r="BO43" s="413" t="str">
        <f t="shared" si="66"/>
        <v>---</v>
      </c>
      <c r="BP43" s="428"/>
      <c r="BQ43" s="429"/>
      <c r="BR43" s="429"/>
      <c r="BS43" s="430"/>
      <c r="BT43" s="412" t="str">
        <f t="shared" si="67"/>
        <v>- - -</v>
      </c>
      <c r="BU43" s="412" t="str">
        <f t="shared" si="68"/>
        <v>- - -</v>
      </c>
      <c r="BV43" s="412"/>
      <c r="BW43" s="412"/>
      <c r="BX43" s="412"/>
      <c r="BY43" s="412"/>
      <c r="BZ43" s="429" t="str">
        <f t="shared" si="69"/>
        <v>- - -</v>
      </c>
      <c r="CA43" s="428"/>
      <c r="CB43" s="428"/>
      <c r="CC43" s="508"/>
      <c r="CD43" s="508"/>
      <c r="CE43" s="412" t="str">
        <f t="shared" si="70"/>
        <v>---</v>
      </c>
      <c r="CF43" s="428" t="str">
        <f t="shared" si="71"/>
        <v>/-/ /-/</v>
      </c>
      <c r="CG43" s="428">
        <f t="shared" si="72"/>
        <v>1</v>
      </c>
      <c r="CH43" s="428">
        <f t="shared" si="73"/>
        <v>2039</v>
      </c>
      <c r="CI43" s="412">
        <f t="shared" si="74"/>
        <v>10</v>
      </c>
      <c r="CJ43" s="412">
        <f t="shared" si="75"/>
        <v>2038</v>
      </c>
      <c r="CK43" s="413">
        <f t="shared" si="76"/>
        <v>7</v>
      </c>
      <c r="CL43" s="428">
        <f t="shared" si="77"/>
        <v>2038</v>
      </c>
      <c r="CM43" s="428" t="str">
        <f t="shared" si="78"/>
        <v>- - -</v>
      </c>
      <c r="CN43" s="428" t="str">
        <f t="shared" si="79"/>
        <v>. .</v>
      </c>
      <c r="CO43" s="428"/>
      <c r="CP43" s="417">
        <f t="shared" si="80"/>
        <v>660</v>
      </c>
      <c r="CQ43" s="417">
        <f t="shared" si="81"/>
        <v>-23796</v>
      </c>
      <c r="CR43" s="428">
        <f t="shared" si="82"/>
        <v>-1983</v>
      </c>
      <c r="CS43" s="417" t="str">
        <f t="shared" si="83"/>
        <v>Nữ dưới 30</v>
      </c>
      <c r="CT43" s="412"/>
      <c r="CU43" s="412"/>
      <c r="CV43" s="412" t="str">
        <f t="shared" si="84"/>
        <v>Đến 30</v>
      </c>
      <c r="CW43" s="412" t="str">
        <f t="shared" si="85"/>
        <v>TD</v>
      </c>
      <c r="CX43" s="412">
        <v>2012</v>
      </c>
      <c r="CY43" s="412"/>
      <c r="CZ43" s="412"/>
      <c r="DA43" s="412"/>
      <c r="DB43" s="412"/>
      <c r="DC43" s="412"/>
      <c r="DD43" s="412"/>
      <c r="DE43" s="412"/>
      <c r="DF43" s="412"/>
      <c r="DG43" s="412" t="s">
        <v>29</v>
      </c>
      <c r="DH43" s="412" t="s">
        <v>9</v>
      </c>
      <c r="DI43" s="412" t="s">
        <v>10</v>
      </c>
      <c r="DJ43" s="412" t="s">
        <v>37</v>
      </c>
      <c r="DK43" s="412" t="s">
        <v>10</v>
      </c>
      <c r="DL43" s="412">
        <v>2013</v>
      </c>
      <c r="DM43" s="412">
        <f t="shared" si="86"/>
        <v>0</v>
      </c>
      <c r="DN43" s="412" t="str">
        <f t="shared" si="87"/>
        <v>- - -</v>
      </c>
      <c r="DO43" s="412" t="s">
        <v>9</v>
      </c>
      <c r="DP43" s="412" t="s">
        <v>10</v>
      </c>
      <c r="DQ43" s="604" t="s">
        <v>37</v>
      </c>
      <c r="DR43" s="142" t="s">
        <v>10</v>
      </c>
      <c r="DS43" s="142">
        <v>2013</v>
      </c>
      <c r="DU43" s="142" t="str">
        <f t="shared" si="88"/>
        <v>- - -</v>
      </c>
      <c r="DV43" s="142" t="str">
        <f t="shared" si="89"/>
        <v>---</v>
      </c>
    </row>
    <row r="44" spans="1:126" s="142" customFormat="1" ht="27" customHeight="1" x14ac:dyDescent="0.25">
      <c r="A44" s="152">
        <v>190</v>
      </c>
      <c r="B44" s="615">
        <v>6</v>
      </c>
      <c r="C44" s="139" t="str">
        <f t="shared" si="45"/>
        <v>Bà</v>
      </c>
      <c r="D44" s="497" t="s">
        <v>281</v>
      </c>
      <c r="E44" s="139" t="s">
        <v>32</v>
      </c>
      <c r="F44" s="276" t="s">
        <v>40</v>
      </c>
      <c r="G44" s="276" t="s">
        <v>10</v>
      </c>
      <c r="H44" s="276" t="s">
        <v>187</v>
      </c>
      <c r="I44" s="276" t="s">
        <v>10</v>
      </c>
      <c r="J44" s="139">
        <v>1979</v>
      </c>
      <c r="K44" s="139"/>
      <c r="L44" s="139"/>
      <c r="M44" s="143" t="e">
        <f>VLOOKUP(L44,'[2]- DLiêu Gốc -'!$B$2:$G$121,2,0)</f>
        <v>#N/A</v>
      </c>
      <c r="N44" s="302" t="s">
        <v>282</v>
      </c>
      <c r="O44" s="295" t="s">
        <v>93</v>
      </c>
      <c r="P44" s="165" t="str">
        <f>VLOOKUP(U44,'[2]- DLiêu Gốc -'!$B$2:$G$56,5,0)</f>
        <v>A1</v>
      </c>
      <c r="Q44" s="165" t="str">
        <f>VLOOKUP(U44,'[2]- DLiêu Gốc -'!$B$2:$G$56,6,0)</f>
        <v>- - -</v>
      </c>
      <c r="R44" s="139" t="s">
        <v>34</v>
      </c>
      <c r="S44" s="277" t="str">
        <f t="shared" si="46"/>
        <v>Giảng viên (hạng III)</v>
      </c>
      <c r="T44" s="278" t="str">
        <f t="shared" si="47"/>
        <v>V.07.01.03</v>
      </c>
      <c r="U44" s="180" t="s">
        <v>35</v>
      </c>
      <c r="V44" s="141" t="str">
        <f>VLOOKUP(U44,'[2]- DLiêu Gốc -'!$B$1:$G$121,2,0)</f>
        <v>V.07.01.03</v>
      </c>
      <c r="W44" s="274" t="str">
        <f t="shared" si="48"/>
        <v>Lương</v>
      </c>
      <c r="X44" s="274">
        <v>4</v>
      </c>
      <c r="Y44" s="274" t="str">
        <f t="shared" si="49"/>
        <v>/</v>
      </c>
      <c r="Z44" s="274">
        <f t="shared" si="50"/>
        <v>9</v>
      </c>
      <c r="AA44" s="274">
        <f t="shared" si="51"/>
        <v>3.33</v>
      </c>
      <c r="AB44" s="274">
        <f t="shared" si="52"/>
        <v>5</v>
      </c>
      <c r="AC44" s="274" t="str">
        <f t="shared" si="53"/>
        <v>/</v>
      </c>
      <c r="AD44" s="274">
        <f t="shared" si="54"/>
        <v>9</v>
      </c>
      <c r="AE44" s="274">
        <f t="shared" si="55"/>
        <v>3.66</v>
      </c>
      <c r="AF44" s="274" t="s">
        <v>9</v>
      </c>
      <c r="AG44" s="274" t="s">
        <v>10</v>
      </c>
      <c r="AH44" s="274" t="s">
        <v>9</v>
      </c>
      <c r="AI44" s="274" t="s">
        <v>10</v>
      </c>
      <c r="AJ44" s="274">
        <v>2015</v>
      </c>
      <c r="AK44" s="147"/>
      <c r="AL44" s="141"/>
      <c r="AM44" s="274">
        <f t="shared" si="56"/>
        <v>3</v>
      </c>
      <c r="AN44" s="274">
        <f t="shared" si="57"/>
        <v>-24181</v>
      </c>
      <c r="AO44" s="180"/>
      <c r="AP44" s="180"/>
      <c r="AQ44" s="274">
        <f>VLOOKUP(U44,'[2]- DLiêu Gốc -'!$B$1:$E$56,3,0)</f>
        <v>2.34</v>
      </c>
      <c r="AR44" s="274">
        <f>VLOOKUP(U44,'[2]- DLiêu Gốc -'!$B$1:$E$56,4,0)</f>
        <v>0.33</v>
      </c>
      <c r="AT44" s="274" t="str">
        <f t="shared" si="58"/>
        <v>PCTN</v>
      </c>
      <c r="AU44" s="279">
        <v>11</v>
      </c>
      <c r="AV44" s="280" t="s">
        <v>38</v>
      </c>
      <c r="AW44" s="279">
        <f t="shared" si="59"/>
        <v>12</v>
      </c>
      <c r="AX44" s="281" t="s">
        <v>38</v>
      </c>
      <c r="AY44" s="282" t="s">
        <v>37</v>
      </c>
      <c r="AZ44" s="169" t="s">
        <v>10</v>
      </c>
      <c r="BA44" s="283">
        <v>2016</v>
      </c>
      <c r="BB44" s="253"/>
      <c r="BC44" s="253"/>
      <c r="BD44" s="180"/>
      <c r="BE44" s="253">
        <v>2</v>
      </c>
      <c r="BF44" s="180">
        <f t="shared" si="60"/>
        <v>-24194</v>
      </c>
      <c r="BG44" s="140" t="str">
        <f t="shared" si="61"/>
        <v>- - -</v>
      </c>
      <c r="BH44" s="253" t="str">
        <f t="shared" si="62"/>
        <v>VC</v>
      </c>
      <c r="BI44" s="619"/>
      <c r="BJ44" s="413"/>
      <c r="BK44" s="413" t="s">
        <v>101</v>
      </c>
      <c r="BL44" s="428" t="str">
        <f t="shared" si="63"/>
        <v>A</v>
      </c>
      <c r="BM44" s="417" t="str">
        <f t="shared" si="64"/>
        <v>=&gt; s</v>
      </c>
      <c r="BN44" s="428">
        <f t="shared" si="65"/>
        <v>24205</v>
      </c>
      <c r="BO44" s="413" t="str">
        <f t="shared" si="66"/>
        <v>S</v>
      </c>
      <c r="BP44" s="428">
        <v>2012</v>
      </c>
      <c r="BQ44" s="429" t="s">
        <v>36</v>
      </c>
      <c r="BR44" s="429"/>
      <c r="BS44" s="430"/>
      <c r="BT44" s="412" t="str">
        <f t="shared" si="67"/>
        <v>Cùg Ng</v>
      </c>
      <c r="BU44" s="412" t="str">
        <f t="shared" si="68"/>
        <v>- - -</v>
      </c>
      <c r="BV44" s="412"/>
      <c r="BW44" s="412"/>
      <c r="BX44" s="412"/>
      <c r="BY44" s="412"/>
      <c r="BZ44" s="429" t="str">
        <f t="shared" si="69"/>
        <v>- - -</v>
      </c>
      <c r="CA44" s="428"/>
      <c r="CB44" s="428"/>
      <c r="CC44" s="508"/>
      <c r="CD44" s="508"/>
      <c r="CE44" s="412" t="str">
        <f t="shared" si="70"/>
        <v>---</v>
      </c>
      <c r="CF44" s="428" t="str">
        <f t="shared" si="71"/>
        <v>/-/ /-/</v>
      </c>
      <c r="CG44" s="428">
        <f t="shared" si="72"/>
        <v>5</v>
      </c>
      <c r="CH44" s="428">
        <f t="shared" si="73"/>
        <v>2034</v>
      </c>
      <c r="CI44" s="412">
        <f t="shared" si="74"/>
        <v>2</v>
      </c>
      <c r="CJ44" s="412">
        <f t="shared" si="75"/>
        <v>2034</v>
      </c>
      <c r="CK44" s="413">
        <f t="shared" si="76"/>
        <v>11</v>
      </c>
      <c r="CL44" s="428">
        <f t="shared" si="77"/>
        <v>2033</v>
      </c>
      <c r="CM44" s="428" t="str">
        <f t="shared" si="78"/>
        <v>- - -</v>
      </c>
      <c r="CN44" s="428" t="str">
        <f t="shared" si="79"/>
        <v>. .</v>
      </c>
      <c r="CO44" s="428"/>
      <c r="CP44" s="417">
        <f t="shared" si="80"/>
        <v>660</v>
      </c>
      <c r="CQ44" s="417">
        <f t="shared" si="81"/>
        <v>-23740</v>
      </c>
      <c r="CR44" s="428">
        <f t="shared" si="82"/>
        <v>-1979</v>
      </c>
      <c r="CS44" s="417" t="str">
        <f t="shared" si="83"/>
        <v>Nữ dưới 30</v>
      </c>
      <c r="CT44" s="412"/>
      <c r="CU44" s="412"/>
      <c r="CV44" s="412" t="str">
        <f t="shared" si="84"/>
        <v>Đến 30</v>
      </c>
      <c r="CW44" s="412" t="str">
        <f t="shared" si="85"/>
        <v>TD</v>
      </c>
      <c r="CX44" s="412">
        <v>2012</v>
      </c>
      <c r="CY44" s="412"/>
      <c r="CZ44" s="412"/>
      <c r="DA44" s="412"/>
      <c r="DB44" s="412"/>
      <c r="DC44" s="412"/>
      <c r="DD44" s="412"/>
      <c r="DE44" s="412"/>
      <c r="DF44" s="412"/>
      <c r="DG44" s="412" t="s">
        <v>282</v>
      </c>
      <c r="DH44" s="412" t="s">
        <v>9</v>
      </c>
      <c r="DI44" s="412" t="s">
        <v>10</v>
      </c>
      <c r="DJ44" s="412" t="s">
        <v>9</v>
      </c>
      <c r="DK44" s="412" t="s">
        <v>10</v>
      </c>
      <c r="DL44" s="412">
        <v>2012</v>
      </c>
      <c r="DM44" s="412">
        <f t="shared" si="86"/>
        <v>0</v>
      </c>
      <c r="DN44" s="412" t="str">
        <f t="shared" si="87"/>
        <v>- - -</v>
      </c>
      <c r="DO44" s="412" t="s">
        <v>9</v>
      </c>
      <c r="DP44" s="412" t="s">
        <v>10</v>
      </c>
      <c r="DQ44" s="604" t="s">
        <v>9</v>
      </c>
      <c r="DR44" s="142" t="s">
        <v>10</v>
      </c>
      <c r="DS44" s="142">
        <v>2012</v>
      </c>
      <c r="DU44" s="142" t="str">
        <f t="shared" si="88"/>
        <v>- - -</v>
      </c>
      <c r="DV44" s="142" t="str">
        <f t="shared" si="89"/>
        <v>---</v>
      </c>
    </row>
    <row r="45" spans="1:126" s="142" customFormat="1" ht="27" customHeight="1" x14ac:dyDescent="0.25">
      <c r="A45" s="152">
        <v>196</v>
      </c>
      <c r="B45" s="615">
        <v>7</v>
      </c>
      <c r="C45" s="139" t="str">
        <f t="shared" si="45"/>
        <v>Ông</v>
      </c>
      <c r="D45" s="497" t="s">
        <v>283</v>
      </c>
      <c r="E45" s="139" t="s">
        <v>39</v>
      </c>
      <c r="F45" s="276" t="s">
        <v>154</v>
      </c>
      <c r="G45" s="276" t="s">
        <v>10</v>
      </c>
      <c r="H45" s="276" t="s">
        <v>30</v>
      </c>
      <c r="I45" s="276" t="s">
        <v>10</v>
      </c>
      <c r="J45" s="139" t="s">
        <v>150</v>
      </c>
      <c r="K45" s="139"/>
      <c r="L45" s="139" t="s">
        <v>121</v>
      </c>
      <c r="M45" s="143" t="str">
        <f>VLOOKUP(L45,'[2]- DLiêu Gốc -'!$B$2:$G$121,2,0)</f>
        <v>0,8</v>
      </c>
      <c r="N45" s="302"/>
      <c r="O45" s="295" t="s">
        <v>110</v>
      </c>
      <c r="P45" s="165" t="str">
        <f>VLOOKUP(U45,'[2]- DLiêu Gốc -'!$B$2:$G$56,5,0)</f>
        <v>A2</v>
      </c>
      <c r="Q45" s="165" t="str">
        <f>VLOOKUP(U45,'[2]- DLiêu Gốc -'!$B$2:$G$56,6,0)</f>
        <v>A2.1</v>
      </c>
      <c r="R45" s="139" t="s">
        <v>34</v>
      </c>
      <c r="S45" s="277" t="str">
        <f t="shared" si="46"/>
        <v>Giảng viên chính (hạng II)</v>
      </c>
      <c r="T45" s="278" t="str">
        <f t="shared" si="47"/>
        <v>V.07.01.02</v>
      </c>
      <c r="U45" s="180" t="s">
        <v>45</v>
      </c>
      <c r="V45" s="141" t="str">
        <f>VLOOKUP(U45,'[2]- DLiêu Gốc -'!$B$1:$G$121,2,0)</f>
        <v>V.07.01.02</v>
      </c>
      <c r="W45" s="274" t="str">
        <f t="shared" si="48"/>
        <v>Lương</v>
      </c>
      <c r="X45" s="274">
        <v>2</v>
      </c>
      <c r="Y45" s="274" t="str">
        <f t="shared" si="49"/>
        <v>/</v>
      </c>
      <c r="Z45" s="274">
        <f t="shared" si="50"/>
        <v>8</v>
      </c>
      <c r="AA45" s="274">
        <f t="shared" si="51"/>
        <v>4.74</v>
      </c>
      <c r="AB45" s="274">
        <f t="shared" si="52"/>
        <v>3</v>
      </c>
      <c r="AC45" s="274" t="str">
        <f t="shared" si="53"/>
        <v>/</v>
      </c>
      <c r="AD45" s="274">
        <f t="shared" si="54"/>
        <v>8</v>
      </c>
      <c r="AE45" s="274">
        <f t="shared" si="55"/>
        <v>5.08</v>
      </c>
      <c r="AF45" s="274" t="s">
        <v>9</v>
      </c>
      <c r="AG45" s="274" t="s">
        <v>10</v>
      </c>
      <c r="AH45" s="274" t="s">
        <v>9</v>
      </c>
      <c r="AI45" s="274" t="s">
        <v>10</v>
      </c>
      <c r="AJ45" s="274">
        <v>2014</v>
      </c>
      <c r="AK45" s="147" t="s">
        <v>284</v>
      </c>
      <c r="AL45" s="141"/>
      <c r="AM45" s="274">
        <f t="shared" si="56"/>
        <v>3</v>
      </c>
      <c r="AN45" s="274">
        <f t="shared" si="57"/>
        <v>-24169</v>
      </c>
      <c r="AO45" s="180"/>
      <c r="AP45" s="180"/>
      <c r="AQ45" s="274">
        <f>VLOOKUP(U45,'[2]- DLiêu Gốc -'!$B$1:$E$56,3,0)</f>
        <v>4.4000000000000004</v>
      </c>
      <c r="AR45" s="274">
        <f>VLOOKUP(U45,'[2]- DLiêu Gốc -'!$B$1:$E$56,4,0)</f>
        <v>0.34</v>
      </c>
      <c r="AT45" s="274" t="str">
        <f t="shared" si="58"/>
        <v>PCTN</v>
      </c>
      <c r="AU45" s="279">
        <v>18</v>
      </c>
      <c r="AV45" s="280" t="s">
        <v>38</v>
      </c>
      <c r="AW45" s="279">
        <f t="shared" si="59"/>
        <v>19</v>
      </c>
      <c r="AX45" s="281" t="s">
        <v>38</v>
      </c>
      <c r="AY45" s="282" t="s">
        <v>37</v>
      </c>
      <c r="AZ45" s="169" t="s">
        <v>10</v>
      </c>
      <c r="BA45" s="283">
        <v>2016</v>
      </c>
      <c r="BB45" s="253"/>
      <c r="BC45" s="253"/>
      <c r="BD45" s="180"/>
      <c r="BE45" s="253">
        <v>2</v>
      </c>
      <c r="BF45" s="180">
        <f t="shared" si="60"/>
        <v>-24194</v>
      </c>
      <c r="BG45" s="140" t="str">
        <f t="shared" si="61"/>
        <v>- - -</v>
      </c>
      <c r="BH45" s="253" t="str">
        <f t="shared" si="62"/>
        <v>VC</v>
      </c>
      <c r="BI45" s="619"/>
      <c r="BJ45" s="413"/>
      <c r="BK45" s="413" t="s">
        <v>101</v>
      </c>
      <c r="BL45" s="428" t="str">
        <f t="shared" si="63"/>
        <v>A</v>
      </c>
      <c r="BM45" s="417" t="str">
        <f t="shared" si="64"/>
        <v>=&gt; s</v>
      </c>
      <c r="BN45" s="428">
        <f t="shared" si="65"/>
        <v>24193</v>
      </c>
      <c r="BO45" s="413" t="str">
        <f t="shared" si="66"/>
        <v>---</v>
      </c>
      <c r="BP45" s="428"/>
      <c r="BQ45" s="429"/>
      <c r="BR45" s="429"/>
      <c r="BS45" s="430"/>
      <c r="BT45" s="412" t="str">
        <f t="shared" si="67"/>
        <v>- - -</v>
      </c>
      <c r="BU45" s="412" t="str">
        <f t="shared" si="68"/>
        <v>NN</v>
      </c>
      <c r="BV45" s="412">
        <v>1</v>
      </c>
      <c r="BW45" s="412" t="s">
        <v>31</v>
      </c>
      <c r="BX45" s="412"/>
      <c r="BY45" s="412"/>
      <c r="BZ45" s="429" t="str">
        <f t="shared" si="69"/>
        <v>- - -</v>
      </c>
      <c r="CA45" s="428"/>
      <c r="CB45" s="428"/>
      <c r="CC45" s="508"/>
      <c r="CD45" s="508"/>
      <c r="CE45" s="412" t="str">
        <f t="shared" si="70"/>
        <v>---</v>
      </c>
      <c r="CF45" s="428" t="str">
        <f t="shared" si="71"/>
        <v>/-/ /-/</v>
      </c>
      <c r="CG45" s="428">
        <f t="shared" si="72"/>
        <v>9</v>
      </c>
      <c r="CH45" s="428">
        <f t="shared" si="73"/>
        <v>2031</v>
      </c>
      <c r="CI45" s="412">
        <f t="shared" si="74"/>
        <v>6</v>
      </c>
      <c r="CJ45" s="412">
        <f t="shared" si="75"/>
        <v>2031</v>
      </c>
      <c r="CK45" s="413">
        <f t="shared" si="76"/>
        <v>3</v>
      </c>
      <c r="CL45" s="428">
        <f t="shared" si="77"/>
        <v>2031</v>
      </c>
      <c r="CM45" s="428" t="str">
        <f t="shared" si="78"/>
        <v>- - -</v>
      </c>
      <c r="CN45" s="428" t="str">
        <f t="shared" si="79"/>
        <v>. .</v>
      </c>
      <c r="CO45" s="428"/>
      <c r="CP45" s="417">
        <f t="shared" si="80"/>
        <v>720</v>
      </c>
      <c r="CQ45" s="417">
        <f t="shared" si="81"/>
        <v>-23648</v>
      </c>
      <c r="CR45" s="428">
        <f t="shared" si="82"/>
        <v>-1971</v>
      </c>
      <c r="CS45" s="417" t="str">
        <f t="shared" si="83"/>
        <v>Nam dưới 35</v>
      </c>
      <c r="CT45" s="412"/>
      <c r="CU45" s="412"/>
      <c r="CV45" s="412" t="str">
        <f t="shared" si="84"/>
        <v>Đến 30</v>
      </c>
      <c r="CW45" s="412" t="str">
        <f t="shared" si="85"/>
        <v>--</v>
      </c>
      <c r="CX45" s="412"/>
      <c r="CY45" s="412"/>
      <c r="CZ45" s="412"/>
      <c r="DA45" s="412"/>
      <c r="DB45" s="412"/>
      <c r="DC45" s="412"/>
      <c r="DD45" s="412"/>
      <c r="DE45" s="412"/>
      <c r="DF45" s="412"/>
      <c r="DG45" s="412"/>
      <c r="DH45" s="412" t="s">
        <v>9</v>
      </c>
      <c r="DI45" s="412" t="s">
        <v>10</v>
      </c>
      <c r="DJ45" s="412" t="s">
        <v>9</v>
      </c>
      <c r="DK45" s="412" t="s">
        <v>10</v>
      </c>
      <c r="DL45" s="412">
        <v>2014</v>
      </c>
      <c r="DM45" s="412">
        <f t="shared" si="86"/>
        <v>0</v>
      </c>
      <c r="DN45" s="412" t="str">
        <f t="shared" si="87"/>
        <v>- - -</v>
      </c>
      <c r="DO45" s="412" t="s">
        <v>9</v>
      </c>
      <c r="DP45" s="412" t="s">
        <v>10</v>
      </c>
      <c r="DQ45" s="604" t="s">
        <v>9</v>
      </c>
      <c r="DR45" s="142" t="s">
        <v>10</v>
      </c>
      <c r="DS45" s="142">
        <v>2014</v>
      </c>
      <c r="DT45" s="142">
        <v>3.66</v>
      </c>
      <c r="DU45" s="142" t="str">
        <f t="shared" si="88"/>
        <v>- - -</v>
      </c>
      <c r="DV45" s="142" t="str">
        <f t="shared" si="89"/>
        <v>---</v>
      </c>
    </row>
    <row r="46" spans="1:126" s="142" customFormat="1" ht="27" customHeight="1" x14ac:dyDescent="0.25">
      <c r="A46" s="152">
        <v>259</v>
      </c>
      <c r="B46" s="615">
        <v>8</v>
      </c>
      <c r="C46" s="139" t="str">
        <f t="shared" si="45"/>
        <v>Ông</v>
      </c>
      <c r="D46" s="497" t="s">
        <v>285</v>
      </c>
      <c r="E46" s="139" t="s">
        <v>39</v>
      </c>
      <c r="F46" s="276" t="s">
        <v>258</v>
      </c>
      <c r="G46" s="276" t="s">
        <v>10</v>
      </c>
      <c r="H46" s="276" t="s">
        <v>11</v>
      </c>
      <c r="I46" s="276" t="s">
        <v>10</v>
      </c>
      <c r="J46" s="139">
        <v>1978</v>
      </c>
      <c r="K46" s="139"/>
      <c r="L46" s="139"/>
      <c r="M46" s="143" t="e">
        <f>VLOOKUP(L46,'[2]- DLiêu Gốc -'!$B$2:$G$121,2,0)</f>
        <v>#N/A</v>
      </c>
      <c r="N46" s="302" t="s">
        <v>286</v>
      </c>
      <c r="O46" s="295" t="s">
        <v>119</v>
      </c>
      <c r="P46" s="165" t="str">
        <f>VLOOKUP(U46,'[2]- DLiêu Gốc -'!$B$2:$G$56,5,0)</f>
        <v>A1</v>
      </c>
      <c r="Q46" s="165" t="str">
        <f>VLOOKUP(U46,'[2]- DLiêu Gốc -'!$B$2:$G$56,6,0)</f>
        <v>- - -</v>
      </c>
      <c r="R46" s="139" t="s">
        <v>34</v>
      </c>
      <c r="S46" s="277" t="str">
        <f t="shared" si="46"/>
        <v>Giảng viên (hạng III)</v>
      </c>
      <c r="T46" s="278" t="str">
        <f t="shared" si="47"/>
        <v>V.07.01.03</v>
      </c>
      <c r="U46" s="180" t="s">
        <v>35</v>
      </c>
      <c r="V46" s="141" t="str">
        <f>VLOOKUP(U46,'[2]- DLiêu Gốc -'!$B$1:$G$121,2,0)</f>
        <v>V.07.01.03</v>
      </c>
      <c r="W46" s="274" t="str">
        <f t="shared" si="48"/>
        <v>Lương</v>
      </c>
      <c r="X46" s="274">
        <v>3</v>
      </c>
      <c r="Y46" s="274" t="str">
        <f t="shared" si="49"/>
        <v>/</v>
      </c>
      <c r="Z46" s="274">
        <f t="shared" si="50"/>
        <v>9</v>
      </c>
      <c r="AA46" s="274">
        <f t="shared" si="51"/>
        <v>3</v>
      </c>
      <c r="AB46" s="274">
        <f t="shared" si="52"/>
        <v>4</v>
      </c>
      <c r="AC46" s="274" t="str">
        <f t="shared" si="53"/>
        <v>/</v>
      </c>
      <c r="AD46" s="274">
        <f t="shared" si="54"/>
        <v>9</v>
      </c>
      <c r="AE46" s="274">
        <f t="shared" si="55"/>
        <v>3.33</v>
      </c>
      <c r="AF46" s="274" t="s">
        <v>9</v>
      </c>
      <c r="AG46" s="274" t="s">
        <v>10</v>
      </c>
      <c r="AH46" s="274" t="s">
        <v>89</v>
      </c>
      <c r="AI46" s="274" t="s">
        <v>10</v>
      </c>
      <c r="AJ46" s="274">
        <v>2015</v>
      </c>
      <c r="AK46" s="147"/>
      <c r="AL46" s="141">
        <v>3</v>
      </c>
      <c r="AM46" s="274">
        <f t="shared" si="56"/>
        <v>3</v>
      </c>
      <c r="AN46" s="274">
        <f t="shared" si="57"/>
        <v>-24183</v>
      </c>
      <c r="AO46" s="180"/>
      <c r="AP46" s="180"/>
      <c r="AQ46" s="274">
        <f>VLOOKUP(U46,'[2]- DLiêu Gốc -'!$B$1:$E$56,3,0)</f>
        <v>2.34</v>
      </c>
      <c r="AR46" s="274">
        <f>VLOOKUP(U46,'[2]- DLiêu Gốc -'!$B$1:$E$56,4,0)</f>
        <v>0.33</v>
      </c>
      <c r="AT46" s="274" t="str">
        <f t="shared" si="58"/>
        <v>PCTN</v>
      </c>
      <c r="AU46" s="279">
        <v>8</v>
      </c>
      <c r="AV46" s="280" t="s">
        <v>38</v>
      </c>
      <c r="AW46" s="279">
        <f t="shared" si="59"/>
        <v>9</v>
      </c>
      <c r="AX46" s="281" t="s">
        <v>38</v>
      </c>
      <c r="AY46" s="282" t="s">
        <v>37</v>
      </c>
      <c r="AZ46" s="169" t="s">
        <v>10</v>
      </c>
      <c r="BA46" s="283">
        <v>2016</v>
      </c>
      <c r="BB46" s="253"/>
      <c r="BC46" s="253"/>
      <c r="BD46" s="180"/>
      <c r="BE46" s="253">
        <v>2</v>
      </c>
      <c r="BF46" s="180">
        <f t="shared" si="60"/>
        <v>-24194</v>
      </c>
      <c r="BG46" s="140" t="str">
        <f t="shared" si="61"/>
        <v>- - -</v>
      </c>
      <c r="BH46" s="253" t="str">
        <f t="shared" si="62"/>
        <v>VC</v>
      </c>
      <c r="BI46" s="619"/>
      <c r="BJ46" s="413"/>
      <c r="BK46" s="413" t="s">
        <v>101</v>
      </c>
      <c r="BL46" s="428" t="str">
        <f t="shared" si="63"/>
        <v>A</v>
      </c>
      <c r="BM46" s="417" t="str">
        <f t="shared" si="64"/>
        <v>=&gt; s</v>
      </c>
      <c r="BN46" s="428">
        <f t="shared" si="65"/>
        <v>24207</v>
      </c>
      <c r="BO46" s="413" t="str">
        <f t="shared" si="66"/>
        <v>---</v>
      </c>
      <c r="BP46" s="428"/>
      <c r="BQ46" s="429"/>
      <c r="BR46" s="429"/>
      <c r="BS46" s="430"/>
      <c r="BT46" s="412" t="str">
        <f t="shared" si="67"/>
        <v>- - -</v>
      </c>
      <c r="BU46" s="412" t="str">
        <f t="shared" si="68"/>
        <v>- - -</v>
      </c>
      <c r="BV46" s="412"/>
      <c r="BW46" s="412"/>
      <c r="BX46" s="412"/>
      <c r="BY46" s="412"/>
      <c r="BZ46" s="429" t="str">
        <f t="shared" si="69"/>
        <v>- - -</v>
      </c>
      <c r="CA46" s="428"/>
      <c r="CB46" s="428"/>
      <c r="CC46" s="508"/>
      <c r="CD46" s="508"/>
      <c r="CE46" s="412" t="str">
        <f t="shared" si="70"/>
        <v>---</v>
      </c>
      <c r="CF46" s="428" t="str">
        <f t="shared" si="71"/>
        <v>/-/ /-/</v>
      </c>
      <c r="CG46" s="428">
        <f t="shared" si="72"/>
        <v>8</v>
      </c>
      <c r="CH46" s="428">
        <f t="shared" si="73"/>
        <v>2038</v>
      </c>
      <c r="CI46" s="412">
        <f t="shared" si="74"/>
        <v>5</v>
      </c>
      <c r="CJ46" s="412">
        <f t="shared" si="75"/>
        <v>2038</v>
      </c>
      <c r="CK46" s="413">
        <f t="shared" si="76"/>
        <v>2</v>
      </c>
      <c r="CL46" s="428">
        <f t="shared" si="77"/>
        <v>2038</v>
      </c>
      <c r="CM46" s="428" t="str">
        <f t="shared" si="78"/>
        <v>- - -</v>
      </c>
      <c r="CN46" s="428" t="str">
        <f t="shared" si="79"/>
        <v>. .</v>
      </c>
      <c r="CO46" s="428"/>
      <c r="CP46" s="417">
        <f t="shared" si="80"/>
        <v>720</v>
      </c>
      <c r="CQ46" s="417">
        <f t="shared" si="81"/>
        <v>-23731</v>
      </c>
      <c r="CR46" s="428">
        <f t="shared" si="82"/>
        <v>-1978</v>
      </c>
      <c r="CS46" s="417" t="str">
        <f t="shared" si="83"/>
        <v>Nam dưới 35</v>
      </c>
      <c r="CT46" s="412"/>
      <c r="CU46" s="412"/>
      <c r="CV46" s="412" t="str">
        <f t="shared" si="84"/>
        <v>Đến 30</v>
      </c>
      <c r="CW46" s="412" t="str">
        <f t="shared" si="85"/>
        <v>TD</v>
      </c>
      <c r="CX46" s="412">
        <v>2012</v>
      </c>
      <c r="CY46" s="412"/>
      <c r="CZ46" s="412"/>
      <c r="DA46" s="412"/>
      <c r="DB46" s="412"/>
      <c r="DC46" s="412"/>
      <c r="DD46" s="412"/>
      <c r="DE46" s="412"/>
      <c r="DF46" s="412"/>
      <c r="DG46" s="412" t="s">
        <v>286</v>
      </c>
      <c r="DH46" s="412" t="s">
        <v>9</v>
      </c>
      <c r="DI46" s="412" t="s">
        <v>10</v>
      </c>
      <c r="DJ46" s="412" t="s">
        <v>89</v>
      </c>
      <c r="DK46" s="412" t="s">
        <v>10</v>
      </c>
      <c r="DL46" s="412" t="s">
        <v>239</v>
      </c>
      <c r="DM46" s="412">
        <f t="shared" si="86"/>
        <v>0</v>
      </c>
      <c r="DN46" s="412" t="str">
        <f t="shared" si="87"/>
        <v>- - -</v>
      </c>
      <c r="DO46" s="412" t="s">
        <v>9</v>
      </c>
      <c r="DP46" s="412" t="s">
        <v>10</v>
      </c>
      <c r="DQ46" s="604" t="s">
        <v>89</v>
      </c>
      <c r="DR46" s="142" t="s">
        <v>10</v>
      </c>
      <c r="DS46" s="142" t="s">
        <v>239</v>
      </c>
      <c r="DU46" s="142" t="str">
        <f t="shared" si="88"/>
        <v>- - -</v>
      </c>
      <c r="DV46" s="142" t="str">
        <f t="shared" si="89"/>
        <v>---</v>
      </c>
    </row>
    <row r="47" spans="1:126" s="142" customFormat="1" ht="27" customHeight="1" x14ac:dyDescent="0.25">
      <c r="A47" s="152">
        <v>266</v>
      </c>
      <c r="B47" s="615">
        <v>9</v>
      </c>
      <c r="C47" s="139" t="str">
        <f t="shared" si="45"/>
        <v>Ông</v>
      </c>
      <c r="D47" s="497" t="s">
        <v>223</v>
      </c>
      <c r="E47" s="139" t="s">
        <v>39</v>
      </c>
      <c r="F47" s="276" t="s">
        <v>134</v>
      </c>
      <c r="G47" s="276" t="s">
        <v>10</v>
      </c>
      <c r="H47" s="276" t="s">
        <v>11</v>
      </c>
      <c r="I47" s="276" t="s">
        <v>10</v>
      </c>
      <c r="J47" s="139">
        <v>1953</v>
      </c>
      <c r="K47" s="139" t="str">
        <f>IF(AND((M47+0)&gt;0.3,(M47+0)&lt;1.5),"CVụ","- -")</f>
        <v>CVụ</v>
      </c>
      <c r="L47" s="139" t="s">
        <v>153</v>
      </c>
      <c r="M47" s="143" t="str">
        <f>VLOOKUP(L47,'[2]- DLiêu Gốc -'!$B$2:$G$121,2,0)</f>
        <v>1,0</v>
      </c>
      <c r="N47" s="302"/>
      <c r="O47" s="295" t="s">
        <v>106</v>
      </c>
      <c r="P47" s="165" t="str">
        <f>VLOOKUP(U47,'[2]- DLiêu Gốc -'!$B$2:$G$56,5,0)</f>
        <v>A3</v>
      </c>
      <c r="Q47" s="165" t="str">
        <f>VLOOKUP(U47,'[2]- DLiêu Gốc -'!$B$2:$G$56,6,0)</f>
        <v>A3.1</v>
      </c>
      <c r="R47" s="139" t="s">
        <v>34</v>
      </c>
      <c r="S47" s="277" t="str">
        <f t="shared" si="46"/>
        <v>Giảng viên cao cấp (hạng I)</v>
      </c>
      <c r="T47" s="278" t="str">
        <f t="shared" si="47"/>
        <v>V.07.01.01</v>
      </c>
      <c r="U47" s="180" t="s">
        <v>88</v>
      </c>
      <c r="V47" s="141" t="str">
        <f>VLOOKUP(U47,'[2]- DLiêu Gốc -'!$B$1:$G$121,2,0)</f>
        <v>V.07.01.01</v>
      </c>
      <c r="W47" s="274" t="str">
        <f t="shared" si="48"/>
        <v>Lương</v>
      </c>
      <c r="X47" s="274">
        <v>5</v>
      </c>
      <c r="Y47" s="274" t="str">
        <f t="shared" si="49"/>
        <v>/</v>
      </c>
      <c r="Z47" s="274">
        <f t="shared" si="50"/>
        <v>6</v>
      </c>
      <c r="AA47" s="274">
        <f t="shared" si="51"/>
        <v>7.6400000000000006</v>
      </c>
      <c r="AB47" s="274">
        <f t="shared" si="52"/>
        <v>6</v>
      </c>
      <c r="AC47" s="274" t="str">
        <f t="shared" si="53"/>
        <v>/</v>
      </c>
      <c r="AD47" s="274">
        <f t="shared" si="54"/>
        <v>6</v>
      </c>
      <c r="AE47" s="274">
        <f t="shared" si="55"/>
        <v>8</v>
      </c>
      <c r="AF47" s="274" t="s">
        <v>9</v>
      </c>
      <c r="AG47" s="274" t="s">
        <v>10</v>
      </c>
      <c r="AH47" s="274" t="s">
        <v>37</v>
      </c>
      <c r="AI47" s="274" t="s">
        <v>10</v>
      </c>
      <c r="AJ47" s="274">
        <v>2016</v>
      </c>
      <c r="AK47" s="147"/>
      <c r="AL47" s="141"/>
      <c r="AM47" s="274">
        <f t="shared" si="56"/>
        <v>3</v>
      </c>
      <c r="AN47" s="274">
        <f t="shared" si="57"/>
        <v>-24194</v>
      </c>
      <c r="AO47" s="180"/>
      <c r="AP47" s="180"/>
      <c r="AQ47" s="274">
        <f>VLOOKUP(U47,'[2]- DLiêu Gốc -'!$B$1:$E$56,3,0)</f>
        <v>6.2</v>
      </c>
      <c r="AR47" s="274">
        <f>VLOOKUP(U47,'[2]- DLiêu Gốc -'!$B$1:$E$56,4,0)</f>
        <v>0.36</v>
      </c>
      <c r="AT47" s="274" t="str">
        <f t="shared" si="58"/>
        <v>PCTN</v>
      </c>
      <c r="AU47" s="279">
        <v>28</v>
      </c>
      <c r="AV47" s="280" t="s">
        <v>38</v>
      </c>
      <c r="AW47" s="279">
        <f t="shared" si="59"/>
        <v>29</v>
      </c>
      <c r="AX47" s="281" t="s">
        <v>38</v>
      </c>
      <c r="AY47" s="282" t="s">
        <v>37</v>
      </c>
      <c r="AZ47" s="169" t="s">
        <v>10</v>
      </c>
      <c r="BA47" s="283">
        <v>2016</v>
      </c>
      <c r="BB47" s="253"/>
      <c r="BC47" s="253"/>
      <c r="BD47" s="180"/>
      <c r="BE47" s="253">
        <v>2</v>
      </c>
      <c r="BF47" s="180">
        <f t="shared" si="60"/>
        <v>-24194</v>
      </c>
      <c r="BG47" s="140" t="str">
        <f t="shared" si="61"/>
        <v>- - -</v>
      </c>
      <c r="BH47" s="253" t="str">
        <f t="shared" si="62"/>
        <v>VC</v>
      </c>
      <c r="BI47" s="619"/>
      <c r="BJ47" s="413"/>
      <c r="BK47" s="413" t="s">
        <v>101</v>
      </c>
      <c r="BL47" s="428" t="str">
        <f t="shared" si="63"/>
        <v>A</v>
      </c>
      <c r="BM47" s="417" t="str">
        <f t="shared" si="64"/>
        <v>=&gt; s</v>
      </c>
      <c r="BN47" s="428">
        <f t="shared" si="65"/>
        <v>24218</v>
      </c>
      <c r="BO47" s="413" t="str">
        <f t="shared" si="66"/>
        <v>S</v>
      </c>
      <c r="BP47" s="428">
        <v>2013</v>
      </c>
      <c r="BQ47" s="429" t="s">
        <v>224</v>
      </c>
      <c r="BR47" s="429">
        <v>2007</v>
      </c>
      <c r="BS47" s="430" t="s">
        <v>225</v>
      </c>
      <c r="BT47" s="412" t="str">
        <f t="shared" si="67"/>
        <v>Cùg Ng</v>
      </c>
      <c r="BU47" s="412" t="str">
        <f t="shared" si="68"/>
        <v>- - -</v>
      </c>
      <c r="BV47" s="412"/>
      <c r="BW47" s="412"/>
      <c r="BX47" s="412"/>
      <c r="BY47" s="412"/>
      <c r="BZ47" s="429" t="str">
        <f t="shared" si="69"/>
        <v>- - -</v>
      </c>
      <c r="CA47" s="428"/>
      <c r="CB47" s="428"/>
      <c r="CC47" s="508"/>
      <c r="CD47" s="508"/>
      <c r="CE47" s="412" t="str">
        <f t="shared" si="70"/>
        <v>---</v>
      </c>
      <c r="CF47" s="428" t="str">
        <f t="shared" si="71"/>
        <v>/-/ /-/</v>
      </c>
      <c r="CG47" s="428">
        <f t="shared" si="72"/>
        <v>8</v>
      </c>
      <c r="CH47" s="428">
        <f t="shared" si="73"/>
        <v>2020</v>
      </c>
      <c r="CI47" s="412">
        <f t="shared" si="74"/>
        <v>5</v>
      </c>
      <c r="CJ47" s="412">
        <f t="shared" si="75"/>
        <v>2020</v>
      </c>
      <c r="CK47" s="413">
        <f t="shared" si="76"/>
        <v>2</v>
      </c>
      <c r="CL47" s="428">
        <f t="shared" si="77"/>
        <v>2020</v>
      </c>
      <c r="CM47" s="428" t="str">
        <f t="shared" si="78"/>
        <v>- - -</v>
      </c>
      <c r="CN47" s="428" t="str">
        <f t="shared" si="79"/>
        <v>K.Dài</v>
      </c>
      <c r="CO47" s="428">
        <v>7</v>
      </c>
      <c r="CP47" s="417">
        <f t="shared" si="80"/>
        <v>804</v>
      </c>
      <c r="CQ47" s="417">
        <f t="shared" si="81"/>
        <v>-23431</v>
      </c>
      <c r="CR47" s="428">
        <f t="shared" si="82"/>
        <v>-1953</v>
      </c>
      <c r="CS47" s="417" t="str">
        <f t="shared" si="83"/>
        <v>Nam dưới 35</v>
      </c>
      <c r="CT47" s="412"/>
      <c r="CU47" s="412"/>
      <c r="CV47" s="412" t="str">
        <f t="shared" si="84"/>
        <v>Đến 30</v>
      </c>
      <c r="CW47" s="412" t="str">
        <f t="shared" si="85"/>
        <v>--</v>
      </c>
      <c r="CX47" s="412"/>
      <c r="CY47" s="412"/>
      <c r="CZ47" s="412"/>
      <c r="DA47" s="412"/>
      <c r="DB47" s="412" t="s">
        <v>145</v>
      </c>
      <c r="DC47" s="412"/>
      <c r="DD47" s="412"/>
      <c r="DE47" s="412"/>
      <c r="DF47" s="412"/>
      <c r="DG47" s="412"/>
      <c r="DH47" s="412" t="s">
        <v>9</v>
      </c>
      <c r="DI47" s="412" t="s">
        <v>10</v>
      </c>
      <c r="DJ47" s="412" t="s">
        <v>37</v>
      </c>
      <c r="DK47" s="412" t="s">
        <v>10</v>
      </c>
      <c r="DL47" s="412">
        <v>2013</v>
      </c>
      <c r="DM47" s="412">
        <f t="shared" si="86"/>
        <v>0</v>
      </c>
      <c r="DN47" s="412" t="str">
        <f t="shared" si="87"/>
        <v>- - -</v>
      </c>
      <c r="DO47" s="412" t="s">
        <v>9</v>
      </c>
      <c r="DP47" s="412" t="s">
        <v>10</v>
      </c>
      <c r="DQ47" s="604" t="s">
        <v>37</v>
      </c>
      <c r="DR47" s="142" t="s">
        <v>10</v>
      </c>
      <c r="DS47" s="142">
        <v>2013</v>
      </c>
      <c r="DU47" s="142" t="str">
        <f t="shared" si="88"/>
        <v>- - -</v>
      </c>
      <c r="DV47" s="142" t="str">
        <f t="shared" si="89"/>
        <v>---</v>
      </c>
    </row>
    <row r="48" spans="1:126" s="142" customFormat="1" ht="27" customHeight="1" x14ac:dyDescent="0.25">
      <c r="A48" s="152">
        <v>273</v>
      </c>
      <c r="B48" s="615">
        <v>10</v>
      </c>
      <c r="C48" s="139" t="str">
        <f t="shared" si="45"/>
        <v>Bà</v>
      </c>
      <c r="D48" s="497" t="s">
        <v>287</v>
      </c>
      <c r="E48" s="139" t="s">
        <v>32</v>
      </c>
      <c r="F48" s="276" t="s">
        <v>102</v>
      </c>
      <c r="G48" s="276" t="s">
        <v>10</v>
      </c>
      <c r="H48" s="276" t="s">
        <v>94</v>
      </c>
      <c r="I48" s="276" t="s">
        <v>10</v>
      </c>
      <c r="J48" s="139" t="s">
        <v>280</v>
      </c>
      <c r="K48" s="139" t="str">
        <f>IF(AND((M48+0)&gt;0.3,(M48+0)&lt;1.5),"CVụ","- -")</f>
        <v>CVụ</v>
      </c>
      <c r="L48" s="139" t="s">
        <v>111</v>
      </c>
      <c r="M48" s="143" t="str">
        <f>VLOOKUP(L48,'[2]- DLiêu Gốc -'!$B$2:$G$121,2,0)</f>
        <v>0,6</v>
      </c>
      <c r="N48" s="302" t="s">
        <v>148</v>
      </c>
      <c r="O48" s="295" t="s">
        <v>106</v>
      </c>
      <c r="P48" s="165" t="str">
        <f>VLOOKUP(U48,'[2]- DLiêu Gốc -'!$B$2:$G$56,5,0)</f>
        <v>A2</v>
      </c>
      <c r="Q48" s="165" t="str">
        <f>VLOOKUP(U48,'[2]- DLiêu Gốc -'!$B$2:$G$56,6,0)</f>
        <v>A2.1</v>
      </c>
      <c r="R48" s="139" t="s">
        <v>34</v>
      </c>
      <c r="S48" s="277" t="str">
        <f t="shared" si="46"/>
        <v>Giảng viên chính (hạng II)</v>
      </c>
      <c r="T48" s="278" t="str">
        <f t="shared" si="47"/>
        <v>V.07.01.02</v>
      </c>
      <c r="U48" s="180" t="s">
        <v>45</v>
      </c>
      <c r="V48" s="141" t="str">
        <f>VLOOKUP(U48,'[2]- DLiêu Gốc -'!$B$1:$G$121,2,0)</f>
        <v>V.07.01.02</v>
      </c>
      <c r="W48" s="274" t="str">
        <f t="shared" si="48"/>
        <v>Lương</v>
      </c>
      <c r="X48" s="274">
        <v>1</v>
      </c>
      <c r="Y48" s="274" t="str">
        <f t="shared" si="49"/>
        <v>/</v>
      </c>
      <c r="Z48" s="274">
        <f t="shared" si="50"/>
        <v>8</v>
      </c>
      <c r="AA48" s="274">
        <f t="shared" si="51"/>
        <v>4.4000000000000004</v>
      </c>
      <c r="AB48" s="274">
        <f t="shared" si="52"/>
        <v>2</v>
      </c>
      <c r="AC48" s="274" t="str">
        <f t="shared" si="53"/>
        <v>/</v>
      </c>
      <c r="AD48" s="274">
        <f t="shared" si="54"/>
        <v>8</v>
      </c>
      <c r="AE48" s="274">
        <f t="shared" si="55"/>
        <v>4.74</v>
      </c>
      <c r="AF48" s="274" t="s">
        <v>9</v>
      </c>
      <c r="AG48" s="274" t="s">
        <v>10</v>
      </c>
      <c r="AH48" s="274">
        <v>4</v>
      </c>
      <c r="AI48" s="274" t="s">
        <v>10</v>
      </c>
      <c r="AJ48" s="274">
        <v>2013</v>
      </c>
      <c r="AK48" s="147"/>
      <c r="AL48" s="141"/>
      <c r="AM48" s="274">
        <f t="shared" si="56"/>
        <v>3</v>
      </c>
      <c r="AN48" s="274">
        <f t="shared" si="57"/>
        <v>-24160</v>
      </c>
      <c r="AO48" s="180"/>
      <c r="AP48" s="180"/>
      <c r="AQ48" s="274">
        <f>VLOOKUP(U48,'[2]- DLiêu Gốc -'!$B$1:$E$56,3,0)</f>
        <v>4.4000000000000004</v>
      </c>
      <c r="AR48" s="274">
        <f>VLOOKUP(U48,'[2]- DLiêu Gốc -'!$B$1:$E$56,4,0)</f>
        <v>0.34</v>
      </c>
      <c r="AT48" s="274" t="str">
        <f t="shared" si="58"/>
        <v>PCTN</v>
      </c>
      <c r="AU48" s="279">
        <v>18</v>
      </c>
      <c r="AV48" s="280" t="s">
        <v>38</v>
      </c>
      <c r="AW48" s="279">
        <f t="shared" si="59"/>
        <v>19</v>
      </c>
      <c r="AX48" s="281" t="s">
        <v>38</v>
      </c>
      <c r="AY48" s="282" t="s">
        <v>37</v>
      </c>
      <c r="AZ48" s="169" t="s">
        <v>10</v>
      </c>
      <c r="BA48" s="283">
        <v>2016</v>
      </c>
      <c r="BB48" s="253"/>
      <c r="BC48" s="253"/>
      <c r="BD48" s="180"/>
      <c r="BE48" s="253">
        <v>2</v>
      </c>
      <c r="BF48" s="180">
        <f t="shared" si="60"/>
        <v>-24194</v>
      </c>
      <c r="BG48" s="140" t="str">
        <f t="shared" si="61"/>
        <v>- - -</v>
      </c>
      <c r="BH48" s="253" t="str">
        <f t="shared" si="62"/>
        <v>VC</v>
      </c>
      <c r="BI48" s="619"/>
      <c r="BJ48" s="413"/>
      <c r="BK48" s="413" t="s">
        <v>101</v>
      </c>
      <c r="BL48" s="428" t="str">
        <f t="shared" si="63"/>
        <v>A</v>
      </c>
      <c r="BM48" s="417" t="str">
        <f t="shared" si="64"/>
        <v>=&gt; s</v>
      </c>
      <c r="BN48" s="428">
        <f t="shared" si="65"/>
        <v>24184</v>
      </c>
      <c r="BO48" s="413" t="str">
        <f t="shared" si="66"/>
        <v>S</v>
      </c>
      <c r="BP48" s="428">
        <v>2013</v>
      </c>
      <c r="BQ48" s="429" t="s">
        <v>109</v>
      </c>
      <c r="BR48" s="429"/>
      <c r="BS48" s="430"/>
      <c r="BT48" s="412" t="str">
        <f t="shared" si="67"/>
        <v>Cùg Ng</v>
      </c>
      <c r="BU48" s="412" t="str">
        <f t="shared" si="68"/>
        <v>NN</v>
      </c>
      <c r="BV48" s="412">
        <v>1</v>
      </c>
      <c r="BW48" s="412" t="s">
        <v>31</v>
      </c>
      <c r="BX48" s="412"/>
      <c r="BY48" s="412"/>
      <c r="BZ48" s="429" t="str">
        <f t="shared" si="69"/>
        <v>- - -</v>
      </c>
      <c r="CA48" s="428"/>
      <c r="CB48" s="428"/>
      <c r="CC48" s="508"/>
      <c r="CD48" s="508"/>
      <c r="CE48" s="412" t="str">
        <f t="shared" si="70"/>
        <v>---</v>
      </c>
      <c r="CF48" s="428" t="str">
        <f t="shared" si="71"/>
        <v>/-/ /-/</v>
      </c>
      <c r="CG48" s="428">
        <f t="shared" si="72"/>
        <v>10</v>
      </c>
      <c r="CH48" s="428">
        <f t="shared" si="73"/>
        <v>2024</v>
      </c>
      <c r="CI48" s="412">
        <f t="shared" si="74"/>
        <v>7</v>
      </c>
      <c r="CJ48" s="412">
        <f t="shared" si="75"/>
        <v>2024</v>
      </c>
      <c r="CK48" s="413">
        <f t="shared" si="76"/>
        <v>4</v>
      </c>
      <c r="CL48" s="428">
        <f t="shared" si="77"/>
        <v>2024</v>
      </c>
      <c r="CM48" s="428" t="str">
        <f t="shared" si="78"/>
        <v>- - -</v>
      </c>
      <c r="CN48" s="428" t="str">
        <f t="shared" si="79"/>
        <v>. .</v>
      </c>
      <c r="CO48" s="428"/>
      <c r="CP48" s="417">
        <f t="shared" si="80"/>
        <v>660</v>
      </c>
      <c r="CQ48" s="417">
        <f t="shared" si="81"/>
        <v>-23625</v>
      </c>
      <c r="CR48" s="428">
        <f t="shared" si="82"/>
        <v>-1969</v>
      </c>
      <c r="CS48" s="417" t="str">
        <f t="shared" si="83"/>
        <v>Nữ dưới 30</v>
      </c>
      <c r="CT48" s="412"/>
      <c r="CU48" s="412"/>
      <c r="CV48" s="412" t="str">
        <f t="shared" si="84"/>
        <v>Đến 30</v>
      </c>
      <c r="CW48" s="412" t="str">
        <f t="shared" si="85"/>
        <v>--</v>
      </c>
      <c r="CX48" s="412"/>
      <c r="CY48" s="412"/>
      <c r="CZ48" s="412"/>
      <c r="DA48" s="412"/>
      <c r="DB48" s="412"/>
      <c r="DC48" s="412"/>
      <c r="DD48" s="412"/>
      <c r="DE48" s="412"/>
      <c r="DF48" s="412"/>
      <c r="DG48" s="412" t="s">
        <v>148</v>
      </c>
      <c r="DH48" s="412" t="s">
        <v>9</v>
      </c>
      <c r="DI48" s="412" t="s">
        <v>10</v>
      </c>
      <c r="DJ48" s="412">
        <v>4</v>
      </c>
      <c r="DK48" s="412" t="s">
        <v>10</v>
      </c>
      <c r="DL48" s="412">
        <v>2013</v>
      </c>
      <c r="DM48" s="412">
        <f t="shared" si="86"/>
        <v>0</v>
      </c>
      <c r="DN48" s="412" t="str">
        <f t="shared" si="87"/>
        <v>- - -</v>
      </c>
      <c r="DO48" s="412" t="s">
        <v>9</v>
      </c>
      <c r="DP48" s="412" t="s">
        <v>10</v>
      </c>
      <c r="DQ48" s="604">
        <v>4</v>
      </c>
      <c r="DR48" s="142" t="s">
        <v>10</v>
      </c>
      <c r="DS48" s="142">
        <v>2013</v>
      </c>
      <c r="DT48" s="142">
        <v>3.66</v>
      </c>
      <c r="DU48" s="142" t="str">
        <f t="shared" si="88"/>
        <v>- - -</v>
      </c>
      <c r="DV48" s="142" t="str">
        <f t="shared" si="89"/>
        <v>---</v>
      </c>
    </row>
    <row r="49" spans="1:126" s="142" customFormat="1" ht="27" customHeight="1" x14ac:dyDescent="0.25">
      <c r="A49" s="152">
        <v>279</v>
      </c>
      <c r="B49" s="615">
        <v>11</v>
      </c>
      <c r="C49" s="139" t="str">
        <f t="shared" si="45"/>
        <v>Bà</v>
      </c>
      <c r="D49" s="497" t="s">
        <v>288</v>
      </c>
      <c r="E49" s="139" t="s">
        <v>32</v>
      </c>
      <c r="F49" s="276" t="s">
        <v>9</v>
      </c>
      <c r="G49" s="276" t="s">
        <v>10</v>
      </c>
      <c r="H49" s="276" t="s">
        <v>40</v>
      </c>
      <c r="I49" s="276" t="s">
        <v>10</v>
      </c>
      <c r="J49" s="139">
        <v>1975</v>
      </c>
      <c r="K49" s="139"/>
      <c r="L49" s="139"/>
      <c r="M49" s="143" t="e">
        <f>VLOOKUP(L49,'[2]- DLiêu Gốc -'!$B$2:$G$121,2,0)</f>
        <v>#N/A</v>
      </c>
      <c r="N49" s="302" t="s">
        <v>116</v>
      </c>
      <c r="O49" s="295" t="s">
        <v>106</v>
      </c>
      <c r="P49" s="165" t="str">
        <f>VLOOKUP(U49,'[2]- DLiêu Gốc -'!$B$2:$G$56,5,0)</f>
        <v>A1</v>
      </c>
      <c r="Q49" s="165" t="str">
        <f>VLOOKUP(U49,'[2]- DLiêu Gốc -'!$B$2:$G$56,6,0)</f>
        <v>- - -</v>
      </c>
      <c r="R49" s="139" t="s">
        <v>34</v>
      </c>
      <c r="S49" s="277" t="str">
        <f t="shared" si="46"/>
        <v>Giảng viên (hạng III)</v>
      </c>
      <c r="T49" s="278" t="str">
        <f t="shared" si="47"/>
        <v>V.07.01.03</v>
      </c>
      <c r="U49" s="180" t="s">
        <v>35</v>
      </c>
      <c r="V49" s="141" t="str">
        <f>VLOOKUP(U49,'[2]- DLiêu Gốc -'!$B$1:$G$121,2,0)</f>
        <v>V.07.01.03</v>
      </c>
      <c r="W49" s="274" t="str">
        <f t="shared" si="48"/>
        <v>Lương</v>
      </c>
      <c r="X49" s="274">
        <v>3</v>
      </c>
      <c r="Y49" s="274" t="str">
        <f t="shared" si="49"/>
        <v>/</v>
      </c>
      <c r="Z49" s="274">
        <f t="shared" si="50"/>
        <v>9</v>
      </c>
      <c r="AA49" s="274">
        <f t="shared" si="51"/>
        <v>3</v>
      </c>
      <c r="AB49" s="274">
        <f t="shared" si="52"/>
        <v>4</v>
      </c>
      <c r="AC49" s="274" t="str">
        <f t="shared" si="53"/>
        <v>/</v>
      </c>
      <c r="AD49" s="274">
        <f t="shared" si="54"/>
        <v>9</v>
      </c>
      <c r="AE49" s="274">
        <f t="shared" si="55"/>
        <v>3.33</v>
      </c>
      <c r="AF49" s="274" t="s">
        <v>9</v>
      </c>
      <c r="AG49" s="274" t="s">
        <v>10</v>
      </c>
      <c r="AH49" s="274">
        <v>5</v>
      </c>
      <c r="AI49" s="274" t="s">
        <v>10</v>
      </c>
      <c r="AJ49" s="274">
        <v>2013</v>
      </c>
      <c r="AK49" s="147"/>
      <c r="AL49" s="141"/>
      <c r="AM49" s="274">
        <f t="shared" si="56"/>
        <v>3</v>
      </c>
      <c r="AN49" s="274">
        <f t="shared" si="57"/>
        <v>-24161</v>
      </c>
      <c r="AO49" s="180"/>
      <c r="AP49" s="180"/>
      <c r="AQ49" s="274">
        <f>VLOOKUP(U49,'[2]- DLiêu Gốc -'!$B$1:$E$56,3,0)</f>
        <v>2.34</v>
      </c>
      <c r="AR49" s="274">
        <f>VLOOKUP(U49,'[2]- DLiêu Gốc -'!$B$1:$E$56,4,0)</f>
        <v>0.33</v>
      </c>
      <c r="AT49" s="274" t="str">
        <f t="shared" si="58"/>
        <v>PCTN</v>
      </c>
      <c r="AU49" s="279">
        <v>12</v>
      </c>
      <c r="AV49" s="280" t="s">
        <v>38</v>
      </c>
      <c r="AW49" s="279">
        <f t="shared" si="59"/>
        <v>13</v>
      </c>
      <c r="AX49" s="281" t="s">
        <v>38</v>
      </c>
      <c r="AY49" s="282" t="s">
        <v>37</v>
      </c>
      <c r="AZ49" s="169" t="s">
        <v>10</v>
      </c>
      <c r="BA49" s="283">
        <v>2016</v>
      </c>
      <c r="BB49" s="253"/>
      <c r="BC49" s="253"/>
      <c r="BD49" s="180"/>
      <c r="BE49" s="253">
        <v>2</v>
      </c>
      <c r="BF49" s="180">
        <f t="shared" si="60"/>
        <v>-24194</v>
      </c>
      <c r="BG49" s="140" t="str">
        <f t="shared" si="61"/>
        <v>- - -</v>
      </c>
      <c r="BH49" s="253" t="str">
        <f t="shared" si="62"/>
        <v>VC</v>
      </c>
      <c r="BI49" s="619"/>
      <c r="BJ49" s="413"/>
      <c r="BK49" s="413" t="s">
        <v>101</v>
      </c>
      <c r="BL49" s="428" t="str">
        <f t="shared" si="63"/>
        <v>A</v>
      </c>
      <c r="BM49" s="417" t="str">
        <f t="shared" si="64"/>
        <v>=&gt; s</v>
      </c>
      <c r="BN49" s="428">
        <f t="shared" si="65"/>
        <v>24185</v>
      </c>
      <c r="BO49" s="413" t="str">
        <f t="shared" si="66"/>
        <v>S</v>
      </c>
      <c r="BP49" s="428">
        <v>2013</v>
      </c>
      <c r="BQ49" s="429" t="s">
        <v>36</v>
      </c>
      <c r="BR49" s="429"/>
      <c r="BS49" s="430"/>
      <c r="BT49" s="412" t="str">
        <f t="shared" si="67"/>
        <v>Cùg Ng</v>
      </c>
      <c r="BU49" s="412" t="str">
        <f t="shared" si="68"/>
        <v>- - -</v>
      </c>
      <c r="BV49" s="412"/>
      <c r="BW49" s="412"/>
      <c r="BX49" s="412"/>
      <c r="BY49" s="412"/>
      <c r="BZ49" s="429" t="str">
        <f t="shared" si="69"/>
        <v>- - -</v>
      </c>
      <c r="CA49" s="428"/>
      <c r="CB49" s="428"/>
      <c r="CC49" s="508"/>
      <c r="CD49" s="508"/>
      <c r="CE49" s="412" t="str">
        <f t="shared" si="70"/>
        <v>---</v>
      </c>
      <c r="CF49" s="428" t="str">
        <f t="shared" si="71"/>
        <v>/-/ /-/</v>
      </c>
      <c r="CG49" s="428">
        <f t="shared" si="72"/>
        <v>12</v>
      </c>
      <c r="CH49" s="428">
        <f t="shared" si="73"/>
        <v>2030</v>
      </c>
      <c r="CI49" s="412">
        <f t="shared" si="74"/>
        <v>9</v>
      </c>
      <c r="CJ49" s="412">
        <f t="shared" si="75"/>
        <v>2030</v>
      </c>
      <c r="CK49" s="413">
        <f t="shared" si="76"/>
        <v>6</v>
      </c>
      <c r="CL49" s="428">
        <f t="shared" si="77"/>
        <v>2030</v>
      </c>
      <c r="CM49" s="428" t="str">
        <f t="shared" si="78"/>
        <v>- - -</v>
      </c>
      <c r="CN49" s="428" t="str">
        <f t="shared" si="79"/>
        <v>. .</v>
      </c>
      <c r="CO49" s="428"/>
      <c r="CP49" s="417">
        <f t="shared" si="80"/>
        <v>660</v>
      </c>
      <c r="CQ49" s="417">
        <f t="shared" si="81"/>
        <v>-23699</v>
      </c>
      <c r="CR49" s="428">
        <f t="shared" si="82"/>
        <v>-1975</v>
      </c>
      <c r="CS49" s="417" t="str">
        <f t="shared" si="83"/>
        <v>Nữ dưới 30</v>
      </c>
      <c r="CT49" s="412"/>
      <c r="CU49" s="412"/>
      <c r="CV49" s="412" t="str">
        <f t="shared" si="84"/>
        <v>Đến 30</v>
      </c>
      <c r="CW49" s="412" t="str">
        <f t="shared" si="85"/>
        <v>--</v>
      </c>
      <c r="CX49" s="412"/>
      <c r="CY49" s="412"/>
      <c r="CZ49" s="412"/>
      <c r="DA49" s="412"/>
      <c r="DB49" s="412"/>
      <c r="DC49" s="412"/>
      <c r="DD49" s="412"/>
      <c r="DE49" s="412"/>
      <c r="DF49" s="412"/>
      <c r="DG49" s="412" t="s">
        <v>116</v>
      </c>
      <c r="DH49" s="412" t="s">
        <v>9</v>
      </c>
      <c r="DI49" s="412" t="s">
        <v>10</v>
      </c>
      <c r="DJ49" s="412">
        <v>5</v>
      </c>
      <c r="DK49" s="412" t="s">
        <v>10</v>
      </c>
      <c r="DL49" s="412">
        <v>2013</v>
      </c>
      <c r="DM49" s="412">
        <f t="shared" si="86"/>
        <v>0</v>
      </c>
      <c r="DN49" s="412" t="str">
        <f t="shared" si="87"/>
        <v>- - -</v>
      </c>
      <c r="DO49" s="412" t="s">
        <v>9</v>
      </c>
      <c r="DP49" s="412" t="s">
        <v>10</v>
      </c>
      <c r="DQ49" s="604">
        <v>5</v>
      </c>
      <c r="DR49" s="142" t="s">
        <v>10</v>
      </c>
      <c r="DS49" s="142">
        <v>2013</v>
      </c>
      <c r="DU49" s="142" t="str">
        <f t="shared" si="88"/>
        <v>- - -</v>
      </c>
      <c r="DV49" s="142" t="str">
        <f t="shared" si="89"/>
        <v>---</v>
      </c>
    </row>
    <row r="50" spans="1:126" s="142" customFormat="1" ht="28.5" customHeight="1" x14ac:dyDescent="0.25">
      <c r="A50" s="152">
        <v>380</v>
      </c>
      <c r="B50" s="615">
        <v>12</v>
      </c>
      <c r="C50" s="139" t="str">
        <f t="shared" si="45"/>
        <v>Bà</v>
      </c>
      <c r="D50" s="497" t="s">
        <v>289</v>
      </c>
      <c r="E50" s="139" t="s">
        <v>32</v>
      </c>
      <c r="F50" s="276" t="s">
        <v>149</v>
      </c>
      <c r="G50" s="276" t="s">
        <v>10</v>
      </c>
      <c r="H50" s="276">
        <v>7</v>
      </c>
      <c r="I50" s="276" t="s">
        <v>10</v>
      </c>
      <c r="J50" s="139">
        <v>1976</v>
      </c>
      <c r="K50" s="139"/>
      <c r="L50" s="139"/>
      <c r="M50" s="143" t="e">
        <f>VLOOKUP(L50,'[2]- DLiêu Gốc -'!$B$2:$G$121,2,0)</f>
        <v>#N/A</v>
      </c>
      <c r="N50" s="302" t="s">
        <v>112</v>
      </c>
      <c r="O50" s="295" t="s">
        <v>33</v>
      </c>
      <c r="P50" s="165" t="str">
        <f>VLOOKUP(U50,'[2]- DLiêu Gốc -'!$B$2:$G$56,5,0)</f>
        <v>A1</v>
      </c>
      <c r="Q50" s="165" t="str">
        <f>VLOOKUP(U50,'[2]- DLiêu Gốc -'!$B$2:$G$56,6,0)</f>
        <v>- - -</v>
      </c>
      <c r="R50" s="139" t="s">
        <v>34</v>
      </c>
      <c r="S50" s="277" t="str">
        <f t="shared" si="46"/>
        <v>Giảng viên (hạng III)</v>
      </c>
      <c r="T50" s="278" t="str">
        <f t="shared" si="47"/>
        <v>V.07.01.03</v>
      </c>
      <c r="U50" s="180" t="s">
        <v>35</v>
      </c>
      <c r="V50" s="141" t="str">
        <f>VLOOKUP(U50,'[2]- DLiêu Gốc -'!$B$1:$G$121,2,0)</f>
        <v>V.07.01.03</v>
      </c>
      <c r="W50" s="274" t="str">
        <f t="shared" si="48"/>
        <v>Lương</v>
      </c>
      <c r="X50" s="274">
        <v>3</v>
      </c>
      <c r="Y50" s="274" t="str">
        <f t="shared" si="49"/>
        <v>/</v>
      </c>
      <c r="Z50" s="274">
        <f t="shared" si="50"/>
        <v>9</v>
      </c>
      <c r="AA50" s="274">
        <f t="shared" si="51"/>
        <v>3</v>
      </c>
      <c r="AB50" s="274">
        <f t="shared" si="52"/>
        <v>4</v>
      </c>
      <c r="AC50" s="274" t="str">
        <f t="shared" si="53"/>
        <v>/</v>
      </c>
      <c r="AD50" s="274">
        <f t="shared" si="54"/>
        <v>9</v>
      </c>
      <c r="AE50" s="274">
        <f t="shared" si="55"/>
        <v>3.33</v>
      </c>
      <c r="AF50" s="274" t="s">
        <v>9</v>
      </c>
      <c r="AG50" s="274" t="s">
        <v>10</v>
      </c>
      <c r="AH50" s="274" t="s">
        <v>37</v>
      </c>
      <c r="AI50" s="274" t="s">
        <v>10</v>
      </c>
      <c r="AJ50" s="274">
        <v>2015</v>
      </c>
      <c r="AK50" s="147"/>
      <c r="AL50" s="141">
        <v>2</v>
      </c>
      <c r="AM50" s="274">
        <f t="shared" si="56"/>
        <v>3</v>
      </c>
      <c r="AN50" s="274">
        <f t="shared" si="57"/>
        <v>-24182</v>
      </c>
      <c r="AO50" s="180"/>
      <c r="AP50" s="180"/>
      <c r="AQ50" s="274">
        <f>VLOOKUP(U50,'[2]- DLiêu Gốc -'!$B$1:$E$56,3,0)</f>
        <v>2.34</v>
      </c>
      <c r="AR50" s="274">
        <f>VLOOKUP(U50,'[2]- DLiêu Gốc -'!$B$1:$E$56,4,0)</f>
        <v>0.33</v>
      </c>
      <c r="AT50" s="274" t="str">
        <f t="shared" si="58"/>
        <v>PCTN</v>
      </c>
      <c r="AU50" s="279">
        <v>8</v>
      </c>
      <c r="AV50" s="280" t="s">
        <v>38</v>
      </c>
      <c r="AW50" s="279">
        <f t="shared" si="59"/>
        <v>9</v>
      </c>
      <c r="AX50" s="281" t="s">
        <v>38</v>
      </c>
      <c r="AY50" s="282" t="s">
        <v>37</v>
      </c>
      <c r="AZ50" s="169" t="s">
        <v>10</v>
      </c>
      <c r="BA50" s="283">
        <v>2016</v>
      </c>
      <c r="BB50" s="253"/>
      <c r="BC50" s="253"/>
      <c r="BD50" s="180"/>
      <c r="BE50" s="253">
        <v>2</v>
      </c>
      <c r="BF50" s="180">
        <f t="shared" si="60"/>
        <v>-24194</v>
      </c>
      <c r="BG50" s="140" t="str">
        <f t="shared" si="61"/>
        <v>- - -</v>
      </c>
      <c r="BH50" s="253" t="str">
        <f t="shared" si="62"/>
        <v>VC</v>
      </c>
      <c r="BI50" s="619"/>
      <c r="BJ50" s="413"/>
      <c r="BK50" s="413" t="s">
        <v>101</v>
      </c>
      <c r="BL50" s="428" t="str">
        <f t="shared" si="63"/>
        <v>A</v>
      </c>
      <c r="BM50" s="417" t="str">
        <f t="shared" si="64"/>
        <v>=&gt; s</v>
      </c>
      <c r="BN50" s="428">
        <f t="shared" si="65"/>
        <v>24206</v>
      </c>
      <c r="BO50" s="413" t="str">
        <f t="shared" si="66"/>
        <v>S</v>
      </c>
      <c r="BP50" s="428">
        <v>2012</v>
      </c>
      <c r="BQ50" s="429" t="s">
        <v>36</v>
      </c>
      <c r="BR50" s="429"/>
      <c r="BS50" s="430"/>
      <c r="BT50" s="412" t="str">
        <f t="shared" si="67"/>
        <v>Cùg Ng</v>
      </c>
      <c r="BU50" s="412" t="str">
        <f t="shared" si="68"/>
        <v>- - -</v>
      </c>
      <c r="BV50" s="412"/>
      <c r="BW50" s="412"/>
      <c r="BX50" s="412"/>
      <c r="BY50" s="412"/>
      <c r="BZ50" s="429" t="str">
        <f t="shared" si="69"/>
        <v>- - -</v>
      </c>
      <c r="CA50" s="428"/>
      <c r="CB50" s="428"/>
      <c r="CC50" s="508"/>
      <c r="CD50" s="508"/>
      <c r="CE50" s="412" t="str">
        <f t="shared" si="70"/>
        <v>---</v>
      </c>
      <c r="CF50" s="428" t="str">
        <f t="shared" si="71"/>
        <v>/-/ /-/</v>
      </c>
      <c r="CG50" s="428">
        <f t="shared" si="72"/>
        <v>8</v>
      </c>
      <c r="CH50" s="428">
        <f t="shared" si="73"/>
        <v>2031</v>
      </c>
      <c r="CI50" s="412">
        <f t="shared" si="74"/>
        <v>5</v>
      </c>
      <c r="CJ50" s="412">
        <f t="shared" si="75"/>
        <v>2031</v>
      </c>
      <c r="CK50" s="413">
        <f t="shared" si="76"/>
        <v>2</v>
      </c>
      <c r="CL50" s="428">
        <f t="shared" si="77"/>
        <v>2031</v>
      </c>
      <c r="CM50" s="428" t="str">
        <f t="shared" si="78"/>
        <v>- - -</v>
      </c>
      <c r="CN50" s="428" t="str">
        <f t="shared" si="79"/>
        <v>. .</v>
      </c>
      <c r="CO50" s="428"/>
      <c r="CP50" s="417">
        <f t="shared" si="80"/>
        <v>660</v>
      </c>
      <c r="CQ50" s="417">
        <f t="shared" si="81"/>
        <v>-23707</v>
      </c>
      <c r="CR50" s="428">
        <f t="shared" si="82"/>
        <v>-1976</v>
      </c>
      <c r="CS50" s="417" t="str">
        <f t="shared" si="83"/>
        <v>Nữ dưới 30</v>
      </c>
      <c r="CT50" s="412"/>
      <c r="CU50" s="412"/>
      <c r="CV50" s="412" t="str">
        <f t="shared" si="84"/>
        <v>Đến 30</v>
      </c>
      <c r="CW50" s="412" t="str">
        <f t="shared" si="85"/>
        <v>TD</v>
      </c>
      <c r="CX50" s="412">
        <v>2008</v>
      </c>
      <c r="CY50" s="412"/>
      <c r="CZ50" s="412"/>
      <c r="DA50" s="412"/>
      <c r="DB50" s="412"/>
      <c r="DC50" s="412"/>
      <c r="DD50" s="412"/>
      <c r="DE50" s="412"/>
      <c r="DF50" s="412"/>
      <c r="DG50" s="412" t="s">
        <v>112</v>
      </c>
      <c r="DH50" s="412" t="s">
        <v>9</v>
      </c>
      <c r="DI50" s="412" t="s">
        <v>10</v>
      </c>
      <c r="DJ50" s="412" t="s">
        <v>37</v>
      </c>
      <c r="DK50" s="412" t="s">
        <v>10</v>
      </c>
      <c r="DL50" s="412">
        <v>2012</v>
      </c>
      <c r="DM50" s="412">
        <f t="shared" si="86"/>
        <v>0</v>
      </c>
      <c r="DN50" s="412" t="str">
        <f t="shared" si="87"/>
        <v>- - -</v>
      </c>
      <c r="DO50" s="412" t="s">
        <v>9</v>
      </c>
      <c r="DP50" s="412" t="s">
        <v>10</v>
      </c>
      <c r="DQ50" s="604" t="s">
        <v>37</v>
      </c>
      <c r="DR50" s="142" t="s">
        <v>10</v>
      </c>
      <c r="DS50" s="142">
        <v>2012</v>
      </c>
      <c r="DU50" s="142" t="str">
        <f t="shared" si="88"/>
        <v>- - -</v>
      </c>
      <c r="DV50" s="142" t="str">
        <f t="shared" si="89"/>
        <v>---</v>
      </c>
    </row>
    <row r="51" spans="1:126" s="142" customFormat="1" ht="24.75" customHeight="1" thickBot="1" x14ac:dyDescent="0.3">
      <c r="A51" s="152">
        <v>415</v>
      </c>
      <c r="B51" s="621">
        <v>13</v>
      </c>
      <c r="C51" s="590" t="str">
        <f t="shared" si="45"/>
        <v>Ông</v>
      </c>
      <c r="D51" s="622" t="s">
        <v>290</v>
      </c>
      <c r="E51" s="590" t="s">
        <v>39</v>
      </c>
      <c r="F51" s="623" t="s">
        <v>40</v>
      </c>
      <c r="G51" s="623" t="s">
        <v>10</v>
      </c>
      <c r="H51" s="623" t="s">
        <v>94</v>
      </c>
      <c r="I51" s="623" t="s">
        <v>10</v>
      </c>
      <c r="J51" s="590" t="s">
        <v>291</v>
      </c>
      <c r="K51" s="590" t="str">
        <f>IF(AND((M51+0)&gt;0.3,(M51+0)&lt;1.5),"CVụ","- -")</f>
        <v>CVụ</v>
      </c>
      <c r="L51" s="590" t="s">
        <v>292</v>
      </c>
      <c r="M51" s="624" t="str">
        <f>VLOOKUP(L51,'[2]- DLiêu Gốc -'!$B$2:$G$121,2,0)</f>
        <v>1,0</v>
      </c>
      <c r="N51" s="625"/>
      <c r="O51" s="626" t="s">
        <v>198</v>
      </c>
      <c r="P51" s="579" t="str">
        <f>VLOOKUP(U51,'[2]- DLiêu Gốc -'!$B$2:$G$56,5,0)</f>
        <v>A3</v>
      </c>
      <c r="Q51" s="579" t="str">
        <f>VLOOKUP(U51,'[2]- DLiêu Gốc -'!$B$2:$G$56,6,0)</f>
        <v>A3.1</v>
      </c>
      <c r="R51" s="590" t="s">
        <v>34</v>
      </c>
      <c r="S51" s="627" t="str">
        <f t="shared" si="46"/>
        <v>Giảng viên cao cấp (hạng I)</v>
      </c>
      <c r="T51" s="628" t="str">
        <f t="shared" si="47"/>
        <v>V.07.01.01</v>
      </c>
      <c r="U51" s="629" t="s">
        <v>88</v>
      </c>
      <c r="V51" s="593" t="str">
        <f>VLOOKUP(U51,'[2]- DLiêu Gốc -'!$B$1:$G$121,2,0)</f>
        <v>V.07.01.01</v>
      </c>
      <c r="W51" s="630" t="str">
        <f t="shared" si="48"/>
        <v>Lương</v>
      </c>
      <c r="X51" s="630">
        <v>0</v>
      </c>
      <c r="Y51" s="630" t="str">
        <f t="shared" si="49"/>
        <v>/</v>
      </c>
      <c r="Z51" s="630">
        <f t="shared" si="50"/>
        <v>6</v>
      </c>
      <c r="AA51" s="630">
        <f t="shared" si="51"/>
        <v>5.84</v>
      </c>
      <c r="AB51" s="630">
        <f t="shared" si="52"/>
        <v>1</v>
      </c>
      <c r="AC51" s="630" t="str">
        <f t="shared" si="53"/>
        <v>/</v>
      </c>
      <c r="AD51" s="630">
        <f t="shared" si="54"/>
        <v>6</v>
      </c>
      <c r="AE51" s="630">
        <f t="shared" si="55"/>
        <v>6.2</v>
      </c>
      <c r="AF51" s="630" t="s">
        <v>9</v>
      </c>
      <c r="AG51" s="630" t="s">
        <v>10</v>
      </c>
      <c r="AH51" s="630" t="s">
        <v>105</v>
      </c>
      <c r="AI51" s="630" t="s">
        <v>10</v>
      </c>
      <c r="AJ51" s="630">
        <v>2012</v>
      </c>
      <c r="AK51" s="592"/>
      <c r="AL51" s="593"/>
      <c r="AM51" s="630">
        <f t="shared" si="56"/>
        <v>3</v>
      </c>
      <c r="AN51" s="630">
        <f t="shared" si="57"/>
        <v>-24149</v>
      </c>
      <c r="AO51" s="629"/>
      <c r="AP51" s="629"/>
      <c r="AQ51" s="630">
        <f>VLOOKUP(U51,'[2]- DLiêu Gốc -'!$B$1:$E$56,3,0)</f>
        <v>6.2</v>
      </c>
      <c r="AR51" s="630">
        <f>VLOOKUP(U51,'[2]- DLiêu Gốc -'!$B$1:$E$56,4,0)</f>
        <v>0.36</v>
      </c>
      <c r="AS51" s="561"/>
      <c r="AT51" s="630" t="str">
        <f t="shared" si="58"/>
        <v>PCTN</v>
      </c>
      <c r="AU51" s="631">
        <v>28</v>
      </c>
      <c r="AV51" s="632" t="s">
        <v>38</v>
      </c>
      <c r="AW51" s="631">
        <f t="shared" si="59"/>
        <v>29</v>
      </c>
      <c r="AX51" s="633" t="s">
        <v>38</v>
      </c>
      <c r="AY51" s="634" t="s">
        <v>37</v>
      </c>
      <c r="AZ51" s="584" t="s">
        <v>10</v>
      </c>
      <c r="BA51" s="635">
        <v>2016</v>
      </c>
      <c r="BB51" s="636"/>
      <c r="BC51" s="636"/>
      <c r="BD51" s="629"/>
      <c r="BE51" s="636">
        <v>2</v>
      </c>
      <c r="BF51" s="629">
        <f t="shared" si="60"/>
        <v>-24194</v>
      </c>
      <c r="BG51" s="637" t="str">
        <f t="shared" si="61"/>
        <v>- - -</v>
      </c>
      <c r="BH51" s="636" t="str">
        <f t="shared" si="62"/>
        <v>VC</v>
      </c>
      <c r="BI51" s="638"/>
      <c r="BJ51" s="413"/>
      <c r="BK51" s="413" t="s">
        <v>101</v>
      </c>
      <c r="BL51" s="428" t="str">
        <f t="shared" si="63"/>
        <v>A</v>
      </c>
      <c r="BM51" s="417" t="str">
        <f t="shared" si="64"/>
        <v>=&gt; s</v>
      </c>
      <c r="BN51" s="428">
        <f t="shared" si="65"/>
        <v>24173</v>
      </c>
      <c r="BO51" s="413" t="str">
        <f t="shared" si="66"/>
        <v>---</v>
      </c>
      <c r="BP51" s="428"/>
      <c r="BQ51" s="429"/>
      <c r="BR51" s="429"/>
      <c r="BS51" s="430"/>
      <c r="BT51" s="412" t="str">
        <f t="shared" si="67"/>
        <v>- - -</v>
      </c>
      <c r="BU51" s="412" t="str">
        <f t="shared" si="68"/>
        <v>NN</v>
      </c>
      <c r="BV51" s="412">
        <v>5</v>
      </c>
      <c r="BW51" s="412">
        <v>2012</v>
      </c>
      <c r="BX51" s="412"/>
      <c r="BY51" s="412"/>
      <c r="BZ51" s="429" t="str">
        <f t="shared" si="69"/>
        <v>- - -</v>
      </c>
      <c r="CA51" s="428"/>
      <c r="CB51" s="428"/>
      <c r="CC51" s="508"/>
      <c r="CD51" s="508"/>
      <c r="CE51" s="412" t="str">
        <f t="shared" si="70"/>
        <v>---</v>
      </c>
      <c r="CF51" s="428" t="str">
        <f t="shared" si="71"/>
        <v>/-/ /-/</v>
      </c>
      <c r="CG51" s="428">
        <f t="shared" si="72"/>
        <v>10</v>
      </c>
      <c r="CH51" s="428">
        <f t="shared" si="73"/>
        <v>2019</v>
      </c>
      <c r="CI51" s="412">
        <f t="shared" si="74"/>
        <v>7</v>
      </c>
      <c r="CJ51" s="412">
        <f t="shared" si="75"/>
        <v>2019</v>
      </c>
      <c r="CK51" s="413">
        <f t="shared" si="76"/>
        <v>4</v>
      </c>
      <c r="CL51" s="428">
        <f t="shared" si="77"/>
        <v>2019</v>
      </c>
      <c r="CM51" s="428" t="str">
        <f t="shared" si="78"/>
        <v>- - -</v>
      </c>
      <c r="CN51" s="428" t="str">
        <f t="shared" si="79"/>
        <v>. .</v>
      </c>
      <c r="CO51" s="428"/>
      <c r="CP51" s="417">
        <f t="shared" si="80"/>
        <v>720</v>
      </c>
      <c r="CQ51" s="417">
        <f t="shared" si="81"/>
        <v>-23505</v>
      </c>
      <c r="CR51" s="428">
        <f t="shared" si="82"/>
        <v>-1959</v>
      </c>
      <c r="CS51" s="417" t="str">
        <f t="shared" si="83"/>
        <v>Nam dưới 35</v>
      </c>
      <c r="CT51" s="412"/>
      <c r="CU51" s="412"/>
      <c r="CV51" s="412" t="str">
        <f t="shared" si="84"/>
        <v>Đến 30</v>
      </c>
      <c r="CW51" s="412" t="str">
        <f t="shared" si="85"/>
        <v>--</v>
      </c>
      <c r="CX51" s="412"/>
      <c r="CY51" s="412"/>
      <c r="CZ51" s="412"/>
      <c r="DA51" s="412"/>
      <c r="DB51" s="412"/>
      <c r="DC51" s="412"/>
      <c r="DD51" s="412"/>
      <c r="DE51" s="412"/>
      <c r="DF51" s="412"/>
      <c r="DG51" s="412"/>
      <c r="DH51" s="412" t="s">
        <v>9</v>
      </c>
      <c r="DI51" s="412" t="s">
        <v>10</v>
      </c>
      <c r="DJ51" s="412" t="s">
        <v>105</v>
      </c>
      <c r="DK51" s="412" t="s">
        <v>10</v>
      </c>
      <c r="DL51" s="412">
        <v>2012</v>
      </c>
      <c r="DM51" s="412">
        <f t="shared" si="86"/>
        <v>0</v>
      </c>
      <c r="DN51" s="412" t="str">
        <f t="shared" si="87"/>
        <v>- - -</v>
      </c>
      <c r="DO51" s="412" t="s">
        <v>9</v>
      </c>
      <c r="DP51" s="412" t="s">
        <v>10</v>
      </c>
      <c r="DQ51" s="604" t="s">
        <v>105</v>
      </c>
      <c r="DR51" s="142" t="s">
        <v>10</v>
      </c>
      <c r="DS51" s="142">
        <v>2012</v>
      </c>
      <c r="DT51" s="142">
        <v>5.42</v>
      </c>
      <c r="DU51" s="142">
        <f t="shared" si="88"/>
        <v>0.1000000000000002</v>
      </c>
      <c r="DV51" s="142" t="str">
        <f t="shared" si="89"/>
        <v>---</v>
      </c>
    </row>
    <row r="52" spans="1:126" s="271" customFormat="1" ht="1.5" customHeight="1" x14ac:dyDescent="0.25">
      <c r="A52" s="236"/>
      <c r="B52" s="310"/>
      <c r="C52" s="311"/>
      <c r="D52" s="312"/>
      <c r="E52" s="311"/>
      <c r="F52" s="311"/>
      <c r="G52" s="311"/>
      <c r="H52" s="311"/>
      <c r="I52" s="311"/>
      <c r="J52" s="311"/>
      <c r="K52" s="311"/>
      <c r="L52" s="311"/>
      <c r="M52" s="311"/>
      <c r="N52" s="312"/>
      <c r="O52" s="312"/>
      <c r="P52" s="311"/>
      <c r="Q52" s="311"/>
      <c r="R52" s="311"/>
      <c r="S52" s="311"/>
      <c r="T52" s="313"/>
      <c r="U52" s="311"/>
      <c r="V52" s="311"/>
      <c r="W52" s="311"/>
      <c r="X52" s="311"/>
      <c r="Y52" s="311"/>
      <c r="Z52" s="311"/>
      <c r="AA52" s="311"/>
      <c r="AB52" s="311"/>
      <c r="AC52" s="311"/>
      <c r="AD52" s="311"/>
      <c r="AE52" s="311"/>
      <c r="AF52" s="311"/>
      <c r="AG52" s="314"/>
      <c r="AH52" s="311"/>
      <c r="AI52" s="311"/>
      <c r="AJ52" s="311"/>
      <c r="AK52" s="314"/>
      <c r="AL52" s="314"/>
      <c r="AM52" s="314"/>
      <c r="AN52" s="314"/>
      <c r="AO52" s="314"/>
      <c r="AP52" s="314"/>
      <c r="AQ52" s="314"/>
      <c r="AR52" s="314"/>
      <c r="AS52" s="314"/>
      <c r="AT52" s="314"/>
      <c r="AU52" s="314"/>
      <c r="AV52" s="311"/>
      <c r="AW52" s="314"/>
      <c r="AX52" s="311"/>
      <c r="AY52" s="314"/>
      <c r="AZ52" s="311"/>
      <c r="BA52" s="311"/>
      <c r="BB52" s="314"/>
      <c r="BC52" s="314"/>
      <c r="BD52" s="314"/>
      <c r="BE52" s="314"/>
      <c r="BF52" s="314"/>
      <c r="BG52" s="314"/>
      <c r="BH52" s="314"/>
      <c r="BI52" s="314"/>
      <c r="BJ52" s="607"/>
      <c r="BK52" s="607"/>
      <c r="BL52" s="607"/>
      <c r="BM52" s="607"/>
      <c r="BN52" s="607"/>
      <c r="BO52" s="607"/>
      <c r="BP52" s="607"/>
      <c r="BQ52" s="607"/>
      <c r="BR52" s="607"/>
      <c r="BS52" s="607"/>
      <c r="BT52" s="607"/>
      <c r="BU52" s="607"/>
      <c r="BV52" s="607"/>
      <c r="BW52" s="607"/>
      <c r="BX52" s="607"/>
      <c r="BY52" s="607"/>
      <c r="BZ52" s="607"/>
      <c r="CA52" s="607"/>
      <c r="CB52" s="607"/>
      <c r="CC52" s="607"/>
      <c r="CD52" s="607"/>
      <c r="CE52" s="607"/>
      <c r="CF52" s="607"/>
      <c r="CG52" s="607"/>
      <c r="CH52" s="607"/>
      <c r="CI52" s="607"/>
      <c r="CJ52" s="607"/>
      <c r="CK52" s="607"/>
      <c r="CL52" s="607"/>
      <c r="CM52" s="607"/>
      <c r="CN52" s="607"/>
      <c r="CO52" s="607"/>
      <c r="CP52" s="607"/>
      <c r="CQ52" s="607"/>
      <c r="CR52" s="607"/>
      <c r="CS52" s="607"/>
      <c r="CT52" s="607"/>
      <c r="CU52" s="607"/>
      <c r="CV52" s="607"/>
      <c r="CW52" s="607"/>
      <c r="CX52" s="607"/>
      <c r="CY52" s="607"/>
      <c r="CZ52" s="607"/>
      <c r="DA52" s="607"/>
      <c r="DB52" s="607"/>
      <c r="DC52" s="607"/>
      <c r="DD52" s="607"/>
      <c r="DE52" s="607"/>
      <c r="DF52" s="607"/>
      <c r="DG52" s="607"/>
      <c r="DH52" s="607"/>
      <c r="DI52" s="607"/>
      <c r="DJ52" s="607"/>
      <c r="DK52" s="607"/>
      <c r="DL52" s="607"/>
      <c r="DM52" s="607"/>
      <c r="DN52" s="607"/>
      <c r="DO52" s="607"/>
      <c r="DP52" s="607"/>
    </row>
    <row r="53" spans="1:126" s="236" customFormat="1" ht="15.75" customHeight="1" x14ac:dyDescent="0.2">
      <c r="B53" s="284" t="s">
        <v>48</v>
      </c>
      <c r="D53" s="243"/>
      <c r="F53" s="285"/>
      <c r="J53" s="286"/>
      <c r="K53" s="286"/>
      <c r="L53" s="286"/>
      <c r="M53" s="286"/>
      <c r="N53" s="243"/>
      <c r="O53" s="287"/>
      <c r="P53" s="287"/>
      <c r="Q53" s="287"/>
      <c r="R53" s="287"/>
      <c r="T53" s="451" t="s">
        <v>49</v>
      </c>
      <c r="U53" s="451"/>
      <c r="V53" s="451"/>
      <c r="W53" s="451"/>
      <c r="X53" s="451"/>
      <c r="Y53" s="451"/>
      <c r="Z53" s="451"/>
      <c r="AA53" s="451"/>
      <c r="AB53" s="451"/>
      <c r="AC53" s="451"/>
      <c r="AD53" s="451"/>
      <c r="AE53" s="451"/>
      <c r="AF53" s="451"/>
      <c r="AG53" s="451"/>
      <c r="AH53" s="451"/>
      <c r="AI53" s="451"/>
      <c r="AJ53" s="451"/>
      <c r="AK53" s="451"/>
      <c r="AL53" s="451"/>
      <c r="AM53" s="451"/>
      <c r="AN53" s="451"/>
      <c r="AO53" s="451"/>
      <c r="AP53" s="451"/>
      <c r="AQ53" s="451"/>
      <c r="AR53" s="451"/>
      <c r="AS53" s="451"/>
      <c r="AT53" s="451"/>
      <c r="AU53" s="451"/>
      <c r="AV53" s="451"/>
      <c r="AW53" s="451"/>
      <c r="AX53" s="451"/>
      <c r="AY53" s="451"/>
      <c r="AZ53" s="451"/>
      <c r="BA53" s="451"/>
      <c r="BB53" s="451"/>
      <c r="BC53" s="451"/>
      <c r="BD53" s="451"/>
      <c r="BE53" s="451"/>
      <c r="BF53" s="451"/>
      <c r="BG53" s="451"/>
      <c r="BH53" s="451"/>
      <c r="BI53" s="451"/>
      <c r="BJ53" s="428"/>
      <c r="BK53" s="428"/>
      <c r="BL53" s="428"/>
      <c r="BM53" s="428"/>
      <c r="BN53" s="428"/>
      <c r="BO53" s="428"/>
      <c r="BP53" s="428"/>
      <c r="BQ53" s="428"/>
      <c r="BR53" s="428"/>
      <c r="BS53" s="428"/>
      <c r="BT53" s="428"/>
      <c r="BU53" s="428"/>
      <c r="BV53" s="428"/>
      <c r="BW53" s="428"/>
      <c r="BX53" s="428"/>
      <c r="BY53" s="428"/>
      <c r="BZ53" s="428"/>
      <c r="CA53" s="428"/>
      <c r="CB53" s="428"/>
      <c r="CC53" s="428"/>
      <c r="CD53" s="428"/>
      <c r="CE53" s="428"/>
      <c r="CF53" s="428"/>
      <c r="CG53" s="428"/>
      <c r="CH53" s="428"/>
      <c r="CI53" s="428"/>
      <c r="CJ53" s="428"/>
      <c r="CK53" s="428"/>
      <c r="CL53" s="428"/>
      <c r="CM53" s="428"/>
      <c r="CN53" s="428"/>
      <c r="CO53" s="428"/>
      <c r="CP53" s="428"/>
      <c r="CQ53" s="428"/>
      <c r="CR53" s="428"/>
      <c r="CS53" s="428"/>
      <c r="CT53" s="428"/>
      <c r="CU53" s="428"/>
      <c r="CV53" s="428"/>
      <c r="CW53" s="428"/>
      <c r="CX53" s="428"/>
      <c r="CY53" s="428"/>
      <c r="CZ53" s="428"/>
      <c r="DA53" s="428"/>
      <c r="DB53" s="428"/>
      <c r="DC53" s="428"/>
      <c r="DD53" s="428"/>
      <c r="DE53" s="428"/>
      <c r="DF53" s="428"/>
      <c r="DG53" s="428"/>
      <c r="DH53" s="428"/>
      <c r="DI53" s="428"/>
      <c r="DJ53" s="428"/>
      <c r="DK53" s="428"/>
      <c r="DL53" s="428"/>
      <c r="DM53" s="428"/>
      <c r="DN53" s="428"/>
      <c r="DO53" s="428"/>
      <c r="DP53" s="428"/>
    </row>
    <row r="54" spans="1:126" s="290" customFormat="1" ht="15.75" customHeight="1" x14ac:dyDescent="0.2">
      <c r="A54" s="236"/>
      <c r="B54" s="288" t="s">
        <v>50</v>
      </c>
      <c r="C54" s="289"/>
      <c r="D54" s="243"/>
      <c r="F54" s="291"/>
      <c r="G54" s="236"/>
      <c r="H54" s="236"/>
      <c r="J54" s="292"/>
      <c r="K54" s="292"/>
      <c r="L54" s="292"/>
      <c r="M54" s="292"/>
      <c r="N54" s="243"/>
      <c r="O54" s="293"/>
      <c r="P54" s="293"/>
      <c r="Q54" s="293"/>
      <c r="R54" s="293"/>
      <c r="T54" s="451" t="s">
        <v>51</v>
      </c>
      <c r="U54" s="451"/>
      <c r="V54" s="451"/>
      <c r="W54" s="451"/>
      <c r="X54" s="451"/>
      <c r="Y54" s="451"/>
      <c r="Z54" s="451"/>
      <c r="AA54" s="451"/>
      <c r="AB54" s="451"/>
      <c r="AC54" s="451"/>
      <c r="AD54" s="451"/>
      <c r="AE54" s="451"/>
      <c r="AF54" s="451"/>
      <c r="AG54" s="451"/>
      <c r="AH54" s="451"/>
      <c r="AI54" s="451"/>
      <c r="AJ54" s="451"/>
      <c r="AK54" s="451"/>
      <c r="AL54" s="451"/>
      <c r="AM54" s="451"/>
      <c r="AN54" s="451"/>
      <c r="AO54" s="451"/>
      <c r="AP54" s="451"/>
      <c r="AQ54" s="451"/>
      <c r="AR54" s="451"/>
      <c r="AS54" s="451"/>
      <c r="AT54" s="451"/>
      <c r="AU54" s="451"/>
      <c r="AV54" s="451"/>
      <c r="AW54" s="451"/>
      <c r="AX54" s="451"/>
      <c r="AY54" s="451"/>
      <c r="AZ54" s="451"/>
      <c r="BA54" s="451"/>
      <c r="BB54" s="451"/>
      <c r="BC54" s="451"/>
      <c r="BD54" s="451"/>
      <c r="BE54" s="451"/>
      <c r="BF54" s="451"/>
      <c r="BG54" s="451"/>
      <c r="BH54" s="451"/>
      <c r="BI54" s="451"/>
      <c r="BJ54" s="296"/>
      <c r="BK54" s="296"/>
      <c r="BL54" s="296"/>
      <c r="BM54" s="296"/>
      <c r="BN54" s="296"/>
      <c r="BO54" s="296"/>
      <c r="BP54" s="296"/>
      <c r="BQ54" s="296"/>
      <c r="BR54" s="296"/>
      <c r="BS54" s="296"/>
      <c r="BT54" s="296"/>
      <c r="BU54" s="296"/>
      <c r="BV54" s="296"/>
      <c r="BW54" s="296"/>
      <c r="BX54" s="296"/>
      <c r="BY54" s="296"/>
    </row>
    <row r="55" spans="1:126" s="290" customFormat="1" ht="15.75" customHeight="1" x14ac:dyDescent="0.2">
      <c r="A55" s="236"/>
      <c r="B55" s="288" t="s">
        <v>52</v>
      </c>
      <c r="C55" s="289"/>
      <c r="D55" s="243"/>
      <c r="F55" s="291"/>
      <c r="G55" s="236"/>
      <c r="H55" s="236"/>
      <c r="J55" s="236"/>
      <c r="K55" s="236"/>
      <c r="L55" s="236"/>
      <c r="M55" s="236"/>
      <c r="N55" s="243"/>
      <c r="O55" s="243"/>
      <c r="P55" s="236"/>
      <c r="Q55" s="236"/>
      <c r="R55" s="236"/>
      <c r="T55" s="451"/>
      <c r="U55" s="451"/>
      <c r="V55" s="451"/>
      <c r="W55" s="451"/>
      <c r="X55" s="451"/>
      <c r="Y55" s="451"/>
      <c r="Z55" s="451"/>
      <c r="AA55" s="451"/>
      <c r="AB55" s="451"/>
      <c r="AC55" s="451"/>
      <c r="AD55" s="451"/>
      <c r="AE55" s="451"/>
      <c r="AF55" s="451"/>
      <c r="AG55" s="451"/>
      <c r="AH55" s="451"/>
      <c r="AI55" s="451"/>
      <c r="AJ55" s="451"/>
      <c r="AK55" s="451"/>
      <c r="AL55" s="451"/>
      <c r="AM55" s="451"/>
      <c r="AN55" s="451"/>
      <c r="AO55" s="451"/>
      <c r="AP55" s="451"/>
      <c r="AQ55" s="451"/>
      <c r="AR55" s="451"/>
      <c r="AS55" s="451"/>
      <c r="AT55" s="451"/>
      <c r="AU55" s="451"/>
      <c r="AV55" s="451"/>
      <c r="AW55" s="451"/>
      <c r="AX55" s="451"/>
      <c r="AY55" s="451"/>
      <c r="AZ55" s="451"/>
      <c r="BA55" s="451"/>
      <c r="BB55" s="451"/>
      <c r="BC55" s="451"/>
      <c r="BD55" s="451"/>
      <c r="BE55" s="451"/>
      <c r="BF55" s="451"/>
      <c r="BG55" s="451"/>
      <c r="BH55" s="451"/>
      <c r="BI55" s="451"/>
      <c r="BJ55" s="296"/>
      <c r="BK55" s="296"/>
      <c r="BL55" s="296"/>
      <c r="BM55" s="296"/>
      <c r="BN55" s="296"/>
      <c r="BO55" s="296"/>
      <c r="BP55" s="296"/>
      <c r="BQ55" s="296"/>
      <c r="BR55" s="296"/>
      <c r="BS55" s="296"/>
      <c r="BT55" s="296"/>
      <c r="BU55" s="296"/>
      <c r="BV55" s="296"/>
      <c r="BW55" s="296"/>
      <c r="BX55" s="296"/>
      <c r="BY55" s="296"/>
    </row>
    <row r="56" spans="1:126" s="236" customFormat="1" ht="12.75" customHeight="1" x14ac:dyDescent="0.2">
      <c r="B56" s="288" t="s">
        <v>54</v>
      </c>
      <c r="D56" s="243"/>
      <c r="N56" s="243"/>
      <c r="O56" s="243"/>
      <c r="T56" s="452" t="s">
        <v>90</v>
      </c>
      <c r="U56" s="452"/>
      <c r="V56" s="452"/>
      <c r="W56" s="452"/>
      <c r="X56" s="452"/>
      <c r="Y56" s="452"/>
      <c r="Z56" s="452"/>
      <c r="AA56" s="452"/>
      <c r="AB56" s="452"/>
      <c r="AC56" s="452"/>
      <c r="AD56" s="452"/>
      <c r="AE56" s="452"/>
      <c r="AF56" s="452"/>
      <c r="AG56" s="452"/>
      <c r="AH56" s="452"/>
      <c r="AI56" s="452"/>
      <c r="AJ56" s="452"/>
      <c r="AK56" s="452"/>
      <c r="AL56" s="452"/>
      <c r="AM56" s="452"/>
      <c r="AN56" s="452"/>
      <c r="AO56" s="452"/>
      <c r="AP56" s="452"/>
      <c r="AQ56" s="452"/>
      <c r="AR56" s="452"/>
      <c r="AS56" s="452"/>
      <c r="AT56" s="452"/>
      <c r="AU56" s="452"/>
      <c r="AV56" s="452"/>
      <c r="AW56" s="452"/>
      <c r="AX56" s="452"/>
      <c r="AY56" s="452"/>
      <c r="AZ56" s="452"/>
      <c r="BA56" s="452"/>
      <c r="BB56" s="452"/>
      <c r="BC56" s="452"/>
      <c r="BD56" s="452"/>
      <c r="BE56" s="452"/>
      <c r="BF56" s="452"/>
      <c r="BG56" s="452"/>
      <c r="BH56" s="452"/>
      <c r="BI56" s="452"/>
      <c r="BJ56" s="253"/>
      <c r="BK56" s="253"/>
      <c r="BL56" s="253"/>
      <c r="BM56" s="253"/>
      <c r="BN56" s="253"/>
      <c r="BO56" s="253"/>
      <c r="BP56" s="253"/>
      <c r="BQ56" s="253"/>
      <c r="BR56" s="253"/>
      <c r="BS56" s="253"/>
      <c r="BT56" s="253"/>
      <c r="BU56" s="253"/>
      <c r="BV56" s="253"/>
      <c r="BW56" s="253"/>
      <c r="BX56" s="253"/>
      <c r="BY56" s="253"/>
    </row>
    <row r="57" spans="1:126" s="290" customFormat="1" ht="0.75" customHeight="1" x14ac:dyDescent="0.25">
      <c r="A57" s="236"/>
      <c r="C57" s="289"/>
      <c r="D57" s="243"/>
      <c r="F57" s="291"/>
      <c r="G57" s="236"/>
      <c r="H57" s="236"/>
      <c r="J57" s="236"/>
      <c r="K57" s="236"/>
      <c r="L57" s="236"/>
      <c r="M57" s="236"/>
      <c r="N57" s="243"/>
      <c r="O57" s="243"/>
      <c r="P57" s="236"/>
      <c r="Q57" s="236"/>
      <c r="R57" s="236"/>
      <c r="T57" s="294"/>
    </row>
    <row r="58" spans="1:126" s="236" customFormat="1" ht="18.75" customHeight="1" x14ac:dyDescent="0.25">
      <c r="B58" s="251"/>
      <c r="D58" s="243"/>
      <c r="F58" s="285"/>
      <c r="N58" s="243"/>
      <c r="O58" s="243"/>
      <c r="T58" s="444" t="s">
        <v>100</v>
      </c>
      <c r="U58" s="444"/>
      <c r="V58" s="444"/>
      <c r="W58" s="444"/>
      <c r="X58" s="444"/>
      <c r="Y58" s="444"/>
      <c r="Z58" s="444"/>
      <c r="AA58" s="444"/>
      <c r="AB58" s="444"/>
      <c r="AC58" s="444"/>
      <c r="AD58" s="444"/>
      <c r="AE58" s="444"/>
      <c r="AF58" s="444"/>
      <c r="AG58" s="444"/>
      <c r="AH58" s="444"/>
      <c r="AI58" s="444"/>
      <c r="AJ58" s="444"/>
      <c r="AK58" s="444"/>
      <c r="AL58" s="444"/>
      <c r="AM58" s="444"/>
      <c r="AN58" s="444"/>
      <c r="AO58" s="444"/>
      <c r="AP58" s="444"/>
      <c r="AQ58" s="444"/>
      <c r="AR58" s="444"/>
      <c r="AS58" s="444"/>
      <c r="AT58" s="444"/>
      <c r="AU58" s="444"/>
      <c r="AV58" s="444"/>
      <c r="AW58" s="444"/>
      <c r="AX58" s="444"/>
      <c r="AY58" s="444"/>
      <c r="AZ58" s="444"/>
      <c r="BA58" s="444"/>
      <c r="BB58" s="444"/>
      <c r="BC58" s="444"/>
      <c r="BD58" s="444"/>
      <c r="BE58" s="444"/>
      <c r="BF58" s="444"/>
      <c r="BG58" s="444"/>
      <c r="BH58" s="444"/>
      <c r="BI58" s="444"/>
    </row>
  </sheetData>
  <mergeCells count="30">
    <mergeCell ref="AW16:AX16"/>
    <mergeCell ref="AY16:BA16"/>
    <mergeCell ref="T58:BI58"/>
    <mergeCell ref="T53:BI53"/>
    <mergeCell ref="T54:BI54"/>
    <mergeCell ref="T55:BI55"/>
    <mergeCell ref="T56:BI56"/>
    <mergeCell ref="N16:O16"/>
    <mergeCell ref="R16:T16"/>
    <mergeCell ref="AU16:AV16"/>
    <mergeCell ref="B1:N1"/>
    <mergeCell ref="O1:BA1"/>
    <mergeCell ref="B2:N2"/>
    <mergeCell ref="O2:BA2"/>
    <mergeCell ref="O3:BA3"/>
    <mergeCell ref="B4:BI4"/>
    <mergeCell ref="B13:B14"/>
    <mergeCell ref="D13:D14"/>
    <mergeCell ref="E13:E14"/>
    <mergeCell ref="N13:O14"/>
    <mergeCell ref="R13:T14"/>
    <mergeCell ref="U13:U14"/>
    <mergeCell ref="AU13:BA13"/>
    <mergeCell ref="BH13:BH14"/>
    <mergeCell ref="BI13:BI14"/>
    <mergeCell ref="AU14:AV14"/>
    <mergeCell ref="AW14:AX14"/>
    <mergeCell ref="AY14:BA14"/>
    <mergeCell ref="BC13:BC14"/>
    <mergeCell ref="BD13:BD14"/>
  </mergeCells>
  <conditionalFormatting sqref="BJ6:BJ9">
    <cfRule type="cellIs" dxfId="1" priority="1" stopIfTrue="1" operator="between">
      <formula>"720"</formula>
      <formula>"720"</formula>
    </cfRule>
    <cfRule type="cellIs" dxfId="0" priority="2" stopIfTrue="1" operator="between">
      <formula>"660"</formula>
      <formula>"660"</formula>
    </cfRule>
  </conditionalFormatting>
  <pageMargins left="0.45" right="0.2" top="0.25" bottom="0.2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 nang luong thang 01.02.2016</vt:lpstr>
      <vt:lpstr>DS nang PCTN NG thang 01.02.201</vt:lpstr>
      <vt:lpstr>'DS nang luong thang 01.02.2016'!Print_Titles</vt:lpstr>
      <vt:lpstr>'DS nang PCTN NG thang 01.02.201'!Print_Titles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HVHC</dc:creator>
  <cp:lastModifiedBy>HVHC</cp:lastModifiedBy>
  <cp:lastPrinted>2015-08-04T08:35:00Z</cp:lastPrinted>
  <dcterms:created xsi:type="dcterms:W3CDTF">2015-03-03T06:48:17Z</dcterms:created>
  <dcterms:modified xsi:type="dcterms:W3CDTF">2016-01-27T02:58:40Z</dcterms:modified>
</cp:coreProperties>
</file>