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35" windowWidth="20115" windowHeight="7125" activeTab="1"/>
  </bookViews>
  <sheets>
    <sheet name="DS nang luong thang 4.2016" sheetId="1" r:id="rId1"/>
    <sheet name="DS nang PCTN NG thang 4.2016" sheetId="2" r:id="rId2"/>
  </sheets>
  <externalReferences>
    <externalReference r:id="rId3"/>
  </externalReferences>
  <definedNames>
    <definedName name="_xlnm.Print_Titles" localSheetId="0">'DS nang luong thang 4.2016'!$13:$15</definedName>
    <definedName name="_xlnm.Print_Titles" localSheetId="1">'DS nang PCTN NG thang 4.2016'!$13:$16</definedName>
  </definedNames>
  <calcPr calcId="144525"/>
</workbook>
</file>

<file path=xl/calcChain.xml><?xml version="1.0" encoding="utf-8"?>
<calcChain xmlns="http://schemas.openxmlformats.org/spreadsheetml/2006/main">
  <c r="DM24" i="2" l="1"/>
  <c r="DN24" i="2" s="1"/>
  <c r="CW24" i="2"/>
  <c r="CR24" i="2"/>
  <c r="CS24" i="2" s="1"/>
  <c r="CQ24" i="2"/>
  <c r="CP24" i="2"/>
  <c r="CN24" i="2"/>
  <c r="CH24" i="2"/>
  <c r="CG24" i="2"/>
  <c r="CF24" i="2"/>
  <c r="DV24" i="2" s="1"/>
  <c r="BZ24" i="2"/>
  <c r="BU24" i="2"/>
  <c r="BO24" i="2"/>
  <c r="BL24" i="2"/>
  <c r="BH24" i="2"/>
  <c r="BG24" i="2"/>
  <c r="BF24" i="2"/>
  <c r="AW24" i="2"/>
  <c r="AT24" i="2"/>
  <c r="AR24" i="2"/>
  <c r="DU24" i="2" s="1"/>
  <c r="AQ24" i="2"/>
  <c r="AN24" i="2"/>
  <c r="AB24" i="2"/>
  <c r="AA24" i="2"/>
  <c r="V24" i="2"/>
  <c r="S24" i="2"/>
  <c r="T24" i="2" s="1"/>
  <c r="BT24" i="2" s="1"/>
  <c r="Q24" i="2"/>
  <c r="P24" i="2"/>
  <c r="M24" i="2"/>
  <c r="K24" i="2" s="1"/>
  <c r="C24" i="2"/>
  <c r="DM23" i="2"/>
  <c r="DN23" i="2" s="1"/>
  <c r="CW23" i="2"/>
  <c r="CR23" i="2"/>
  <c r="CS23" i="2" s="1"/>
  <c r="CQ23" i="2"/>
  <c r="CP23" i="2"/>
  <c r="CH23" i="2" s="1"/>
  <c r="CN23" i="2"/>
  <c r="CG23" i="2"/>
  <c r="CL23" i="2" s="1"/>
  <c r="BZ23" i="2"/>
  <c r="BU23" i="2"/>
  <c r="BO23" i="2"/>
  <c r="BL23" i="2"/>
  <c r="BH23" i="2"/>
  <c r="BF23" i="2"/>
  <c r="AW23" i="2"/>
  <c r="AT23" i="2"/>
  <c r="AR23" i="2"/>
  <c r="AQ23" i="2"/>
  <c r="AA23" i="2" s="1"/>
  <c r="AN23" i="2"/>
  <c r="AB23" i="2"/>
  <c r="Z23" i="2"/>
  <c r="V23" i="2"/>
  <c r="S23" i="2"/>
  <c r="Q23" i="2"/>
  <c r="P23" i="2"/>
  <c r="M23" i="2"/>
  <c r="K23" i="2" s="1"/>
  <c r="C23" i="2"/>
  <c r="DM22" i="2"/>
  <c r="DN22" i="2" s="1"/>
  <c r="CW22" i="2"/>
  <c r="CS22" i="2"/>
  <c r="CR22" i="2"/>
  <c r="CV22" i="2" s="1"/>
  <c r="CQ22" i="2"/>
  <c r="CF22" i="2" s="1"/>
  <c r="BG22" i="2" s="1"/>
  <c r="CP22" i="2"/>
  <c r="CN22" i="2"/>
  <c r="CH22" i="2"/>
  <c r="CG22" i="2"/>
  <c r="CK22" i="2" s="1"/>
  <c r="BZ22" i="2"/>
  <c r="BU22" i="2"/>
  <c r="BO22" i="2"/>
  <c r="BL22" i="2"/>
  <c r="BH22" i="2"/>
  <c r="BF22" i="2"/>
  <c r="AW22" i="2"/>
  <c r="AT22" i="2"/>
  <c r="AR22" i="2"/>
  <c r="DU22" i="2" s="1"/>
  <c r="AQ22" i="2"/>
  <c r="AN22" i="2"/>
  <c r="AB22" i="2"/>
  <c r="V22" i="2"/>
  <c r="S22" i="2"/>
  <c r="T22" i="2" s="1"/>
  <c r="BT22" i="2" s="1"/>
  <c r="Q22" i="2"/>
  <c r="P22" i="2"/>
  <c r="M22" i="2"/>
  <c r="C22" i="2"/>
  <c r="DM21" i="2"/>
  <c r="DN21" i="2" s="1"/>
  <c r="CW21" i="2"/>
  <c r="CR21" i="2"/>
  <c r="CS21" i="2" s="1"/>
  <c r="CQ21" i="2"/>
  <c r="CP21" i="2"/>
  <c r="CH21" i="2" s="1"/>
  <c r="CN21" i="2"/>
  <c r="CG21" i="2"/>
  <c r="CL21" i="2" s="1"/>
  <c r="BZ21" i="2"/>
  <c r="BU21" i="2"/>
  <c r="BO21" i="2"/>
  <c r="BL21" i="2"/>
  <c r="BH21" i="2"/>
  <c r="BF21" i="2"/>
  <c r="AW21" i="2"/>
  <c r="AT21" i="2"/>
  <c r="AR21" i="2"/>
  <c r="DU21" i="2" s="1"/>
  <c r="AQ21" i="2"/>
  <c r="AN21" i="2"/>
  <c r="AB21" i="2"/>
  <c r="Z21" i="2"/>
  <c r="V21" i="2"/>
  <c r="T21" i="2"/>
  <c r="BT21" i="2" s="1"/>
  <c r="S21" i="2"/>
  <c r="Q21" i="2"/>
  <c r="P21" i="2"/>
  <c r="M21" i="2"/>
  <c r="C21" i="2"/>
  <c r="DN20" i="2"/>
  <c r="DM20" i="2"/>
  <c r="CW20" i="2"/>
  <c r="CR20" i="2"/>
  <c r="CV20" i="2" s="1"/>
  <c r="CQ20" i="2"/>
  <c r="CP20" i="2"/>
  <c r="CN20" i="2"/>
  <c r="CH20" i="2"/>
  <c r="CL20" i="2" s="1"/>
  <c r="CG20" i="2"/>
  <c r="CK20" i="2" s="1"/>
  <c r="CF20" i="2"/>
  <c r="BZ20" i="2"/>
  <c r="BU20" i="2"/>
  <c r="BO20" i="2"/>
  <c r="BL20" i="2"/>
  <c r="BH20" i="2"/>
  <c r="BG20" i="2"/>
  <c r="BF20" i="2"/>
  <c r="AW20" i="2"/>
  <c r="AT20" i="2"/>
  <c r="AR20" i="2"/>
  <c r="DU20" i="2" s="1"/>
  <c r="AQ20" i="2"/>
  <c r="AN20" i="2"/>
  <c r="AB20" i="2"/>
  <c r="AA20" i="2"/>
  <c r="V20" i="2"/>
  <c r="S20" i="2"/>
  <c r="T20" i="2" s="1"/>
  <c r="BT20" i="2" s="1"/>
  <c r="Q20" i="2"/>
  <c r="P20" i="2"/>
  <c r="M20" i="2"/>
  <c r="K20" i="2" s="1"/>
  <c r="C20" i="2"/>
  <c r="DM19" i="2"/>
  <c r="DN19" i="2" s="1"/>
  <c r="CW19" i="2"/>
  <c r="CR19" i="2"/>
  <c r="CV19" i="2" s="1"/>
  <c r="CQ19" i="2"/>
  <c r="CP19" i="2"/>
  <c r="CH19" i="2" s="1"/>
  <c r="CN19" i="2"/>
  <c r="CG19" i="2"/>
  <c r="CK19" i="2" s="1"/>
  <c r="BZ19" i="2"/>
  <c r="BU19" i="2"/>
  <c r="BO19" i="2"/>
  <c r="BL19" i="2"/>
  <c r="BH19" i="2"/>
  <c r="BF19" i="2"/>
  <c r="AW19" i="2"/>
  <c r="AT19" i="2"/>
  <c r="AR19" i="2"/>
  <c r="DU19" i="2" s="1"/>
  <c r="AQ19" i="2"/>
  <c r="AN19" i="2"/>
  <c r="AB19" i="2"/>
  <c r="Z19" i="2"/>
  <c r="AM19" i="2" s="1"/>
  <c r="V19" i="2"/>
  <c r="S19" i="2"/>
  <c r="T19" i="2" s="1"/>
  <c r="BT19" i="2" s="1"/>
  <c r="Q19" i="2"/>
  <c r="P19" i="2"/>
  <c r="M19" i="2"/>
  <c r="C19" i="2"/>
  <c r="DM18" i="2"/>
  <c r="DN18" i="2" s="1"/>
  <c r="CW18" i="2"/>
  <c r="CR18" i="2"/>
  <c r="CS18" i="2" s="1"/>
  <c r="CQ18" i="2"/>
  <c r="CP18" i="2"/>
  <c r="CH18" i="2" s="1"/>
  <c r="CN18" i="2"/>
  <c r="CG18" i="2"/>
  <c r="CL18" i="2" s="1"/>
  <c r="BZ18" i="2"/>
  <c r="BU18" i="2"/>
  <c r="BO18" i="2"/>
  <c r="BL18" i="2"/>
  <c r="BH18" i="2"/>
  <c r="BF18" i="2"/>
  <c r="AW18" i="2"/>
  <c r="AT18" i="2"/>
  <c r="AR18" i="2"/>
  <c r="Z18" i="2" s="1"/>
  <c r="AE18" i="2" s="1"/>
  <c r="AQ18" i="2"/>
  <c r="AN18" i="2"/>
  <c r="AB18" i="2"/>
  <c r="AA18" i="2"/>
  <c r="V18" i="2"/>
  <c r="S18" i="2"/>
  <c r="T18" i="2" s="1"/>
  <c r="BT18" i="2" s="1"/>
  <c r="Q18" i="2"/>
  <c r="P18" i="2"/>
  <c r="M18" i="2"/>
  <c r="C18" i="2"/>
  <c r="DM17" i="2"/>
  <c r="DN17" i="2" s="1"/>
  <c r="CW17" i="2"/>
  <c r="CS17" i="2"/>
  <c r="CR17" i="2"/>
  <c r="CV17" i="2" s="1"/>
  <c r="CQ17" i="2"/>
  <c r="CF17" i="2" s="1"/>
  <c r="CP17" i="2"/>
  <c r="CN17" i="2"/>
  <c r="CH17" i="2"/>
  <c r="CG17" i="2"/>
  <c r="CK17" i="2" s="1"/>
  <c r="BZ17" i="2"/>
  <c r="BU17" i="2"/>
  <c r="BO17" i="2"/>
  <c r="BL17" i="2"/>
  <c r="BH17" i="2"/>
  <c r="BF17" i="2"/>
  <c r="AW17" i="2"/>
  <c r="AT17" i="2"/>
  <c r="AR17" i="2"/>
  <c r="AQ17" i="2"/>
  <c r="AA17" i="2" s="1"/>
  <c r="AN17" i="2"/>
  <c r="AB17" i="2"/>
  <c r="V17" i="2"/>
  <c r="S17" i="2"/>
  <c r="Q17" i="2"/>
  <c r="P17" i="2"/>
  <c r="M17" i="2"/>
  <c r="C17" i="2"/>
  <c r="DN24" i="1"/>
  <c r="DM24" i="1"/>
  <c r="CS24" i="1"/>
  <c r="CR24" i="1"/>
  <c r="CV24" i="1" s="1"/>
  <c r="CQ24" i="1"/>
  <c r="CF24" i="1" s="1"/>
  <c r="DV24" i="1" s="1"/>
  <c r="CP24" i="1"/>
  <c r="CN24" i="1"/>
  <c r="CH24" i="1"/>
  <c r="CG24" i="1"/>
  <c r="CK24" i="1" s="1"/>
  <c r="BZ24" i="1"/>
  <c r="BV24" i="1"/>
  <c r="BU24" i="1"/>
  <c r="CX24" i="1" s="1"/>
  <c r="BO24" i="1"/>
  <c r="BL24" i="1"/>
  <c r="BH24" i="1"/>
  <c r="BF24" i="1"/>
  <c r="AW24" i="1"/>
  <c r="AT24" i="1"/>
  <c r="AR24" i="1"/>
  <c r="AQ24" i="1"/>
  <c r="AA24" i="1" s="1"/>
  <c r="AN24" i="1"/>
  <c r="AB24" i="1"/>
  <c r="Z24" i="1"/>
  <c r="AM24" i="1" s="1"/>
  <c r="V24" i="1"/>
  <c r="S24" i="1"/>
  <c r="Q24" i="1"/>
  <c r="P24" i="1"/>
  <c r="M24" i="1"/>
  <c r="C24" i="1"/>
  <c r="DM23" i="1"/>
  <c r="DN23" i="1" s="1"/>
  <c r="CW23" i="1"/>
  <c r="CR23" i="1"/>
  <c r="CS23" i="1" s="1"/>
  <c r="CQ23" i="1"/>
  <c r="CP23" i="1"/>
  <c r="CN23" i="1"/>
  <c r="CH23" i="1"/>
  <c r="CG23" i="1"/>
  <c r="CF23" i="1"/>
  <c r="DV23" i="1" s="1"/>
  <c r="BZ23" i="1"/>
  <c r="BU23" i="1"/>
  <c r="BO23" i="1"/>
  <c r="BL23" i="1"/>
  <c r="BH23" i="1"/>
  <c r="BG23" i="1"/>
  <c r="BF23" i="1"/>
  <c r="AW23" i="1"/>
  <c r="AT23" i="1"/>
  <c r="AR23" i="1"/>
  <c r="DU23" i="1" s="1"/>
  <c r="AQ23" i="1"/>
  <c r="AN23" i="1"/>
  <c r="AB23" i="1"/>
  <c r="AA23" i="1"/>
  <c r="V23" i="1"/>
  <c r="S23" i="1"/>
  <c r="Q23" i="1"/>
  <c r="P23" i="1"/>
  <c r="M23" i="1"/>
  <c r="C23" i="1"/>
  <c r="DM22" i="1"/>
  <c r="DN22" i="1" s="1"/>
  <c r="CW22" i="1"/>
  <c r="CR22" i="1"/>
  <c r="CV22" i="1" s="1"/>
  <c r="CQ22" i="1"/>
  <c r="CP22" i="1"/>
  <c r="CH22" i="1" s="1"/>
  <c r="CN22" i="1"/>
  <c r="CG22" i="1"/>
  <c r="CK22" i="1" s="1"/>
  <c r="BZ22" i="1"/>
  <c r="BU22" i="1"/>
  <c r="BO22" i="1"/>
  <c r="BL22" i="1"/>
  <c r="BH22" i="1"/>
  <c r="BF22" i="1"/>
  <c r="AW22" i="1"/>
  <c r="AT22" i="1"/>
  <c r="AR22" i="1"/>
  <c r="AQ22" i="1"/>
  <c r="AA22" i="1" s="1"/>
  <c r="AN22" i="1"/>
  <c r="AB22" i="1"/>
  <c r="Z22" i="1"/>
  <c r="AM22" i="1" s="1"/>
  <c r="V22" i="1"/>
  <c r="S22" i="1"/>
  <c r="Q22" i="1"/>
  <c r="P22" i="1"/>
  <c r="M22" i="1"/>
  <c r="K22" i="1" s="1"/>
  <c r="C22" i="1"/>
  <c r="DM21" i="1"/>
  <c r="DN21" i="1" s="1"/>
  <c r="CW21" i="1"/>
  <c r="CR21" i="1"/>
  <c r="CV21" i="1" s="1"/>
  <c r="CQ21" i="1"/>
  <c r="CP21" i="1"/>
  <c r="CH21" i="1" s="1"/>
  <c r="CN21" i="1"/>
  <c r="CG21" i="1"/>
  <c r="CK21" i="1" s="1"/>
  <c r="BZ21" i="1"/>
  <c r="BU21" i="1"/>
  <c r="BO21" i="1"/>
  <c r="BL21" i="1"/>
  <c r="BH21" i="1"/>
  <c r="BF21" i="1"/>
  <c r="AW21" i="1"/>
  <c r="AT21" i="1"/>
  <c r="AR21" i="1"/>
  <c r="AQ21" i="1"/>
  <c r="AA21" i="1" s="1"/>
  <c r="AN21" i="1"/>
  <c r="AB21" i="1"/>
  <c r="Z21" i="1"/>
  <c r="AM21" i="1" s="1"/>
  <c r="V21" i="1"/>
  <c r="S21" i="1"/>
  <c r="Q21" i="1"/>
  <c r="P21" i="1"/>
  <c r="M21" i="1"/>
  <c r="K21" i="1" s="1"/>
  <c r="C21" i="1"/>
  <c r="DM20" i="1"/>
  <c r="DN20" i="1" s="1"/>
  <c r="CW20" i="1"/>
  <c r="CR20" i="1"/>
  <c r="CV20" i="1" s="1"/>
  <c r="CQ20" i="1"/>
  <c r="CP20" i="1"/>
  <c r="CH20" i="1" s="1"/>
  <c r="CN20" i="1"/>
  <c r="CG20" i="1"/>
  <c r="CK20" i="1" s="1"/>
  <c r="BZ20" i="1"/>
  <c r="BU20" i="1"/>
  <c r="BO20" i="1"/>
  <c r="BL20" i="1"/>
  <c r="BH20" i="1"/>
  <c r="BF20" i="1"/>
  <c r="AW20" i="1"/>
  <c r="AT20" i="1"/>
  <c r="AR20" i="1"/>
  <c r="AQ20" i="1"/>
  <c r="AA20" i="1" s="1"/>
  <c r="AN20" i="1"/>
  <c r="AB20" i="1"/>
  <c r="Z20" i="1"/>
  <c r="AM20" i="1" s="1"/>
  <c r="V20" i="1"/>
  <c r="S20" i="1"/>
  <c r="Q20" i="1"/>
  <c r="P20" i="1"/>
  <c r="M20" i="1"/>
  <c r="K20" i="1" s="1"/>
  <c r="C20" i="1"/>
  <c r="DM19" i="1"/>
  <c r="DN19" i="1" s="1"/>
  <c r="CW19" i="1"/>
  <c r="CR19" i="1"/>
  <c r="CV19" i="1" s="1"/>
  <c r="CQ19" i="1"/>
  <c r="CP19" i="1"/>
  <c r="CH19" i="1" s="1"/>
  <c r="CN19" i="1"/>
  <c r="CG19" i="1"/>
  <c r="CK19" i="1" s="1"/>
  <c r="BZ19" i="1"/>
  <c r="BU19" i="1"/>
  <c r="BO19" i="1"/>
  <c r="BL19" i="1"/>
  <c r="BH19" i="1"/>
  <c r="BF19" i="1"/>
  <c r="AW19" i="1"/>
  <c r="AT19" i="1"/>
  <c r="AR19" i="1"/>
  <c r="AQ19" i="1"/>
  <c r="AA19" i="1" s="1"/>
  <c r="AN19" i="1"/>
  <c r="AB19" i="1"/>
  <c r="Z19" i="1"/>
  <c r="AM19" i="1" s="1"/>
  <c r="V19" i="1"/>
  <c r="S19" i="1"/>
  <c r="T19" i="1" s="1"/>
  <c r="BT19" i="1" s="1"/>
  <c r="Q19" i="1"/>
  <c r="P19" i="1"/>
  <c r="M19" i="1"/>
  <c r="C19" i="1"/>
  <c r="DM18" i="1"/>
  <c r="DN18" i="1" s="1"/>
  <c r="CW18" i="1"/>
  <c r="CR18" i="1"/>
  <c r="CV18" i="1" s="1"/>
  <c r="CQ18" i="1"/>
  <c r="CP18" i="1"/>
  <c r="CH18" i="1" s="1"/>
  <c r="CN18" i="1"/>
  <c r="CG18" i="1"/>
  <c r="CK18" i="1" s="1"/>
  <c r="BZ18" i="1"/>
  <c r="BU18" i="1"/>
  <c r="BO18" i="1"/>
  <c r="BL18" i="1"/>
  <c r="BH18" i="1"/>
  <c r="BF18" i="1"/>
  <c r="AW18" i="1"/>
  <c r="AT18" i="1"/>
  <c r="AR18" i="1"/>
  <c r="AQ18" i="1"/>
  <c r="AA18" i="1" s="1"/>
  <c r="AN18" i="1"/>
  <c r="AB18" i="1"/>
  <c r="Z18" i="1"/>
  <c r="AM18" i="1" s="1"/>
  <c r="V18" i="1"/>
  <c r="S18" i="1"/>
  <c r="T18" i="1" s="1"/>
  <c r="BT18" i="1" s="1"/>
  <c r="Q18" i="1"/>
  <c r="P18" i="1"/>
  <c r="M18" i="1"/>
  <c r="C18" i="1"/>
  <c r="DM17" i="1"/>
  <c r="DN17" i="1" s="1"/>
  <c r="CW17" i="1"/>
  <c r="CS17" i="1"/>
  <c r="CR17" i="1"/>
  <c r="CV17" i="1" s="1"/>
  <c r="CQ17" i="1"/>
  <c r="CF17" i="1" s="1"/>
  <c r="CP17" i="1"/>
  <c r="CN17" i="1"/>
  <c r="CH17" i="1"/>
  <c r="CG17" i="1"/>
  <c r="CK17" i="1" s="1"/>
  <c r="BZ17" i="1"/>
  <c r="BU17" i="1"/>
  <c r="BO17" i="1"/>
  <c r="BL17" i="1"/>
  <c r="BH17" i="1"/>
  <c r="BF17" i="1"/>
  <c r="AW17" i="1"/>
  <c r="AT17" i="1"/>
  <c r="AR17" i="1"/>
  <c r="AQ17" i="1"/>
  <c r="AA17" i="1" s="1"/>
  <c r="AN17" i="1"/>
  <c r="AB17" i="1"/>
  <c r="V17" i="1"/>
  <c r="S17" i="1"/>
  <c r="Q17" i="1"/>
  <c r="P17" i="1"/>
  <c r="M17" i="1"/>
  <c r="K17" i="1" s="1"/>
  <c r="C17" i="1"/>
  <c r="DM16" i="1"/>
  <c r="DN16" i="1" s="1"/>
  <c r="CW16" i="1"/>
  <c r="CS16" i="1"/>
  <c r="CR16" i="1"/>
  <c r="CV16" i="1" s="1"/>
  <c r="CQ16" i="1"/>
  <c r="CF16" i="1" s="1"/>
  <c r="CP16" i="1"/>
  <c r="CN16" i="1"/>
  <c r="CH16" i="1"/>
  <c r="CG16" i="1"/>
  <c r="CK16" i="1" s="1"/>
  <c r="BZ16" i="1"/>
  <c r="BU16" i="1"/>
  <c r="BO16" i="1"/>
  <c r="BL16" i="1"/>
  <c r="BH16" i="1"/>
  <c r="BF16" i="1"/>
  <c r="AW16" i="1"/>
  <c r="AT16" i="1"/>
  <c r="AR16" i="1"/>
  <c r="AQ16" i="1"/>
  <c r="AA16" i="1" s="1"/>
  <c r="AN16" i="1"/>
  <c r="AB16" i="1"/>
  <c r="V16" i="1"/>
  <c r="S16" i="1"/>
  <c r="Q16" i="1"/>
  <c r="P16" i="1"/>
  <c r="M16" i="1"/>
  <c r="C16" i="1"/>
  <c r="DV17" i="2" l="1"/>
  <c r="BG17" i="2"/>
  <c r="AE21" i="2"/>
  <c r="AA22" i="2"/>
  <c r="T17" i="2"/>
  <c r="BT17" i="2" s="1"/>
  <c r="DU17" i="2"/>
  <c r="CL17" i="2"/>
  <c r="AA19" i="2"/>
  <c r="CS20" i="2"/>
  <c r="AA21" i="2"/>
  <c r="Z24" i="2"/>
  <c r="AM24" i="2" s="1"/>
  <c r="CM24" i="2" s="1"/>
  <c r="CE24" i="2" s="1"/>
  <c r="CL24" i="2"/>
  <c r="CL22" i="2"/>
  <c r="T23" i="2"/>
  <c r="BT23" i="2" s="1"/>
  <c r="AE23" i="2"/>
  <c r="DU23" i="2"/>
  <c r="Z17" i="2"/>
  <c r="CI17" i="2"/>
  <c r="CJ17" i="2" s="1"/>
  <c r="Y18" i="2"/>
  <c r="AC18" i="2"/>
  <c r="AM18" i="2"/>
  <c r="AD18" i="2"/>
  <c r="DU18" i="2"/>
  <c r="W19" i="2"/>
  <c r="BN19" i="2"/>
  <c r="BM19" i="2" s="1"/>
  <c r="CI18" i="2"/>
  <c r="CJ18" i="2" s="1"/>
  <c r="CK18" i="2"/>
  <c r="CV18" i="2"/>
  <c r="Y19" i="2"/>
  <c r="AC19" i="2"/>
  <c r="AE19" i="2"/>
  <c r="CF19" i="2"/>
  <c r="CL19" i="2"/>
  <c r="CS19" i="2"/>
  <c r="DV20" i="2"/>
  <c r="AD21" i="2"/>
  <c r="AM21" i="2"/>
  <c r="CI21" i="2"/>
  <c r="CJ21" i="2" s="1"/>
  <c r="CK21" i="2"/>
  <c r="CV21" i="2"/>
  <c r="DV22" i="2"/>
  <c r="AD23" i="2"/>
  <c r="AM23" i="2"/>
  <c r="CI23" i="2"/>
  <c r="CJ23" i="2" s="1"/>
  <c r="CK23" i="2"/>
  <c r="CV23" i="2"/>
  <c r="AD24" i="2"/>
  <c r="CI24" i="2"/>
  <c r="CJ24" i="2" s="1"/>
  <c r="CK24" i="2"/>
  <c r="CV24" i="2"/>
  <c r="CF18" i="2"/>
  <c r="AD19" i="2"/>
  <c r="CI19" i="2"/>
  <c r="CJ19" i="2" s="1"/>
  <c r="Z20" i="2"/>
  <c r="CI20" i="2"/>
  <c r="CJ20" i="2" s="1"/>
  <c r="Y21" i="2"/>
  <c r="AC21" i="2"/>
  <c r="CF21" i="2"/>
  <c r="Z22" i="2"/>
  <c r="CI22" i="2"/>
  <c r="CJ22" i="2" s="1"/>
  <c r="AC23" i="2"/>
  <c r="CF23" i="2"/>
  <c r="AC24" i="2"/>
  <c r="DV17" i="1"/>
  <c r="BG17" i="1"/>
  <c r="DV16" i="1"/>
  <c r="BG16" i="1"/>
  <c r="T16" i="1"/>
  <c r="BT16" i="1" s="1"/>
  <c r="DU16" i="1"/>
  <c r="CL16" i="1"/>
  <c r="T17" i="1"/>
  <c r="BT17" i="1" s="1"/>
  <c r="DU17" i="1"/>
  <c r="CL17" i="1"/>
  <c r="DU19" i="1"/>
  <c r="T20" i="1"/>
  <c r="BT20" i="1" s="1"/>
  <c r="DU20" i="1"/>
  <c r="T21" i="1"/>
  <c r="BT21" i="1" s="1"/>
  <c r="DU21" i="1"/>
  <c r="T22" i="1"/>
  <c r="BT22" i="1" s="1"/>
  <c r="DU22" i="1"/>
  <c r="T23" i="1"/>
  <c r="BT23" i="1" s="1"/>
  <c r="Z23" i="1"/>
  <c r="AE23" i="1" s="1"/>
  <c r="CL23" i="1"/>
  <c r="T24" i="1"/>
  <c r="BT24" i="1" s="1"/>
  <c r="DU24" i="1"/>
  <c r="CL24" i="1"/>
  <c r="W18" i="1"/>
  <c r="BN18" i="1"/>
  <c r="BM18" i="1" s="1"/>
  <c r="Z16" i="1"/>
  <c r="CI16" i="1"/>
  <c r="CJ16" i="1" s="1"/>
  <c r="Z17" i="1"/>
  <c r="CI17" i="1"/>
  <c r="CJ17" i="1" s="1"/>
  <c r="Y18" i="1"/>
  <c r="AC18" i="1"/>
  <c r="AE18" i="1"/>
  <c r="DU18" i="1"/>
  <c r="CF18" i="1"/>
  <c r="CL18" i="1"/>
  <c r="CS18" i="1"/>
  <c r="W19" i="1"/>
  <c r="BN19" i="1"/>
  <c r="BM19" i="1" s="1"/>
  <c r="W20" i="1"/>
  <c r="BN20" i="1"/>
  <c r="W21" i="1"/>
  <c r="BN21" i="1"/>
  <c r="BM21" i="1" s="1"/>
  <c r="W22" i="1"/>
  <c r="BN22" i="1"/>
  <c r="W24" i="1"/>
  <c r="BN24" i="1"/>
  <c r="BM24" i="1" s="1"/>
  <c r="AD18" i="1"/>
  <c r="CI18" i="1"/>
  <c r="CJ18" i="1" s="1"/>
  <c r="BM20" i="1"/>
  <c r="BM22" i="1"/>
  <c r="Y19" i="1"/>
  <c r="AC19" i="1"/>
  <c r="AE19" i="1"/>
  <c r="CF19" i="1"/>
  <c r="CL19" i="1"/>
  <c r="CS19" i="1"/>
  <c r="Y20" i="1"/>
  <c r="AC20" i="1"/>
  <c r="AE20" i="1"/>
  <c r="CF20" i="1"/>
  <c r="CL20" i="1"/>
  <c r="CS20" i="1"/>
  <c r="Y21" i="1"/>
  <c r="AC21" i="1"/>
  <c r="AE21" i="1"/>
  <c r="CF21" i="1"/>
  <c r="CL21" i="1"/>
  <c r="CS21" i="1"/>
  <c r="Y22" i="1"/>
  <c r="AC22" i="1"/>
  <c r="AE22" i="1"/>
  <c r="CF22" i="1"/>
  <c r="CL22" i="1"/>
  <c r="CS22" i="1"/>
  <c r="AM23" i="1"/>
  <c r="CI23" i="1"/>
  <c r="CJ23" i="1" s="1"/>
  <c r="CK23" i="1"/>
  <c r="CM23" i="1"/>
  <c r="CV23" i="1"/>
  <c r="Y24" i="1"/>
  <c r="AC24" i="1"/>
  <c r="AE24" i="1"/>
  <c r="BG24" i="1"/>
  <c r="CI24" i="1"/>
  <c r="CJ24" i="1" s="1"/>
  <c r="CM24" i="1"/>
  <c r="CE24" i="1" s="1"/>
  <c r="AD19" i="1"/>
  <c r="CI19" i="1"/>
  <c r="CJ19" i="1" s="1"/>
  <c r="AD20" i="1"/>
  <c r="CI20" i="1"/>
  <c r="CJ20" i="1" s="1"/>
  <c r="AD21" i="1"/>
  <c r="CI21" i="1"/>
  <c r="CJ21" i="1" s="1"/>
  <c r="AD22" i="1"/>
  <c r="CI22" i="1"/>
  <c r="CJ22" i="1" s="1"/>
  <c r="Y23" i="1"/>
  <c r="AC23" i="1"/>
  <c r="AD24" i="1"/>
  <c r="AE24" i="2" l="1"/>
  <c r="Y24" i="2"/>
  <c r="DV23" i="2"/>
  <c r="BG23" i="2"/>
  <c r="CM23" i="2"/>
  <c r="CE23" i="2" s="1"/>
  <c r="AM22" i="2"/>
  <c r="AD22" i="2"/>
  <c r="AE22" i="2"/>
  <c r="AC22" i="2"/>
  <c r="Y22" i="2"/>
  <c r="AM20" i="2"/>
  <c r="AD20" i="2"/>
  <c r="AE20" i="2"/>
  <c r="AC20" i="2"/>
  <c r="Y20" i="2"/>
  <c r="BN23" i="2"/>
  <c r="BM23" i="2" s="1"/>
  <c r="W23" i="2"/>
  <c r="BN21" i="2"/>
  <c r="BM21" i="2" s="1"/>
  <c r="W21" i="2"/>
  <c r="DV21" i="2"/>
  <c r="BG21" i="2"/>
  <c r="CM21" i="2"/>
  <c r="DV18" i="2"/>
  <c r="BG18" i="2"/>
  <c r="CM18" i="2"/>
  <c r="CE18" i="2" s="1"/>
  <c r="BN24" i="2"/>
  <c r="BM24" i="2" s="1"/>
  <c r="W24" i="2"/>
  <c r="CM19" i="2"/>
  <c r="DV19" i="2"/>
  <c r="BG19" i="2"/>
  <c r="BN18" i="2"/>
  <c r="BM18" i="2" s="1"/>
  <c r="W18" i="2"/>
  <c r="AE17" i="2"/>
  <c r="AC17" i="2"/>
  <c r="Y17" i="2"/>
  <c r="AM17" i="2"/>
  <c r="AD17" i="2"/>
  <c r="CE23" i="1"/>
  <c r="AD23" i="1"/>
  <c r="BN23" i="1"/>
  <c r="BM23" i="1" s="1"/>
  <c r="W23" i="1"/>
  <c r="CM22" i="1"/>
  <c r="DV22" i="1"/>
  <c r="BG22" i="1"/>
  <c r="CM21" i="1"/>
  <c r="DV21" i="1"/>
  <c r="BG21" i="1"/>
  <c r="CM20" i="1"/>
  <c r="CE20" i="1" s="1"/>
  <c r="DV20" i="1"/>
  <c r="BG20" i="1"/>
  <c r="CM19" i="1"/>
  <c r="DV19" i="1"/>
  <c r="BG19" i="1"/>
  <c r="CM18" i="1"/>
  <c r="DV18" i="1"/>
  <c r="BG18" i="1"/>
  <c r="AE17" i="1"/>
  <c r="AC17" i="1"/>
  <c r="Y17" i="1"/>
  <c r="AM17" i="1"/>
  <c r="AD17" i="1"/>
  <c r="Y16" i="1"/>
  <c r="AM16" i="1"/>
  <c r="AD16" i="1"/>
  <c r="AE16" i="1"/>
  <c r="AC16" i="1"/>
  <c r="CE19" i="2" l="1"/>
  <c r="CE21" i="2"/>
  <c r="BN17" i="2"/>
  <c r="BM17" i="2" s="1"/>
  <c r="W17" i="2"/>
  <c r="CM17" i="2"/>
  <c r="CE17" i="2" s="1"/>
  <c r="BN20" i="2"/>
  <c r="BM20" i="2" s="1"/>
  <c r="W20" i="2"/>
  <c r="CM20" i="2"/>
  <c r="CE20" i="2" s="1"/>
  <c r="BN22" i="2"/>
  <c r="BM22" i="2" s="1"/>
  <c r="W22" i="2"/>
  <c r="CM22" i="2"/>
  <c r="CE22" i="2" s="1"/>
  <c r="CE22" i="1"/>
  <c r="CE19" i="1"/>
  <c r="CE21" i="1"/>
  <c r="CE18" i="1"/>
  <c r="BN17" i="1"/>
  <c r="BM17" i="1" s="1"/>
  <c r="W17" i="1"/>
  <c r="CM17" i="1"/>
  <c r="CE17" i="1" s="1"/>
  <c r="BN16" i="1"/>
  <c r="BM16" i="1" s="1"/>
  <c r="CM16" i="1"/>
  <c r="CE16" i="1" s="1"/>
  <c r="W16" i="1"/>
  <c r="E5" i="2" l="1"/>
  <c r="DU14" i="1"/>
  <c r="DM14" i="1"/>
  <c r="DN14" i="1" s="1"/>
  <c r="CW14" i="1"/>
  <c r="CR14" i="1"/>
  <c r="CS14" i="1" s="1"/>
  <c r="CQ14" i="1"/>
  <c r="CP14" i="1"/>
  <c r="CH14" i="1" s="1"/>
  <c r="CN14" i="1"/>
  <c r="CG14" i="1"/>
  <c r="CL14" i="1" s="1"/>
  <c r="BZ14" i="1"/>
  <c r="BU14" i="1"/>
  <c r="BT14" i="1"/>
  <c r="BO14" i="1"/>
  <c r="BL14" i="1"/>
  <c r="DU12" i="1"/>
  <c r="DM12" i="1"/>
  <c r="DN12" i="1" s="1"/>
  <c r="CW12" i="1"/>
  <c r="CR12" i="1"/>
  <c r="CV12" i="1" s="1"/>
  <c r="CQ12" i="1"/>
  <c r="CP12" i="1"/>
  <c r="CN12" i="1"/>
  <c r="CH12" i="1"/>
  <c r="CG12" i="1"/>
  <c r="CK12" i="1" s="1"/>
  <c r="BZ12" i="1"/>
  <c r="BU12" i="1"/>
  <c r="BT12" i="1"/>
  <c r="BO12" i="1"/>
  <c r="BL12" i="1"/>
  <c r="E6" i="1"/>
  <c r="CF12" i="1" l="1"/>
  <c r="DV12" i="1" s="1"/>
  <c r="CS12" i="1"/>
  <c r="CL12" i="1"/>
  <c r="CI14" i="1"/>
  <c r="CJ14" i="1" s="1"/>
  <c r="CK14" i="1"/>
  <c r="CV14" i="1"/>
  <c r="CI12" i="1"/>
  <c r="CJ12" i="1" s="1"/>
  <c r="CF14" i="1"/>
  <c r="DV14" i="1" l="1"/>
  <c r="BN12" i="1" l="1"/>
  <c r="BM12" i="1" s="1"/>
  <c r="CM12" i="1"/>
  <c r="CE12" i="1" s="1"/>
  <c r="BN14" i="1"/>
  <c r="BM14" i="1" s="1"/>
  <c r="CM14" i="1"/>
  <c r="CE14" i="1" s="1"/>
</calcChain>
</file>

<file path=xl/sharedStrings.xml><?xml version="1.0" encoding="utf-8"?>
<sst xmlns="http://schemas.openxmlformats.org/spreadsheetml/2006/main" count="599" uniqueCount="179">
  <si>
    <t xml:space="preserve"> HỌC VIỆN HÀNH CHÍNH QUỐC GIA</t>
  </si>
  <si>
    <t>CỘNG HÒA XÃ HỘI CHỦ NGHĨA VIỆT NAM</t>
  </si>
  <si>
    <t>BAN TỔ CHỨC - CÁN BỘ</t>
  </si>
  <si>
    <t>Độc lập - Tự do - Hạnh phúc</t>
  </si>
  <si>
    <t>Tổng số:</t>
  </si>
  <si>
    <t>trường hợp</t>
  </si>
  <si>
    <t xml:space="preserve">           </t>
  </si>
  <si>
    <t>Tổng số CC, VC và NLĐ:</t>
  </si>
  <si>
    <t>công chức, viên chức</t>
  </si>
  <si>
    <t>01</t>
  </si>
  <si>
    <t>/</t>
  </si>
  <si>
    <t>7</t>
  </si>
  <si>
    <t>SỐ
TT</t>
  </si>
  <si>
    <t>HỌ TÊN</t>
  </si>
  <si>
    <t>GIỚI TÍNH</t>
  </si>
  <si>
    <t>ĐƠN VỊ</t>
  </si>
  <si>
    <t>NGẠCH/
CHỨC DANH NGHỀ NGHIỆP
VÀ MÃ SỐ</t>
  </si>
  <si>
    <t>NGẠCH</t>
  </si>
  <si>
    <t>MÃ SỐ NGẠCH</t>
  </si>
  <si>
    <t>ĐỦ ĐIỀU KIỆN, TIÊU CHUẨN NÂNG LƯƠNG</t>
  </si>
  <si>
    <t>GHI CHÚ</t>
  </si>
  <si>
    <t>Ghi 
chú</t>
  </si>
  <si>
    <t>GHI 
CHÚ</t>
  </si>
  <si>
    <t>Từ 
bậc</t>
  </si>
  <si>
    <t xml:space="preserve">Hệ số </t>
  </si>
  <si>
    <t>Lên 
bậc</t>
  </si>
  <si>
    <t>Hệ 
số</t>
  </si>
  <si>
    <t>Kể 
từ ngày</t>
  </si>
  <si>
    <t>lao động hợp đồng</t>
  </si>
  <si>
    <t>Bộ môn Khoa học hành chính,</t>
  </si>
  <si>
    <t>8</t>
  </si>
  <si>
    <t>2011</t>
  </si>
  <si>
    <t>Nữ</t>
  </si>
  <si>
    <t>Khoa Văn bản và Công nghệ hành chính</t>
  </si>
  <si>
    <t>Chức danh nghề nghiệp</t>
  </si>
  <si>
    <t>Giảng viên (hạng III)</t>
  </si>
  <si>
    <t>V.07.01.03</t>
  </si>
  <si>
    <t>02</t>
  </si>
  <si>
    <t>%</t>
  </si>
  <si>
    <t>Nam</t>
  </si>
  <si>
    <t>11</t>
  </si>
  <si>
    <t>Ngạch</t>
  </si>
  <si>
    <t>12</t>
  </si>
  <si>
    <t>người lao động</t>
  </si>
  <si>
    <t>17</t>
  </si>
  <si>
    <t>Giảng viên chính (hạng II)</t>
  </si>
  <si>
    <t>10</t>
  </si>
  <si>
    <t xml:space="preserve">Nơi nhận: </t>
  </si>
  <si>
    <t>KT. TRƯỞNG BAN</t>
  </si>
  <si>
    <t>- Các cơ sở, phân viện thuộc Học viện;</t>
  </si>
  <si>
    <t xml:space="preserve">PHÓ TRƯỞNG BAN </t>
  </si>
  <si>
    <t>- Trung tâm THHC&amp;CNTT (để đăng Website Học viện);</t>
  </si>
  <si>
    <t>(Đã ký)</t>
  </si>
  <si>
    <t>- Lưu: TC-CB.</t>
  </si>
  <si>
    <r>
      <t xml:space="preserve"> </t>
    </r>
    <r>
      <rPr>
        <b/>
        <sz val="11"/>
        <rFont val="Arial Narrow"/>
        <family val="2"/>
      </rPr>
      <t xml:space="preserve">* </t>
    </r>
    <r>
      <rPr>
        <b/>
        <u/>
        <sz val="11"/>
        <rFont val="Arial Narrow"/>
        <family val="2"/>
      </rPr>
      <t>Lưu ý:</t>
    </r>
    <r>
      <rPr>
        <b/>
        <sz val="11"/>
        <rFont val="Arial Narrow"/>
        <family val="2"/>
      </rPr>
      <t xml:space="preserve">   </t>
    </r>
    <r>
      <rPr>
        <sz val="11"/>
        <rFont val="Arial Narrow"/>
        <family val="2"/>
      </rPr>
      <t xml:space="preserve">- Danh sách này thay cho thông báo, được công khai trên bảng tin nhà A tại trụ sở Học viện ở Hà Nội, bảng tin tại các cơ sở, phân viện thuộc Học viện </t>
    </r>
  </si>
  <si>
    <t xml:space="preserve"> </t>
  </si>
  <si>
    <t xml:space="preserve">Tổng số: </t>
  </si>
  <si>
    <t>nhà giáo</t>
  </si>
  <si>
    <t>Tháng</t>
  </si>
  <si>
    <r>
      <t xml:space="preserve">* </t>
    </r>
    <r>
      <rPr>
        <b/>
        <u/>
        <sz val="11"/>
        <rFont val="Arial Narrow"/>
        <family val="2"/>
      </rPr>
      <t>Lưu ý:</t>
    </r>
    <r>
      <rPr>
        <sz val="11"/>
        <rFont val="Arial Narrow"/>
        <family val="2"/>
      </rPr>
      <t xml:space="preserve"> - Danh sách này thay cho thông báo, được công khai trên bảng tin nhà A tại trụ sở Học viện ở Hà Nội, bảng tin tại các  cơ sở, </t>
    </r>
  </si>
  <si>
    <t xml:space="preserve">                 phân viện thuộc Học viện và trên Website Học viện Hành chính Quốc gia;</t>
  </si>
  <si>
    <t>Tổng số nhà giáo:</t>
  </si>
  <si>
    <t>HỌ TÊN 
NHÀ GIÁO</t>
  </si>
  <si>
    <t>Ngày sinh</t>
  </si>
  <si>
    <t>ĐƠN VỊ CÔNG TÁC</t>
  </si>
  <si>
    <t>NGẠCH/ 
CHỨC DANH NGHỀ NGHIỆP
VÀ MÃ SỐ</t>
  </si>
  <si>
    <t>ĐỦ ĐIỀU KIỆN 
NÂNG PCTN</t>
  </si>
  <si>
    <t>ĐỦ ĐIỀU KIỆN NÂNG PCTN</t>
  </si>
  <si>
    <t>GHI
CHÚ</t>
  </si>
  <si>
    <t>Từ mức</t>
  </si>
  <si>
    <t>Lên mức</t>
  </si>
  <si>
    <t>Kể từ</t>
  </si>
  <si>
    <t>Thời gian Ko đc tính</t>
  </si>
  <si>
    <t>Thời gian giữ mức Pc</t>
  </si>
  <si>
    <t>Ds đủ ĐK nâng PC</t>
  </si>
  <si>
    <t>Kể từ 
tháng</t>
  </si>
  <si>
    <t>TT</t>
  </si>
  <si>
    <t>TEN</t>
  </si>
  <si>
    <t>GT</t>
  </si>
  <si>
    <t>BP</t>
  </si>
  <si>
    <t>DV</t>
  </si>
  <si>
    <t>Ma Ngach</t>
  </si>
  <si>
    <t>Pc1</t>
  </si>
  <si>
    <t>Pc2</t>
  </si>
  <si>
    <t>m</t>
  </si>
  <si>
    <t>y</t>
  </si>
  <si>
    <t>1</t>
  </si>
  <si>
    <t>Giảng viên cao cấp (hạng I)</t>
  </si>
  <si>
    <t>3</t>
  </si>
  <si>
    <t xml:space="preserve">(Đã ký) </t>
  </si>
  <si>
    <t>và trên Website Học viện Hành chính Quốc gia;</t>
  </si>
  <si>
    <t>9</t>
  </si>
  <si>
    <t>GIỚITÍNH</t>
  </si>
  <si>
    <t>viên chức</t>
  </si>
  <si>
    <t>Chuyên viên</t>
  </si>
  <si>
    <t>5</t>
  </si>
  <si>
    <t>1976</t>
  </si>
  <si>
    <t>V.07.01.02</t>
  </si>
  <si>
    <t>Trưởng bộ môn</t>
  </si>
  <si>
    <t>Khoa Hành chính học</t>
  </si>
  <si>
    <t>13</t>
  </si>
  <si>
    <t>Khoa Quản lý nhà nước về Kinh tế</t>
  </si>
  <si>
    <t>Phó Trưởng khoa</t>
  </si>
  <si>
    <t>Khoa Tổ chức và Quản lý nhân sự</t>
  </si>
  <si>
    <t>21</t>
  </si>
  <si>
    <t>03</t>
  </si>
  <si>
    <t>Phó Trưởng bộ môn</t>
  </si>
  <si>
    <t>PGS</t>
  </si>
  <si>
    <t>Cơ sở Học viện Hành chính Quốc gia tại Thành phố Hồ Chí Minh</t>
  </si>
  <si>
    <t>4</t>
  </si>
  <si>
    <t>14</t>
  </si>
  <si>
    <t>1961</t>
  </si>
  <si>
    <t>2012</t>
  </si>
  <si>
    <t>6</t>
  </si>
  <si>
    <t>1969</t>
  </si>
  <si>
    <t>04</t>
  </si>
  <si>
    <t>Bộ môn Tổ chức nhân sự,</t>
  </si>
  <si>
    <t>Ban Tổ chức - Cán bộ</t>
  </si>
  <si>
    <t>1970</t>
  </si>
  <si>
    <t>Bộ môn Lý luận chung quản lý nhà nước về Kinh tế,</t>
  </si>
  <si>
    <t>Trùng tên</t>
  </si>
  <si>
    <t>Nguyễn Tiến Dũng</t>
  </si>
  <si>
    <t>Phòng Đào tạo đại học,</t>
  </si>
  <si>
    <t>Ban Đào tạo</t>
  </si>
  <si>
    <t>Lê Hoàng Anh</t>
  </si>
  <si>
    <t>28</t>
  </si>
  <si>
    <t>Phó Trưởng phòng</t>
  </si>
  <si>
    <t>Phòng Bộ máy, Biên chế và Bảo vệ chính trị nội bộ,</t>
  </si>
  <si>
    <t>01.003</t>
  </si>
  <si>
    <t>Lê Thị Hương</t>
  </si>
  <si>
    <t>Lê Thị Hương 83</t>
  </si>
  <si>
    <t xml:space="preserve">Nguyễn Thị Bích Lệ </t>
  </si>
  <si>
    <t>1987</t>
  </si>
  <si>
    <t>Bộ môn Thanh tra,</t>
  </si>
  <si>
    <t>Khoa Nhà nước và Pháp luật</t>
  </si>
  <si>
    <t>Giáo viên trung học cơ sở chính</t>
  </si>
  <si>
    <t>Đỗ Thị Kim Tiên</t>
  </si>
  <si>
    <t>06</t>
  </si>
  <si>
    <t>1972</t>
  </si>
  <si>
    <t>Tạ Thị Hương</t>
  </si>
  <si>
    <t>20</t>
  </si>
  <si>
    <t>Bộ môn Dân số - Lao động - Bảo trợ xã hội,</t>
  </si>
  <si>
    <t>Khoa Quản lý nhà nước về Xã hội</t>
  </si>
  <si>
    <t>Nguyễn Thị Thanh Thủy</t>
  </si>
  <si>
    <t>Bùi Thị Hường</t>
  </si>
  <si>
    <t>Thư viện,</t>
  </si>
  <si>
    <t>Trung tâm Tin học - Thư viện</t>
  </si>
  <si>
    <t>Thư viện viên</t>
  </si>
  <si>
    <t>Lê Thị Thu Thủy</t>
  </si>
  <si>
    <t>30</t>
  </si>
  <si>
    <t>Trung tâm Tin học hành chính và Công nghệ thông tin</t>
  </si>
  <si>
    <t>Tiếp HV:-2013</t>
  </si>
  <si>
    <r>
      <t xml:space="preserve">DANH SÁCH CÔNG CHỨC, VIÊN CHỨC VÀ NGƯỜI LAO ĐỘNG THUỘC HỌC VIỆN HÀNH CHÍNH QUỐC GIA TẠI HÀ NỘI
ĐỦ ĐIỀU KIỆN, TIÊU CHUẨN NÂNG LƯƠNG TRONG THÁNG 4 NĂM </t>
    </r>
    <r>
      <rPr>
        <b/>
        <sz val="12"/>
        <color indexed="12"/>
        <rFont val="Arial Narrow"/>
        <family val="2"/>
      </rPr>
      <t>2016</t>
    </r>
  </si>
  <si>
    <t>Hà Nội, ngày 05 tháng 4 năm 2016</t>
  </si>
  <si>
    <r>
      <t xml:space="preserve">          - Các ý kiến thắc mắc liên quan (nếu có), đề nghị phản hồi tới Ban Tổ chức - Cán bộ trước ngày</t>
    </r>
    <r>
      <rPr>
        <b/>
        <sz val="11"/>
        <rFont val="Arial Narrow"/>
        <family val="2"/>
      </rPr>
      <t xml:space="preserve"> </t>
    </r>
    <r>
      <rPr>
        <b/>
        <sz val="11"/>
        <color indexed="12"/>
        <rFont val="Arial Narrow"/>
        <family val="2"/>
      </rPr>
      <t xml:space="preserve"> 12/4/2016</t>
    </r>
  </si>
  <si>
    <t>ThS. Nguyễn Tiến Hiệp</t>
  </si>
  <si>
    <t>Nguyễn Thị Phượng</t>
  </si>
  <si>
    <t>Trần Thị Cúc</t>
  </si>
  <si>
    <t>1955</t>
  </si>
  <si>
    <t>Nguyễn Tất Thịnh</t>
  </si>
  <si>
    <t>Vũ Trọng Hách</t>
  </si>
  <si>
    <t>27</t>
  </si>
  <si>
    <t>1957</t>
  </si>
  <si>
    <t>Đặng Thị Minh</t>
  </si>
  <si>
    <t>1975</t>
  </si>
  <si>
    <t>Bộ môn Văn hóa - Giáo dục - Y tế,</t>
  </si>
  <si>
    <t>Nguyễn Thanh Hương</t>
  </si>
  <si>
    <t>Bộ môn Văn bản hành chính,</t>
  </si>
  <si>
    <t>2009</t>
  </si>
  <si>
    <t>Phòng Đào tạo, bồi dưỡng theo chức danh,</t>
  </si>
  <si>
    <t>Trần Trọng Đức</t>
  </si>
  <si>
    <t>Bộ môn Quản lý nhà nước về Xã hội,</t>
  </si>
  <si>
    <t xml:space="preserve">         </t>
  </si>
  <si>
    <t>Hà Quang Thanh</t>
  </si>
  <si>
    <t>Bộ môn Văn bản và Công nghệ hành chính,</t>
  </si>
  <si>
    <r>
      <t>DANH SÁCH NHÀ GIÁO THUỘC HỌC VIỆN HÀNH CHÍNH QUỐC GIA ĐỦ ĐIỀU KIỆN NÂNG PHỤ CẤP THÂM NIÊN TRONG THÁNG 4</t>
    </r>
    <r>
      <rPr>
        <b/>
        <sz val="12"/>
        <color indexed="12"/>
        <rFont val="Arial Narrow"/>
        <family val="2"/>
      </rPr>
      <t xml:space="preserve"> NĂM 2016</t>
    </r>
  </si>
  <si>
    <r>
      <t xml:space="preserve">                - Các ý kiến thắc mắc liên quan (nếu có), đề nghị phản hồi tới Ban Tổ chức - Cán bộ trước ngày</t>
    </r>
    <r>
      <rPr>
        <b/>
        <sz val="11"/>
        <rFont val="Arial Narrow"/>
        <family val="2"/>
      </rPr>
      <t xml:space="preserve"> 12/4</t>
    </r>
    <r>
      <rPr>
        <b/>
        <sz val="11"/>
        <color indexed="12"/>
        <rFont val="Arial Narrow"/>
        <family val="2"/>
      </rPr>
      <t>/2016</t>
    </r>
  </si>
  <si>
    <t>(người tiếp nhận: Vũ Thị Hồng Diệp, ĐT: 0438 359 295/ 01687.02.55.99).</t>
  </si>
  <si>
    <t xml:space="preserve">                  (người tiếp nhận: Vũ Thị Hồng Diệp, ĐT: 0438 359 295/ 01687.02.55.99).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</si>
</sst>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9" x14ac:knownFonts="1">
    <font>
      <sz val="11"/>
      <color theme="1"/>
      <name val="Calibri"/>
      <family val="2"/>
      <scheme val="minor"/>
    </font>
    <font>
      <b/>
      <sz val="11"/>
      <name val="Arial Narrow"/>
      <family val="2"/>
    </font>
    <font>
      <sz val="11"/>
      <name val="Arial Narrow"/>
      <family val="2"/>
    </font>
    <font>
      <b/>
      <sz val="12"/>
      <name val="Arial Narrow"/>
      <family val="2"/>
    </font>
    <font>
      <i/>
      <sz val="12"/>
      <name val="Arial Narrow"/>
      <family val="2"/>
    </font>
    <font>
      <i/>
      <sz val="11"/>
      <color indexed="12"/>
      <name val="Arial Narrow"/>
      <family val="2"/>
    </font>
    <font>
      <b/>
      <sz val="12"/>
      <color indexed="12"/>
      <name val="Arial Narrow"/>
      <family val="2"/>
    </font>
    <font>
      <sz val="12"/>
      <name val="Arial Narrow"/>
      <family val="2"/>
    </font>
    <font>
      <sz val="14"/>
      <color indexed="8"/>
      <name val="Times New Roman"/>
      <family val="1"/>
    </font>
    <font>
      <b/>
      <sz val="11"/>
      <color indexed="12"/>
      <name val="Arial Narrow"/>
      <family val="2"/>
    </font>
    <font>
      <b/>
      <sz val="11"/>
      <color indexed="8"/>
      <name val="Arial Narrow"/>
      <family val="2"/>
    </font>
    <font>
      <b/>
      <sz val="11"/>
      <color indexed="13"/>
      <name val="Arial Narrow"/>
      <family val="2"/>
    </font>
    <font>
      <b/>
      <sz val="11"/>
      <color indexed="58"/>
      <name val="Arial Narrow"/>
      <family val="2"/>
    </font>
    <font>
      <b/>
      <sz val="11"/>
      <color indexed="16"/>
      <name val="Arial Narrow"/>
      <family val="2"/>
    </font>
    <font>
      <b/>
      <sz val="10"/>
      <name val="Arial Narrow"/>
      <family val="2"/>
    </font>
    <font>
      <b/>
      <u/>
      <sz val="11"/>
      <name val="Arial Narrow"/>
      <family val="2"/>
    </font>
    <font>
      <sz val="11"/>
      <color indexed="12"/>
      <name val="Arial Narrow"/>
      <family val="2"/>
    </font>
    <font>
      <sz val="11"/>
      <color indexed="8"/>
      <name val="Arial Narrow"/>
      <family val="2"/>
    </font>
    <font>
      <sz val="11"/>
      <color indexed="13"/>
      <name val="Arial Narrow"/>
      <family val="2"/>
    </font>
    <font>
      <sz val="11"/>
      <color indexed="58"/>
      <name val="Arial Narrow"/>
      <family val="2"/>
    </font>
    <font>
      <sz val="11"/>
      <color indexed="16"/>
      <name val="Arial Narrow"/>
      <family val="2"/>
    </font>
    <font>
      <sz val="11"/>
      <color indexed="10"/>
      <name val="Arial Narrow"/>
      <family val="2"/>
    </font>
    <font>
      <b/>
      <sz val="11"/>
      <color indexed="9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1"/>
      <color indexed="10"/>
      <name val="Arial Narrow"/>
      <family val="2"/>
    </font>
    <font>
      <b/>
      <i/>
      <sz val="11"/>
      <name val="Arial Narrow"/>
      <family val="2"/>
    </font>
    <font>
      <b/>
      <sz val="12"/>
      <name val="Arial"/>
      <family val="2"/>
    </font>
    <font>
      <sz val="8"/>
      <name val="Arial Narrow"/>
      <family val="2"/>
    </font>
    <font>
      <b/>
      <sz val="12"/>
      <color indexed="8"/>
      <name val="Arial Narrow"/>
      <family val="2"/>
    </font>
    <font>
      <b/>
      <i/>
      <sz val="12"/>
      <color indexed="9"/>
      <name val="Arial Narrow"/>
      <family val="2"/>
    </font>
    <font>
      <b/>
      <sz val="13"/>
      <name val="Arial"/>
      <family val="2"/>
    </font>
    <font>
      <b/>
      <sz val="11"/>
      <color theme="0"/>
      <name val="Arial Narrow"/>
      <family val="2"/>
    </font>
    <font>
      <sz val="11"/>
      <color theme="0"/>
      <name val="Arial Narrow"/>
      <family val="2"/>
    </font>
    <font>
      <i/>
      <sz val="10"/>
      <color theme="0"/>
      <name val="Arial"/>
      <family val="2"/>
    </font>
    <font>
      <sz val="12"/>
      <color theme="0"/>
      <name val="Arial Narrow"/>
      <family val="2"/>
    </font>
    <font>
      <b/>
      <sz val="12"/>
      <color theme="0"/>
      <name val="Arial Narrow"/>
      <family val="2"/>
    </font>
    <font>
      <sz val="8"/>
      <color theme="0"/>
      <name val="Arial Narrow"/>
      <family val="2"/>
    </font>
    <font>
      <sz val="9"/>
      <color theme="0"/>
      <name val="Arial Narrow"/>
      <family val="2"/>
    </font>
    <font>
      <b/>
      <sz val="8"/>
      <color theme="0"/>
      <name val="Arial Narrow"/>
      <family val="2"/>
    </font>
    <font>
      <b/>
      <i/>
      <sz val="11"/>
      <color indexed="12"/>
      <name val="Arial Narrow"/>
      <family val="2"/>
    </font>
    <font>
      <b/>
      <i/>
      <sz val="12"/>
      <name val="Arial"/>
      <family val="2"/>
    </font>
    <font>
      <sz val="10"/>
      <name val="Arial"/>
      <family val="2"/>
    </font>
    <font>
      <b/>
      <i/>
      <sz val="12"/>
      <color rgb="FF0000FF"/>
      <name val="Arial Narrow"/>
      <family val="2"/>
    </font>
    <font>
      <sz val="11"/>
      <color theme="0"/>
      <name val="Calibri"/>
      <family val="2"/>
      <scheme val="minor"/>
    </font>
    <font>
      <sz val="10"/>
      <color theme="0"/>
      <name val="Arial Narrow"/>
      <family val="2"/>
    </font>
    <font>
      <b/>
      <sz val="13"/>
      <color theme="0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2"/>
        <bgColor indexed="64"/>
      </patternFill>
    </fill>
  </fills>
  <borders count="22">
    <border>
      <left/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99">
    <xf numFmtId="0" fontId="0" fillId="0" borderId="0" xfId="0"/>
    <xf numFmtId="0" fontId="1" fillId="2" borderId="0" xfId="0" applyNumberFormat="1" applyFont="1" applyFill="1" applyAlignment="1">
      <alignment horizontal="center" vertical="center" wrapText="1"/>
    </xf>
    <xf numFmtId="0" fontId="2" fillId="0" borderId="0" xfId="0" applyFont="1" applyAlignment="1"/>
    <xf numFmtId="49" fontId="1" fillId="2" borderId="0" xfId="0" applyNumberFormat="1" applyFont="1" applyFill="1" applyBorder="1" applyAlignment="1">
      <alignment horizontal="center" vertical="center" wrapText="1"/>
    </xf>
    <xf numFmtId="2" fontId="1" fillId="2" borderId="0" xfId="0" applyNumberFormat="1" applyFont="1" applyFill="1" applyAlignment="1">
      <alignment horizontal="center" vertical="center"/>
    </xf>
    <xf numFmtId="0" fontId="1" fillId="0" borderId="0" xfId="0" applyFont="1" applyAlignment="1"/>
    <xf numFmtId="0" fontId="2" fillId="2" borderId="0" xfId="0" applyNumberFormat="1" applyFont="1" applyFill="1" applyAlignment="1">
      <alignment horizontal="center" wrapText="1"/>
    </xf>
    <xf numFmtId="0" fontId="2" fillId="2" borderId="0" xfId="0" applyNumberFormat="1" applyFont="1" applyFill="1" applyAlignment="1">
      <alignment horizontal="left" wrapText="1"/>
    </xf>
    <xf numFmtId="49" fontId="1" fillId="2" borderId="0" xfId="0" applyNumberFormat="1" applyFont="1" applyFill="1" applyBorder="1" applyAlignment="1">
      <alignment horizontal="left" wrapText="1"/>
    </xf>
    <xf numFmtId="49" fontId="1" fillId="2" borderId="0" xfId="0" applyNumberFormat="1" applyFont="1" applyFill="1" applyBorder="1" applyAlignment="1">
      <alignment horizontal="center" wrapText="1"/>
    </xf>
    <xf numFmtId="2" fontId="5" fillId="2" borderId="0" xfId="0" applyNumberFormat="1" applyFont="1" applyFill="1" applyAlignment="1"/>
    <xf numFmtId="2" fontId="2" fillId="2" borderId="0" xfId="0" applyNumberFormat="1" applyFont="1" applyFill="1" applyAlignment="1"/>
    <xf numFmtId="2" fontId="7" fillId="2" borderId="0" xfId="0" applyNumberFormat="1" applyFont="1" applyFill="1" applyAlignment="1">
      <alignment vertical="center"/>
    </xf>
    <xf numFmtId="0" fontId="7" fillId="0" borderId="0" xfId="0" applyFont="1" applyAlignment="1">
      <alignment horizontal="center" vertical="center"/>
    </xf>
    <xf numFmtId="0" fontId="8" fillId="2" borderId="0" xfId="0" applyFont="1" applyFill="1" applyAlignment="1">
      <alignment vertical="center" wrapText="1"/>
    </xf>
    <xf numFmtId="3" fontId="8" fillId="2" borderId="0" xfId="0" applyNumberFormat="1" applyFont="1" applyFill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49" fontId="7" fillId="0" borderId="0" xfId="0" applyNumberFormat="1" applyFont="1" applyAlignment="1">
      <alignment vertical="center"/>
    </xf>
    <xf numFmtId="0" fontId="7" fillId="3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1" fillId="2" borderId="0" xfId="0" applyFont="1" applyFill="1" applyBorder="1" applyAlignment="1"/>
    <xf numFmtId="0" fontId="1" fillId="2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/>
    <xf numFmtId="0" fontId="1" fillId="2" borderId="0" xfId="0" applyFont="1" applyFill="1" applyBorder="1" applyAlignment="1">
      <alignment horizontal="left"/>
    </xf>
    <xf numFmtId="0" fontId="1" fillId="0" borderId="0" xfId="0" applyFont="1" applyBorder="1" applyAlignment="1">
      <alignment horizontal="left"/>
    </xf>
    <xf numFmtId="2" fontId="9" fillId="2" borderId="0" xfId="0" applyNumberFormat="1" applyFont="1" applyFill="1" applyBorder="1" applyAlignment="1">
      <alignment horizontal="right"/>
    </xf>
    <xf numFmtId="2" fontId="9" fillId="2" borderId="0" xfId="0" applyNumberFormat="1" applyFont="1" applyFill="1" applyBorder="1" applyAlignment="1">
      <alignment horizontal="left" wrapText="1"/>
    </xf>
    <xf numFmtId="2" fontId="9" fillId="2" borderId="0" xfId="0" applyNumberFormat="1" applyFont="1" applyFill="1" applyBorder="1" applyAlignment="1">
      <alignment horizontal="center"/>
    </xf>
    <xf numFmtId="0" fontId="9" fillId="2" borderId="0" xfId="0" applyFont="1" applyFill="1" applyBorder="1" applyAlignment="1">
      <alignment horizontal="left"/>
    </xf>
    <xf numFmtId="49" fontId="9" fillId="2" borderId="0" xfId="0" applyNumberFormat="1" applyFont="1" applyFill="1" applyBorder="1" applyAlignment="1">
      <alignment horizontal="center"/>
    </xf>
    <xf numFmtId="0" fontId="1" fillId="0" borderId="0" xfId="0" applyNumberFormat="1" applyFont="1" applyBorder="1" applyAlignment="1"/>
    <xf numFmtId="0" fontId="9" fillId="0" borderId="0" xfId="0" applyNumberFormat="1" applyFont="1" applyBorder="1" applyAlignment="1"/>
    <xf numFmtId="0" fontId="9" fillId="0" borderId="0" xfId="0" applyNumberFormat="1" applyFont="1" applyBorder="1" applyAlignment="1">
      <alignment horizontal="left"/>
    </xf>
    <xf numFmtId="2" fontId="9" fillId="0" borderId="0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 horizontal="right"/>
    </xf>
    <xf numFmtId="2" fontId="9" fillId="0" borderId="0" xfId="0" applyNumberFormat="1" applyFont="1" applyBorder="1" applyAlignment="1"/>
    <xf numFmtId="1" fontId="10" fillId="0" borderId="0" xfId="0" applyNumberFormat="1" applyFont="1" applyBorder="1" applyAlignment="1">
      <alignment horizontal="center" wrapText="1"/>
    </xf>
    <xf numFmtId="0" fontId="11" fillId="2" borderId="0" xfId="0" applyNumberFormat="1" applyFont="1" applyFill="1" applyBorder="1" applyAlignment="1">
      <alignment horizontal="center"/>
    </xf>
    <xf numFmtId="49" fontId="12" fillId="0" borderId="0" xfId="0" applyNumberFormat="1" applyFont="1" applyBorder="1" applyAlignment="1"/>
    <xf numFmtId="1" fontId="1" fillId="2" borderId="0" xfId="0" applyNumberFormat="1" applyFont="1" applyFill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1" fontId="9" fillId="2" borderId="0" xfId="0" applyNumberFormat="1" applyFont="1" applyFill="1" applyBorder="1" applyAlignment="1"/>
    <xf numFmtId="2" fontId="1" fillId="0" borderId="0" xfId="0" applyNumberFormat="1" applyFont="1" applyBorder="1" applyAlignment="1"/>
    <xf numFmtId="0" fontId="9" fillId="0" borderId="0" xfId="0" applyFont="1" applyBorder="1" applyAlignment="1">
      <alignment horizontal="center"/>
    </xf>
    <xf numFmtId="2" fontId="13" fillId="2" borderId="0" xfId="0" applyNumberFormat="1" applyFont="1" applyFill="1" applyBorder="1" applyAlignment="1"/>
    <xf numFmtId="2" fontId="13" fillId="2" borderId="0" xfId="0" applyNumberFormat="1" applyFont="1" applyFill="1" applyBorder="1" applyAlignment="1">
      <alignment horizontal="right"/>
    </xf>
    <xf numFmtId="0" fontId="9" fillId="0" borderId="0" xfId="0" applyFont="1" applyBorder="1" applyAlignment="1"/>
    <xf numFmtId="0" fontId="13" fillId="0" borderId="0" xfId="0" applyFont="1" applyBorder="1" applyAlignment="1"/>
    <xf numFmtId="2" fontId="9" fillId="0" borderId="0" xfId="0" applyNumberFormat="1" applyFont="1" applyBorder="1" applyAlignment="1">
      <alignment horizontal="right"/>
    </xf>
    <xf numFmtId="1" fontId="14" fillId="2" borderId="0" xfId="0" applyNumberFormat="1" applyFont="1" applyFill="1" applyAlignment="1"/>
    <xf numFmtId="2" fontId="1" fillId="2" borderId="0" xfId="0" applyNumberFormat="1" applyFont="1" applyFill="1" applyAlignment="1"/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49" fontId="1" fillId="0" borderId="0" xfId="0" applyNumberFormat="1" applyFont="1" applyAlignment="1"/>
    <xf numFmtId="0" fontId="1" fillId="3" borderId="0" xfId="0" applyFont="1" applyFill="1" applyAlignment="1"/>
    <xf numFmtId="0" fontId="1" fillId="2" borderId="0" xfId="0" applyFont="1" applyFill="1" applyAlignment="1"/>
    <xf numFmtId="0" fontId="2" fillId="2" borderId="0" xfId="0" applyNumberFormat="1" applyFont="1" applyFill="1" applyBorder="1" applyAlignment="1">
      <alignment vertical="top"/>
    </xf>
    <xf numFmtId="0" fontId="2" fillId="0" borderId="0" xfId="0" applyNumberFormat="1" applyFont="1" applyBorder="1" applyAlignment="1">
      <alignment horizontal="left" vertical="top"/>
    </xf>
    <xf numFmtId="0" fontId="2" fillId="0" borderId="0" xfId="0" applyNumberFormat="1" applyFont="1" applyBorder="1" applyAlignment="1">
      <alignment vertical="top"/>
    </xf>
    <xf numFmtId="0" fontId="2" fillId="2" borderId="0" xfId="0" applyNumberFormat="1" applyFont="1" applyFill="1" applyBorder="1" applyAlignment="1">
      <alignment horizontal="center" vertical="top"/>
    </xf>
    <xf numFmtId="0" fontId="2" fillId="0" borderId="0" xfId="0" applyNumberFormat="1" applyFont="1" applyBorder="1" applyAlignment="1">
      <alignment horizontal="right" vertical="top"/>
    </xf>
    <xf numFmtId="0" fontId="2" fillId="2" borderId="0" xfId="0" applyNumberFormat="1" applyFont="1" applyFill="1" applyBorder="1" applyAlignment="1">
      <alignment horizontal="left" vertical="top"/>
    </xf>
    <xf numFmtId="0" fontId="16" fillId="2" borderId="0" xfId="0" applyNumberFormat="1" applyFont="1" applyFill="1" applyBorder="1" applyAlignment="1">
      <alignment horizontal="right" vertical="top"/>
    </xf>
    <xf numFmtId="0" fontId="16" fillId="2" borderId="0" xfId="0" applyNumberFormat="1" applyFont="1" applyFill="1" applyBorder="1" applyAlignment="1">
      <alignment horizontal="left" vertical="top" wrapText="1"/>
    </xf>
    <xf numFmtId="0" fontId="16" fillId="2" borderId="0" xfId="0" applyNumberFormat="1" applyFont="1" applyFill="1" applyBorder="1" applyAlignment="1">
      <alignment horizontal="center" vertical="top"/>
    </xf>
    <xf numFmtId="0" fontId="16" fillId="2" borderId="0" xfId="0" applyNumberFormat="1" applyFont="1" applyFill="1" applyBorder="1" applyAlignment="1">
      <alignment horizontal="left" vertical="top"/>
    </xf>
    <xf numFmtId="0" fontId="16" fillId="0" borderId="0" xfId="0" applyNumberFormat="1" applyFont="1" applyBorder="1" applyAlignment="1">
      <alignment vertical="top"/>
    </xf>
    <xf numFmtId="0" fontId="16" fillId="0" borderId="0" xfId="0" applyNumberFormat="1" applyFont="1" applyBorder="1" applyAlignment="1">
      <alignment horizontal="left" vertical="top"/>
    </xf>
    <xf numFmtId="0" fontId="16" fillId="0" borderId="0" xfId="0" applyNumberFormat="1" applyFont="1" applyBorder="1" applyAlignment="1">
      <alignment horizontal="center" vertical="top"/>
    </xf>
    <xf numFmtId="0" fontId="16" fillId="0" borderId="0" xfId="0" applyNumberFormat="1" applyFont="1" applyBorder="1" applyAlignment="1">
      <alignment horizontal="right" vertical="top"/>
    </xf>
    <xf numFmtId="0" fontId="2" fillId="2" borderId="0" xfId="0" applyNumberFormat="1" applyFont="1" applyFill="1" applyBorder="1" applyAlignment="1">
      <alignment horizontal="right" vertical="top"/>
    </xf>
    <xf numFmtId="0" fontId="2" fillId="2" borderId="0" xfId="0" applyNumberFormat="1" applyFont="1" applyFill="1" applyBorder="1" applyAlignment="1">
      <alignment horizontal="center" vertical="top" wrapText="1"/>
    </xf>
    <xf numFmtId="0" fontId="2" fillId="2" borderId="0" xfId="0" applyNumberFormat="1" applyFont="1" applyFill="1" applyBorder="1" applyAlignment="1">
      <alignment horizontal="left" vertical="top" wrapText="1"/>
    </xf>
    <xf numFmtId="0" fontId="17" fillId="0" borderId="0" xfId="0" applyNumberFormat="1" applyFont="1" applyBorder="1" applyAlignment="1">
      <alignment horizontal="center" vertical="top" wrapText="1"/>
    </xf>
    <xf numFmtId="0" fontId="18" fillId="2" borderId="0" xfId="0" applyNumberFormat="1" applyFont="1" applyFill="1" applyBorder="1" applyAlignment="1">
      <alignment horizontal="center" vertical="top"/>
    </xf>
    <xf numFmtId="0" fontId="19" fillId="0" borderId="0" xfId="0" applyNumberFormat="1" applyFont="1" applyBorder="1" applyAlignment="1">
      <alignment vertical="top"/>
    </xf>
    <xf numFmtId="0" fontId="1" fillId="2" borderId="0" xfId="0" applyNumberFormat="1" applyFont="1" applyFill="1" applyBorder="1" applyAlignment="1">
      <alignment horizontal="center" vertical="top"/>
    </xf>
    <xf numFmtId="0" fontId="2" fillId="0" borderId="0" xfId="0" applyNumberFormat="1" applyFont="1" applyBorder="1" applyAlignment="1">
      <alignment horizontal="center" vertical="top"/>
    </xf>
    <xf numFmtId="0" fontId="16" fillId="2" borderId="0" xfId="0" applyNumberFormat="1" applyFont="1" applyFill="1" applyBorder="1" applyAlignment="1">
      <alignment vertical="top"/>
    </xf>
    <xf numFmtId="0" fontId="9" fillId="0" borderId="0" xfId="0" applyNumberFormat="1" applyFont="1" applyBorder="1" applyAlignment="1">
      <alignment horizontal="center" vertical="top"/>
    </xf>
    <xf numFmtId="0" fontId="9" fillId="2" borderId="0" xfId="0" applyNumberFormat="1" applyFont="1" applyFill="1" applyBorder="1" applyAlignment="1">
      <alignment vertical="top"/>
    </xf>
    <xf numFmtId="0" fontId="20" fillId="2" borderId="0" xfId="0" applyNumberFormat="1" applyFont="1" applyFill="1" applyBorder="1" applyAlignment="1">
      <alignment vertical="top"/>
    </xf>
    <xf numFmtId="0" fontId="20" fillId="2" borderId="0" xfId="0" applyNumberFormat="1" applyFont="1" applyFill="1" applyBorder="1" applyAlignment="1">
      <alignment horizontal="right" vertical="top"/>
    </xf>
    <xf numFmtId="0" fontId="20" fillId="0" borderId="0" xfId="0" applyNumberFormat="1" applyFont="1" applyBorder="1" applyAlignment="1">
      <alignment vertical="top"/>
    </xf>
    <xf numFmtId="0" fontId="2" fillId="2" borderId="0" xfId="0" applyNumberFormat="1" applyFont="1" applyFill="1" applyAlignment="1">
      <alignment vertical="top"/>
    </xf>
    <xf numFmtId="0" fontId="2" fillId="0" borderId="0" xfId="0" applyNumberFormat="1" applyFont="1" applyAlignment="1">
      <alignment horizontal="center" vertical="top"/>
    </xf>
    <xf numFmtId="0" fontId="17" fillId="2" borderId="0" xfId="0" applyNumberFormat="1" applyFont="1" applyFill="1" applyAlignment="1">
      <alignment vertical="top" wrapText="1"/>
    </xf>
    <xf numFmtId="0" fontId="2" fillId="0" borderId="0" xfId="0" applyNumberFormat="1" applyFont="1" applyAlignment="1">
      <alignment vertical="top" wrapText="1"/>
    </xf>
    <xf numFmtId="0" fontId="2" fillId="0" borderId="0" xfId="0" applyNumberFormat="1" applyFont="1" applyAlignment="1">
      <alignment vertical="top"/>
    </xf>
    <xf numFmtId="0" fontId="2" fillId="3" borderId="0" xfId="0" applyNumberFormat="1" applyFont="1" applyFill="1" applyAlignment="1">
      <alignment vertical="top"/>
    </xf>
    <xf numFmtId="0" fontId="1" fillId="2" borderId="1" xfId="0" applyNumberFormat="1" applyFont="1" applyFill="1" applyBorder="1" applyAlignment="1">
      <alignment horizontal="center" vertical="top" wrapText="1"/>
    </xf>
    <xf numFmtId="0" fontId="1" fillId="2" borderId="0" xfId="0" applyNumberFormat="1" applyFont="1" applyFill="1" applyBorder="1" applyAlignment="1">
      <alignment horizontal="right" vertical="top"/>
    </xf>
    <xf numFmtId="0" fontId="1" fillId="2" borderId="0" xfId="0" applyNumberFormat="1" applyFont="1" applyFill="1" applyBorder="1" applyAlignment="1">
      <alignment horizontal="center" vertical="top" wrapText="1"/>
    </xf>
    <xf numFmtId="0" fontId="1" fillId="2" borderId="0" xfId="0" applyNumberFormat="1" applyFont="1" applyFill="1" applyBorder="1" applyAlignment="1">
      <alignment vertical="top" wrapText="1"/>
    </xf>
    <xf numFmtId="0" fontId="1" fillId="2" borderId="0" xfId="0" applyNumberFormat="1" applyFont="1" applyFill="1" applyBorder="1" applyAlignment="1">
      <alignment horizontal="left" vertical="top" wrapText="1"/>
    </xf>
    <xf numFmtId="0" fontId="2" fillId="4" borderId="2" xfId="0" applyNumberFormat="1" applyFont="1" applyFill="1" applyBorder="1" applyAlignment="1">
      <alignment horizontal="center" vertical="top" wrapText="1"/>
    </xf>
    <xf numFmtId="0" fontId="2" fillId="2" borderId="0" xfId="0" applyNumberFormat="1" applyFont="1" applyFill="1" applyBorder="1" applyAlignment="1">
      <alignment horizontal="right" vertical="top" wrapText="1"/>
    </xf>
    <xf numFmtId="0" fontId="2" fillId="2" borderId="0" xfId="0" applyNumberFormat="1" applyFont="1" applyFill="1" applyBorder="1" applyAlignment="1">
      <alignment vertical="top" wrapText="1"/>
    </xf>
    <xf numFmtId="0" fontId="2" fillId="4" borderId="0" xfId="0" applyNumberFormat="1" applyFont="1" applyFill="1" applyBorder="1" applyAlignment="1">
      <alignment horizontal="center" vertical="top"/>
    </xf>
    <xf numFmtId="0" fontId="1" fillId="5" borderId="2" xfId="0" applyNumberFormat="1" applyFont="1" applyFill="1" applyBorder="1" applyAlignment="1">
      <alignment horizontal="center" vertical="center" wrapText="1"/>
    </xf>
    <xf numFmtId="1" fontId="1" fillId="2" borderId="0" xfId="0" applyNumberFormat="1" applyFont="1" applyFill="1" applyBorder="1" applyAlignment="1">
      <alignment horizontal="right"/>
    </xf>
    <xf numFmtId="0" fontId="9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right"/>
    </xf>
    <xf numFmtId="49" fontId="1" fillId="2" borderId="0" xfId="0" applyNumberFormat="1" applyFont="1" applyFill="1" applyBorder="1" applyAlignment="1">
      <alignment horizontal="right"/>
    </xf>
    <xf numFmtId="49" fontId="1" fillId="2" borderId="0" xfId="0" applyNumberFormat="1" applyFont="1" applyFill="1" applyBorder="1" applyAlignment="1">
      <alignment horizontal="left"/>
    </xf>
    <xf numFmtId="0" fontId="1" fillId="2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1" fontId="22" fillId="0" borderId="0" xfId="0" applyNumberFormat="1" applyFont="1" applyFill="1" applyBorder="1" applyAlignment="1">
      <alignment horizontal="center" textRotation="90"/>
    </xf>
    <xf numFmtId="0" fontId="2" fillId="0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right"/>
    </xf>
    <xf numFmtId="0" fontId="1" fillId="5" borderId="0" xfId="0" applyFont="1" applyFill="1" applyAlignment="1">
      <alignment vertical="center"/>
    </xf>
    <xf numFmtId="0" fontId="2" fillId="2" borderId="3" xfId="0" applyNumberFormat="1" applyFont="1" applyFill="1" applyBorder="1" applyAlignment="1">
      <alignment horizontal="center" vertical="center" wrapText="1"/>
    </xf>
    <xf numFmtId="0" fontId="23" fillId="2" borderId="0" xfId="0" applyNumberFormat="1" applyFont="1" applyFill="1" applyAlignment="1">
      <alignment horizontal="center" vertical="center"/>
    </xf>
    <xf numFmtId="0" fontId="23" fillId="2" borderId="0" xfId="0" applyNumberFormat="1" applyFont="1" applyFill="1" applyAlignment="1">
      <alignment horizontal="left" vertical="center" wrapText="1"/>
    </xf>
    <xf numFmtId="0" fontId="23" fillId="2" borderId="0" xfId="0" applyNumberFormat="1" applyFont="1" applyFill="1" applyAlignment="1">
      <alignment horizontal="center" vertical="center" wrapText="1"/>
    </xf>
    <xf numFmtId="0" fontId="23" fillId="2" borderId="0" xfId="0" applyNumberFormat="1" applyFont="1" applyFill="1" applyAlignment="1">
      <alignment vertical="center" wrapText="1"/>
    </xf>
    <xf numFmtId="0" fontId="23" fillId="2" borderId="0" xfId="0" applyNumberFormat="1" applyFont="1" applyFill="1" applyAlignment="1">
      <alignment vertical="center"/>
    </xf>
    <xf numFmtId="1" fontId="23" fillId="2" borderId="0" xfId="0" applyNumberFormat="1" applyFont="1" applyFill="1" applyBorder="1" applyAlignment="1">
      <alignment horizontal="left" vertical="center"/>
    </xf>
    <xf numFmtId="1" fontId="23" fillId="2" borderId="0" xfId="0" applyNumberFormat="1" applyFont="1" applyFill="1" applyBorder="1" applyAlignment="1">
      <alignment horizontal="left" vertical="center" wrapText="1"/>
    </xf>
    <xf numFmtId="1" fontId="23" fillId="2" borderId="0" xfId="0" applyNumberFormat="1" applyFont="1" applyFill="1" applyBorder="1" applyAlignment="1">
      <alignment horizontal="center" vertical="center"/>
    </xf>
    <xf numFmtId="2" fontId="23" fillId="2" borderId="0" xfId="0" applyNumberFormat="1" applyFont="1" applyFill="1" applyAlignment="1">
      <alignment horizontal="left" vertical="center"/>
    </xf>
    <xf numFmtId="49" fontId="23" fillId="2" borderId="0" xfId="0" applyNumberFormat="1" applyFont="1" applyFill="1" applyBorder="1" applyAlignment="1">
      <alignment horizontal="center" vertical="center"/>
    </xf>
    <xf numFmtId="49" fontId="23" fillId="2" borderId="0" xfId="0" applyNumberFormat="1" applyFont="1" applyFill="1" applyBorder="1" applyAlignment="1">
      <alignment vertical="center"/>
    </xf>
    <xf numFmtId="2" fontId="23" fillId="2" borderId="0" xfId="0" applyNumberFormat="1" applyFont="1" applyFill="1" applyBorder="1" applyAlignment="1">
      <alignment horizontal="center" vertical="center"/>
    </xf>
    <xf numFmtId="49" fontId="23" fillId="2" borderId="0" xfId="0" applyNumberFormat="1" applyFont="1" applyFill="1" applyBorder="1" applyAlignment="1">
      <alignment horizontal="right" vertical="center"/>
    </xf>
    <xf numFmtId="49" fontId="23" fillId="2" borderId="0" xfId="0" applyNumberFormat="1" applyFont="1" applyFill="1" applyBorder="1" applyAlignment="1">
      <alignment horizontal="left" vertical="center"/>
    </xf>
    <xf numFmtId="49" fontId="23" fillId="2" borderId="0" xfId="0" applyNumberFormat="1" applyFont="1" applyFill="1" applyBorder="1" applyAlignment="1">
      <alignment horizontal="right" vertical="center" wrapText="1"/>
    </xf>
    <xf numFmtId="2" fontId="23" fillId="2" borderId="0" xfId="0" applyNumberFormat="1" applyFont="1" applyFill="1" applyBorder="1" applyAlignment="1">
      <alignment horizontal="center" vertical="center" wrapText="1"/>
    </xf>
    <xf numFmtId="0" fontId="23" fillId="2" borderId="0" xfId="0" applyNumberFormat="1" applyFont="1" applyFill="1" applyBorder="1" applyAlignment="1">
      <alignment horizontal="center" vertical="center" wrapText="1"/>
    </xf>
    <xf numFmtId="0" fontId="23" fillId="2" borderId="0" xfId="0" applyNumberFormat="1" applyFont="1" applyFill="1" applyBorder="1" applyAlignment="1">
      <alignment vertical="center" wrapText="1"/>
    </xf>
    <xf numFmtId="0" fontId="23" fillId="2" borderId="0" xfId="0" applyNumberFormat="1" applyFont="1" applyFill="1" applyBorder="1" applyAlignment="1">
      <alignment horizontal="left" vertical="center" wrapText="1"/>
    </xf>
    <xf numFmtId="1" fontId="24" fillId="2" borderId="0" xfId="0" applyNumberFormat="1" applyFont="1" applyFill="1" applyAlignment="1">
      <alignment horizontal="center" vertical="center" wrapText="1"/>
    </xf>
    <xf numFmtId="2" fontId="23" fillId="2" borderId="0" xfId="0" applyNumberFormat="1" applyFont="1" applyFill="1" applyAlignment="1">
      <alignment vertical="center"/>
    </xf>
    <xf numFmtId="2" fontId="23" fillId="2" borderId="0" xfId="0" applyNumberFormat="1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2" fillId="2" borderId="5" xfId="0" applyNumberFormat="1" applyFont="1" applyFill="1" applyBorder="1" applyAlignment="1">
      <alignment horizontal="center" vertical="center" wrapText="1"/>
    </xf>
    <xf numFmtId="0" fontId="1" fillId="2" borderId="5" xfId="0" applyNumberFormat="1" applyFont="1" applyFill="1" applyBorder="1" applyAlignment="1">
      <alignment horizontal="center" vertical="center" wrapText="1"/>
    </xf>
    <xf numFmtId="1" fontId="2" fillId="2" borderId="5" xfId="0" applyNumberFormat="1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5" xfId="0" applyNumberFormat="1" applyFont="1" applyFill="1" applyBorder="1" applyAlignment="1">
      <alignment horizontal="center" vertical="center"/>
    </xf>
    <xf numFmtId="0" fontId="2" fillId="2" borderId="5" xfId="0" applyFont="1" applyFill="1" applyBorder="1" applyAlignment="1">
      <alignment vertical="center"/>
    </xf>
    <xf numFmtId="2" fontId="2" fillId="2" borderId="5" xfId="0" applyNumberFormat="1" applyFont="1" applyFill="1" applyBorder="1" applyAlignment="1">
      <alignment horizontal="left" vertical="center"/>
    </xf>
    <xf numFmtId="1" fontId="1" fillId="2" borderId="5" xfId="0" applyNumberFormat="1" applyFont="1" applyFill="1" applyBorder="1" applyAlignment="1">
      <alignment horizontal="center" vertical="center"/>
    </xf>
    <xf numFmtId="1" fontId="2" fillId="2" borderId="5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 wrapText="1"/>
    </xf>
    <xf numFmtId="0" fontId="1" fillId="2" borderId="4" xfId="0" applyNumberFormat="1" applyFont="1" applyFill="1" applyBorder="1" applyAlignment="1">
      <alignment horizontal="center" vertical="center" wrapText="1"/>
    </xf>
    <xf numFmtId="2" fontId="1" fillId="2" borderId="4" xfId="0" applyNumberFormat="1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2" fillId="2" borderId="8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49" fontId="2" fillId="2" borderId="13" xfId="0" applyNumberFormat="1" applyFont="1" applyFill="1" applyBorder="1" applyAlignment="1">
      <alignment horizontal="center" vertical="center" wrapText="1"/>
    </xf>
    <xf numFmtId="49" fontId="2" fillId="2" borderId="14" xfId="0" applyNumberFormat="1" applyFont="1" applyFill="1" applyBorder="1" applyAlignment="1">
      <alignment horizontal="center" vertical="center" wrapText="1"/>
    </xf>
    <xf numFmtId="0" fontId="2" fillId="2" borderId="15" xfId="0" applyNumberFormat="1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right" vertical="center"/>
    </xf>
    <xf numFmtId="2" fontId="2" fillId="2" borderId="8" xfId="0" applyNumberFormat="1" applyFont="1" applyFill="1" applyBorder="1" applyAlignment="1">
      <alignment horizontal="right" vertical="center"/>
    </xf>
    <xf numFmtId="2" fontId="2" fillId="2" borderId="10" xfId="0" applyNumberFormat="1" applyFont="1" applyFill="1" applyBorder="1" applyAlignment="1">
      <alignment horizontal="center" vertical="center"/>
    </xf>
    <xf numFmtId="0" fontId="2" fillId="2" borderId="9" xfId="0" applyNumberFormat="1" applyFont="1" applyFill="1" applyBorder="1" applyAlignment="1">
      <alignment horizontal="left" vertical="center" wrapText="1"/>
    </xf>
    <xf numFmtId="2" fontId="2" fillId="2" borderId="8" xfId="0" applyNumberFormat="1" applyFont="1" applyFill="1" applyBorder="1" applyAlignment="1">
      <alignment horizontal="center" vertical="center"/>
    </xf>
    <xf numFmtId="0" fontId="2" fillId="2" borderId="8" xfId="0" applyNumberFormat="1" applyFont="1" applyFill="1" applyBorder="1" applyAlignment="1">
      <alignment vertical="center" wrapText="1"/>
    </xf>
    <xf numFmtId="0" fontId="2" fillId="2" borderId="11" xfId="0" applyNumberFormat="1" applyFont="1" applyFill="1" applyBorder="1" applyAlignment="1">
      <alignment vertical="center" wrapText="1"/>
    </xf>
    <xf numFmtId="0" fontId="2" fillId="2" borderId="12" xfId="0" applyNumberFormat="1" applyFont="1" applyFill="1" applyBorder="1" applyAlignment="1">
      <alignment horizontal="left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0" fontId="2" fillId="2" borderId="8" xfId="0" applyNumberFormat="1" applyFont="1" applyFill="1" applyBorder="1" applyAlignment="1">
      <alignment horizontal="right" vertical="center" wrapText="1"/>
    </xf>
    <xf numFmtId="49" fontId="2" fillId="0" borderId="8" xfId="0" applyNumberFormat="1" applyFont="1" applyBorder="1" applyAlignment="1">
      <alignment horizontal="right" vertical="center"/>
    </xf>
    <xf numFmtId="2" fontId="2" fillId="0" borderId="11" xfId="0" applyNumberFormat="1" applyFont="1" applyBorder="1" applyAlignment="1">
      <alignment horizontal="center" vertical="center"/>
    </xf>
    <xf numFmtId="49" fontId="2" fillId="2" borderId="11" xfId="0" applyNumberFormat="1" applyFont="1" applyFill="1" applyBorder="1" applyAlignment="1">
      <alignment horizontal="center" vertical="center"/>
    </xf>
    <xf numFmtId="49" fontId="2" fillId="0" borderId="11" xfId="0" applyNumberFormat="1" applyFont="1" applyBorder="1" applyAlignment="1">
      <alignment vertical="center"/>
    </xf>
    <xf numFmtId="0" fontId="2" fillId="0" borderId="12" xfId="0" applyNumberFormat="1" applyFont="1" applyBorder="1" applyAlignment="1">
      <alignment horizontal="left" vertical="center"/>
    </xf>
    <xf numFmtId="1" fontId="2" fillId="2" borderId="16" xfId="0" applyNumberFormat="1" applyFont="1" applyFill="1" applyBorder="1" applyAlignment="1">
      <alignment horizontal="center" vertical="center" wrapText="1"/>
    </xf>
    <xf numFmtId="0" fontId="2" fillId="2" borderId="11" xfId="0" applyNumberFormat="1" applyFont="1" applyFill="1" applyBorder="1" applyAlignment="1">
      <alignment horizontal="center" vertical="center"/>
    </xf>
    <xf numFmtId="1" fontId="1" fillId="2" borderId="8" xfId="0" applyNumberFormat="1" applyFont="1" applyFill="1" applyBorder="1" applyAlignment="1">
      <alignment horizontal="center" vertical="center"/>
    </xf>
    <xf numFmtId="1" fontId="1" fillId="2" borderId="9" xfId="0" applyNumberFormat="1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2" fontId="2" fillId="3" borderId="5" xfId="0" applyNumberFormat="1" applyFont="1" applyFill="1" applyBorder="1" applyAlignment="1">
      <alignment horizontal="center" vertical="center"/>
    </xf>
    <xf numFmtId="1" fontId="2" fillId="2" borderId="17" xfId="0" applyNumberFormat="1" applyFont="1" applyFill="1" applyBorder="1" applyAlignment="1">
      <alignment horizontal="center" vertical="center"/>
    </xf>
    <xf numFmtId="1" fontId="1" fillId="2" borderId="18" xfId="0" applyNumberFormat="1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/>
    </xf>
    <xf numFmtId="0" fontId="7" fillId="0" borderId="0" xfId="0" applyNumberFormat="1" applyFont="1" applyAlignment="1">
      <alignment horizontal="center"/>
    </xf>
    <xf numFmtId="0" fontId="28" fillId="0" borderId="0" xfId="0" applyNumberFormat="1" applyFont="1" applyBorder="1" applyAlignment="1">
      <alignment horizontal="left"/>
    </xf>
    <xf numFmtId="2" fontId="23" fillId="0" borderId="0" xfId="0" applyNumberFormat="1" applyFont="1" applyAlignment="1"/>
    <xf numFmtId="0" fontId="3" fillId="0" borderId="0" xfId="0" applyNumberFormat="1" applyFont="1" applyBorder="1" applyAlignment="1">
      <alignment wrapText="1"/>
    </xf>
    <xf numFmtId="0" fontId="3" fillId="0" borderId="0" xfId="0" applyNumberFormat="1" applyFont="1" applyBorder="1" applyAlignment="1">
      <alignment horizontal="left" wrapText="1"/>
    </xf>
    <xf numFmtId="0" fontId="3" fillId="0" borderId="0" xfId="0" applyNumberFormat="1" applyFont="1" applyBorder="1" applyAlignment="1">
      <alignment horizontal="center" wrapText="1"/>
    </xf>
    <xf numFmtId="2" fontId="7" fillId="0" borderId="0" xfId="0" applyNumberFormat="1" applyFont="1" applyAlignment="1"/>
    <xf numFmtId="0" fontId="3" fillId="0" borderId="0" xfId="0" applyNumberFormat="1" applyFont="1" applyAlignment="1">
      <alignment horizontal="center"/>
    </xf>
    <xf numFmtId="0" fontId="7" fillId="0" borderId="0" xfId="0" applyNumberFormat="1" applyFont="1" applyAlignment="1">
      <alignment wrapText="1"/>
    </xf>
    <xf numFmtId="0" fontId="7" fillId="0" borderId="0" xfId="0" applyNumberFormat="1" applyFont="1" applyBorder="1" applyAlignment="1">
      <alignment horizontal="center" wrapText="1"/>
    </xf>
    <xf numFmtId="0" fontId="7" fillId="0" borderId="0" xfId="0" applyNumberFormat="1" applyFont="1" applyAlignment="1">
      <alignment horizontal="left"/>
    </xf>
    <xf numFmtId="0" fontId="7" fillId="0" borderId="0" xfId="0" applyNumberFormat="1" applyFont="1" applyBorder="1" applyAlignment="1">
      <alignment wrapText="1"/>
    </xf>
    <xf numFmtId="0" fontId="7" fillId="0" borderId="0" xfId="0" applyNumberFormat="1" applyFont="1" applyBorder="1" applyAlignment="1">
      <alignment horizontal="left" wrapText="1"/>
    </xf>
    <xf numFmtId="2" fontId="7" fillId="2" borderId="0" xfId="0" applyNumberFormat="1" applyFont="1" applyFill="1" applyBorder="1" applyAlignment="1">
      <alignment horizontal="center" vertical="center"/>
    </xf>
    <xf numFmtId="2" fontId="3" fillId="0" borderId="0" xfId="0" applyNumberFormat="1" applyFont="1" applyAlignment="1"/>
    <xf numFmtId="0" fontId="30" fillId="2" borderId="8" xfId="0" applyNumberFormat="1" applyFont="1" applyFill="1" applyBorder="1" applyAlignment="1">
      <alignment horizontal="center" vertical="center" wrapText="1"/>
    </xf>
    <xf numFmtId="0" fontId="23" fillId="0" borderId="0" xfId="0" quotePrefix="1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center" vertical="center" wrapText="1"/>
    </xf>
    <xf numFmtId="1" fontId="31" fillId="0" borderId="0" xfId="0" applyNumberFormat="1" applyFont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/>
    </xf>
    <xf numFmtId="2" fontId="6" fillId="3" borderId="5" xfId="0" applyNumberFormat="1" applyFont="1" applyFill="1" applyBorder="1" applyAlignment="1">
      <alignment horizontal="center" vertical="center"/>
    </xf>
    <xf numFmtId="0" fontId="23" fillId="2" borderId="0" xfId="0" applyFont="1" applyFill="1" applyAlignment="1">
      <alignment vertical="center"/>
    </xf>
    <xf numFmtId="0" fontId="4" fillId="0" borderId="0" xfId="0" applyNumberFormat="1" applyFont="1" applyBorder="1" applyAlignment="1">
      <alignment wrapText="1"/>
    </xf>
    <xf numFmtId="0" fontId="4" fillId="0" borderId="0" xfId="0" applyNumberFormat="1" applyFont="1" applyBorder="1" applyAlignment="1">
      <alignment horizontal="left" wrapText="1"/>
    </xf>
    <xf numFmtId="0" fontId="4" fillId="0" borderId="0" xfId="0" applyNumberFormat="1" applyFont="1" applyBorder="1" applyAlignment="1">
      <alignment horizontal="center" wrapText="1"/>
    </xf>
    <xf numFmtId="0" fontId="32" fillId="2" borderId="0" xfId="0" applyNumberFormat="1" applyFont="1" applyFill="1" applyBorder="1" applyAlignment="1">
      <alignment horizontal="center" vertical="center" wrapText="1"/>
    </xf>
    <xf numFmtId="0" fontId="7" fillId="2" borderId="0" xfId="0" applyNumberFormat="1" applyFont="1" applyFill="1" applyAlignment="1">
      <alignment horizontal="center" wrapText="1"/>
    </xf>
    <xf numFmtId="0" fontId="7" fillId="0" borderId="0" xfId="0" quotePrefix="1" applyNumberFormat="1" applyFont="1" applyBorder="1" applyAlignment="1">
      <alignment horizontal="left"/>
    </xf>
    <xf numFmtId="0" fontId="35" fillId="7" borderId="0" xfId="0" applyFont="1" applyFill="1" applyBorder="1" applyAlignment="1">
      <alignment horizontal="center" vertical="center"/>
    </xf>
    <xf numFmtId="0" fontId="35" fillId="7" borderId="0" xfId="0" applyNumberFormat="1" applyFont="1" applyFill="1" applyBorder="1" applyAlignment="1">
      <alignment horizontal="center" vertical="center" wrapText="1"/>
    </xf>
    <xf numFmtId="49" fontId="35" fillId="7" borderId="0" xfId="0" applyNumberFormat="1" applyFont="1" applyFill="1" applyBorder="1" applyAlignment="1">
      <alignment vertical="center"/>
    </xf>
    <xf numFmtId="0" fontId="35" fillId="7" borderId="0" xfId="0" applyFont="1" applyFill="1" applyBorder="1" applyAlignment="1">
      <alignment vertical="center" wrapText="1"/>
    </xf>
    <xf numFmtId="0" fontId="35" fillId="7" borderId="0" xfId="0" applyNumberFormat="1" applyFont="1" applyFill="1" applyBorder="1" applyAlignment="1">
      <alignment horizontal="left" vertical="center"/>
    </xf>
    <xf numFmtId="0" fontId="35" fillId="7" borderId="0" xfId="0" applyNumberFormat="1" applyFont="1" applyFill="1" applyBorder="1" applyAlignment="1">
      <alignment horizontal="center" vertical="center"/>
    </xf>
    <xf numFmtId="0" fontId="35" fillId="7" borderId="0" xfId="0" applyNumberFormat="1" applyFont="1" applyFill="1" applyBorder="1" applyAlignment="1">
      <alignment vertical="center"/>
    </xf>
    <xf numFmtId="0" fontId="35" fillId="7" borderId="0" xfId="0" applyFont="1" applyFill="1" applyBorder="1" applyAlignment="1">
      <alignment vertical="center"/>
    </xf>
    <xf numFmtId="49" fontId="35" fillId="7" borderId="0" xfId="0" applyNumberFormat="1" applyFont="1" applyFill="1" applyBorder="1" applyAlignment="1">
      <alignment horizontal="left" vertical="center"/>
    </xf>
    <xf numFmtId="2" fontId="35" fillId="7" borderId="0" xfId="0" applyNumberFormat="1" applyFont="1" applyFill="1" applyBorder="1" applyAlignment="1">
      <alignment horizontal="left" vertical="center"/>
    </xf>
    <xf numFmtId="0" fontId="34" fillId="7" borderId="0" xfId="0" applyNumberFormat="1" applyFont="1" applyFill="1" applyBorder="1" applyAlignment="1">
      <alignment horizontal="center" vertical="center" wrapText="1"/>
    </xf>
    <xf numFmtId="1" fontId="34" fillId="7" borderId="0" xfId="0" applyNumberFormat="1" applyFont="1" applyFill="1" applyBorder="1" applyAlignment="1">
      <alignment horizontal="center" vertical="center"/>
    </xf>
    <xf numFmtId="1" fontId="35" fillId="7" borderId="0" xfId="0" applyNumberFormat="1" applyFont="1" applyFill="1" applyBorder="1" applyAlignment="1">
      <alignment horizontal="center" vertical="center" wrapText="1"/>
    </xf>
    <xf numFmtId="1" fontId="35" fillId="7" borderId="0" xfId="0" applyNumberFormat="1" applyFont="1" applyFill="1" applyBorder="1" applyAlignment="1">
      <alignment horizontal="center" vertical="center"/>
    </xf>
    <xf numFmtId="0" fontId="34" fillId="7" borderId="0" xfId="0" applyFont="1" applyFill="1" applyBorder="1" applyAlignment="1">
      <alignment horizontal="center" vertical="center"/>
    </xf>
    <xf numFmtId="0" fontId="36" fillId="7" borderId="0" xfId="0" applyFont="1" applyFill="1" applyBorder="1" applyAlignment="1">
      <alignment horizontal="center" vertical="center"/>
    </xf>
    <xf numFmtId="0" fontId="39" fillId="7" borderId="0" xfId="0" applyFont="1" applyFill="1" applyBorder="1" applyAlignment="1">
      <alignment horizontal="center" vertical="center"/>
    </xf>
    <xf numFmtId="0" fontId="39" fillId="7" borderId="0" xfId="0" applyNumberFormat="1" applyFont="1" applyFill="1" applyBorder="1" applyAlignment="1">
      <alignment horizontal="center" vertical="center" wrapText="1"/>
    </xf>
    <xf numFmtId="49" fontId="39" fillId="7" borderId="0" xfId="0" applyNumberFormat="1" applyFont="1" applyFill="1" applyBorder="1" applyAlignment="1">
      <alignment vertical="center"/>
    </xf>
    <xf numFmtId="0" fontId="1" fillId="0" borderId="0" xfId="0" applyFont="1" applyAlignment="1">
      <alignment vertical="center"/>
    </xf>
    <xf numFmtId="1" fontId="1" fillId="2" borderId="0" xfId="0" applyNumberFormat="1" applyFont="1" applyFill="1" applyBorder="1" applyAlignment="1">
      <alignment horizontal="right" vertical="center"/>
    </xf>
    <xf numFmtId="1" fontId="1" fillId="2" borderId="0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vertical="center"/>
    </xf>
    <xf numFmtId="0" fontId="1" fillId="0" borderId="0" xfId="0" applyFont="1" applyAlignment="1">
      <alignment vertical="center" wrapText="1"/>
    </xf>
    <xf numFmtId="0" fontId="42" fillId="2" borderId="0" xfId="0" applyFont="1" applyFill="1" applyAlignment="1">
      <alignment vertical="center"/>
    </xf>
    <xf numFmtId="0" fontId="1" fillId="2" borderId="0" xfId="0" applyFont="1" applyFill="1" applyAlignment="1">
      <alignment horizontal="right" vertical="center"/>
    </xf>
    <xf numFmtId="0" fontId="2" fillId="0" borderId="0" xfId="0" applyFont="1" applyAlignment="1">
      <alignment vertical="center"/>
    </xf>
    <xf numFmtId="0" fontId="1" fillId="2" borderId="0" xfId="0" applyFont="1" applyFill="1" applyBorder="1" applyAlignment="1">
      <alignment horizontal="right" vertical="center" wrapText="1"/>
    </xf>
    <xf numFmtId="1" fontId="1" fillId="2" borderId="0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right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right" vertical="center"/>
    </xf>
    <xf numFmtId="0" fontId="2" fillId="0" borderId="0" xfId="0" applyFont="1" applyAlignment="1">
      <alignment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right" vertical="center" wrapText="1"/>
    </xf>
    <xf numFmtId="2" fontId="16" fillId="2" borderId="0" xfId="0" applyNumberFormat="1" applyFont="1" applyFill="1" applyBorder="1" applyAlignment="1">
      <alignment horizontal="right" vertical="center"/>
    </xf>
    <xf numFmtId="1" fontId="27" fillId="8" borderId="0" xfId="0" applyNumberFormat="1" applyFont="1" applyFill="1" applyBorder="1" applyAlignment="1">
      <alignment horizontal="center" vertical="center" wrapText="1"/>
    </xf>
    <xf numFmtId="1" fontId="11" fillId="8" borderId="0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49" fontId="2" fillId="0" borderId="0" xfId="0" applyNumberFormat="1" applyFont="1" applyAlignment="1">
      <alignment vertical="center"/>
    </xf>
    <xf numFmtId="2" fontId="20" fillId="2" borderId="0" xfId="0" applyNumberFormat="1" applyFont="1" applyFill="1" applyBorder="1" applyAlignment="1">
      <alignment horizontal="left" vertical="center"/>
    </xf>
    <xf numFmtId="2" fontId="20" fillId="2" borderId="0" xfId="0" applyNumberFormat="1" applyFont="1" applyFill="1" applyBorder="1" applyAlignment="1">
      <alignment vertical="center"/>
    </xf>
    <xf numFmtId="2" fontId="16" fillId="0" borderId="0" xfId="0" applyNumberFormat="1" applyFont="1" applyBorder="1" applyAlignment="1">
      <alignment horizontal="right" vertical="center"/>
    </xf>
    <xf numFmtId="2" fontId="16" fillId="2" borderId="0" xfId="0" applyNumberFormat="1" applyFont="1" applyFill="1" applyAlignment="1">
      <alignment vertical="center"/>
    </xf>
    <xf numFmtId="0" fontId="2" fillId="3" borderId="0" xfId="0" applyFont="1" applyFill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right" vertical="center" wrapText="1"/>
    </xf>
    <xf numFmtId="0" fontId="9" fillId="2" borderId="0" xfId="0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horizontal="right" vertical="center"/>
    </xf>
    <xf numFmtId="49" fontId="1" fillId="2" borderId="0" xfId="0" applyNumberFormat="1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left" vertical="center" wrapText="1"/>
    </xf>
    <xf numFmtId="2" fontId="9" fillId="2" borderId="0" xfId="0" applyNumberFormat="1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right" vertical="center"/>
    </xf>
    <xf numFmtId="1" fontId="22" fillId="2" borderId="5" xfId="0" applyNumberFormat="1" applyFont="1" applyFill="1" applyBorder="1" applyAlignment="1">
      <alignment horizontal="center" vertical="center" textRotation="90" wrapText="1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0" borderId="5" xfId="0" applyFont="1" applyBorder="1" applyAlignment="1">
      <alignment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2" borderId="8" xfId="0" applyFont="1" applyFill="1" applyBorder="1" applyAlignment="1">
      <alignment horizontal="right" vertical="center" wrapText="1"/>
    </xf>
    <xf numFmtId="0" fontId="2" fillId="2" borderId="12" xfId="0" applyFont="1" applyFill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/>
    </xf>
    <xf numFmtId="0" fontId="2" fillId="0" borderId="8" xfId="0" applyFont="1" applyBorder="1" applyAlignment="1">
      <alignment horizontal="right" vertical="center"/>
    </xf>
    <xf numFmtId="0" fontId="2" fillId="0" borderId="11" xfId="0" applyFont="1" applyBorder="1" applyAlignment="1">
      <alignment horizontal="left" vertical="center"/>
    </xf>
    <xf numFmtId="0" fontId="43" fillId="0" borderId="0" xfId="0" applyFont="1"/>
    <xf numFmtId="0" fontId="1" fillId="2" borderId="0" xfId="0" applyNumberFormat="1" applyFont="1" applyFill="1" applyBorder="1" applyAlignment="1">
      <alignment horizontal="center" vertical="center" wrapText="1"/>
    </xf>
    <xf numFmtId="0" fontId="1" fillId="2" borderId="0" xfId="0" applyNumberFormat="1" applyFont="1" applyFill="1" applyBorder="1" applyAlignment="1">
      <alignment vertical="center" wrapText="1"/>
    </xf>
    <xf numFmtId="0" fontId="1" fillId="2" borderId="0" xfId="0" applyNumberFormat="1" applyFont="1" applyFill="1" applyBorder="1" applyAlignment="1">
      <alignment horizontal="left" vertical="center" wrapText="1"/>
    </xf>
    <xf numFmtId="0" fontId="44" fillId="0" borderId="0" xfId="0" quotePrefix="1" applyFont="1"/>
    <xf numFmtId="0" fontId="2" fillId="2" borderId="0" xfId="0" applyNumberFormat="1" applyFont="1" applyFill="1" applyAlignment="1">
      <alignment horizontal="center" vertical="center" wrapText="1"/>
    </xf>
    <xf numFmtId="2" fontId="2" fillId="2" borderId="0" xfId="0" applyNumberFormat="1" applyFont="1" applyFill="1" applyAlignment="1">
      <alignment vertical="center"/>
    </xf>
    <xf numFmtId="0" fontId="2" fillId="2" borderId="0" xfId="0" applyNumberFormat="1" applyFont="1" applyFill="1" applyBorder="1" applyAlignment="1">
      <alignment horizontal="center" vertical="center" wrapText="1"/>
    </xf>
    <xf numFmtId="0" fontId="2" fillId="2" borderId="0" xfId="0" applyNumberFormat="1" applyFont="1" applyFill="1" applyBorder="1" applyAlignment="1">
      <alignment vertical="center" wrapText="1"/>
    </xf>
    <xf numFmtId="0" fontId="2" fillId="2" borderId="0" xfId="0" applyNumberFormat="1" applyFont="1" applyFill="1" applyBorder="1" applyAlignment="1">
      <alignment horizontal="left" vertical="center" wrapText="1"/>
    </xf>
    <xf numFmtId="2" fontId="2" fillId="2" borderId="0" xfId="0" applyNumberFormat="1" applyFont="1" applyFill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2" fontId="2" fillId="2" borderId="0" xfId="0" applyNumberFormat="1" applyFont="1" applyFill="1" applyBorder="1" applyAlignment="1">
      <alignment vertical="center"/>
    </xf>
    <xf numFmtId="0" fontId="2" fillId="2" borderId="10" xfId="0" applyNumberFormat="1" applyFont="1" applyFill="1" applyBorder="1" applyAlignment="1">
      <alignment horizontal="left" vertical="center" wrapText="1"/>
    </xf>
    <xf numFmtId="2" fontId="2" fillId="2" borderId="9" xfId="0" applyNumberFormat="1" applyFont="1" applyFill="1" applyBorder="1" applyAlignment="1">
      <alignment horizontal="left" vertical="center" wrapText="1"/>
    </xf>
    <xf numFmtId="0" fontId="34" fillId="7" borderId="0" xfId="0" applyFont="1" applyFill="1" applyBorder="1" applyAlignment="1">
      <alignment vertical="center"/>
    </xf>
    <xf numFmtId="0" fontId="34" fillId="7" borderId="0" xfId="0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vertical="center"/>
    </xf>
    <xf numFmtId="0" fontId="35" fillId="0" borderId="9" xfId="0" applyFont="1" applyBorder="1" applyAlignment="1">
      <alignment vertical="center" wrapText="1"/>
    </xf>
    <xf numFmtId="0" fontId="35" fillId="7" borderId="0" xfId="0" applyNumberFormat="1" applyFont="1" applyFill="1" applyBorder="1" applyAlignment="1">
      <alignment horizontal="center" vertical="top" wrapText="1"/>
    </xf>
    <xf numFmtId="0" fontId="35" fillId="7" borderId="0" xfId="0" applyNumberFormat="1" applyFont="1" applyFill="1" applyBorder="1" applyAlignment="1">
      <alignment horizontal="center" vertical="top"/>
    </xf>
    <xf numFmtId="0" fontId="35" fillId="7" borderId="0" xfId="0" applyNumberFormat="1" applyFont="1" applyFill="1" applyBorder="1" applyAlignment="1">
      <alignment vertical="top"/>
    </xf>
    <xf numFmtId="0" fontId="35" fillId="7" borderId="0" xfId="0" applyNumberFormat="1" applyFont="1" applyFill="1" applyBorder="1" applyAlignment="1">
      <alignment vertical="top" wrapText="1"/>
    </xf>
    <xf numFmtId="2" fontId="35" fillId="7" borderId="0" xfId="0" applyNumberFormat="1" applyFont="1" applyFill="1" applyBorder="1" applyAlignment="1">
      <alignment horizontal="center" vertical="center"/>
    </xf>
    <xf numFmtId="1" fontId="34" fillId="7" borderId="0" xfId="0" applyNumberFormat="1" applyFont="1" applyFill="1" applyBorder="1" applyAlignment="1">
      <alignment horizontal="right" vertical="center"/>
    </xf>
    <xf numFmtId="2" fontId="34" fillId="7" borderId="0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19" xfId="0" applyFont="1" applyBorder="1" applyAlignment="1">
      <alignment vertical="center" wrapText="1"/>
    </xf>
    <xf numFmtId="0" fontId="2" fillId="0" borderId="19" xfId="0" applyFont="1" applyBorder="1" applyAlignment="1">
      <alignment horizontal="center" vertical="center"/>
    </xf>
    <xf numFmtId="0" fontId="2" fillId="2" borderId="19" xfId="0" applyFont="1" applyFill="1" applyBorder="1" applyAlignment="1">
      <alignment horizontal="right" vertical="center"/>
    </xf>
    <xf numFmtId="0" fontId="46" fillId="7" borderId="0" xfId="0" applyFont="1" applyFill="1" applyBorder="1"/>
    <xf numFmtId="0" fontId="2" fillId="2" borderId="11" xfId="0" applyNumberFormat="1" applyFont="1" applyFill="1" applyBorder="1" applyAlignment="1">
      <alignment horizontal="center" vertical="center" wrapText="1"/>
    </xf>
    <xf numFmtId="0" fontId="35" fillId="2" borderId="9" xfId="0" applyFont="1" applyFill="1" applyBorder="1" applyAlignment="1">
      <alignment horizontal="left" vertical="center" wrapText="1"/>
    </xf>
    <xf numFmtId="2" fontId="2" fillId="2" borderId="8" xfId="0" applyNumberFormat="1" applyFont="1" applyFill="1" applyBorder="1" applyAlignment="1">
      <alignment horizontal="center" vertical="center" wrapText="1"/>
    </xf>
    <xf numFmtId="2" fontId="1" fillId="2" borderId="12" xfId="0" applyNumberFormat="1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left" vertical="center" wrapText="1"/>
    </xf>
    <xf numFmtId="1" fontId="39" fillId="7" borderId="0" xfId="0" applyNumberFormat="1" applyFont="1" applyFill="1" applyBorder="1" applyAlignment="1">
      <alignment horizontal="center" vertical="center"/>
    </xf>
    <xf numFmtId="2" fontId="37" fillId="7" borderId="0" xfId="0" applyNumberFormat="1" applyFont="1" applyFill="1" applyBorder="1" applyAlignment="1"/>
    <xf numFmtId="2" fontId="38" fillId="7" borderId="0" xfId="0" applyNumberFormat="1" applyFont="1" applyFill="1" applyBorder="1" applyAlignment="1"/>
    <xf numFmtId="0" fontId="39" fillId="7" borderId="0" xfId="0" applyFont="1" applyFill="1" applyBorder="1" applyAlignment="1">
      <alignment vertical="center" wrapText="1"/>
    </xf>
    <xf numFmtId="0" fontId="39" fillId="7" borderId="0" xfId="0" applyNumberFormat="1" applyFont="1" applyFill="1" applyBorder="1" applyAlignment="1">
      <alignment horizontal="left" vertical="center"/>
    </xf>
    <xf numFmtId="0" fontId="39" fillId="7" borderId="0" xfId="0" applyNumberFormat="1" applyFont="1" applyFill="1" applyBorder="1" applyAlignment="1">
      <alignment horizontal="center" vertical="center"/>
    </xf>
    <xf numFmtId="0" fontId="39" fillId="7" borderId="0" xfId="0" applyNumberFormat="1" applyFont="1" applyFill="1" applyBorder="1" applyAlignment="1">
      <alignment vertical="center"/>
    </xf>
    <xf numFmtId="0" fontId="39" fillId="7" borderId="0" xfId="0" applyFont="1" applyFill="1" applyBorder="1" applyAlignment="1">
      <alignment vertical="center"/>
    </xf>
    <xf numFmtId="49" fontId="39" fillId="7" borderId="0" xfId="0" applyNumberFormat="1" applyFont="1" applyFill="1" applyBorder="1" applyAlignment="1">
      <alignment horizontal="left" vertical="center"/>
    </xf>
    <xf numFmtId="0" fontId="39" fillId="2" borderId="0" xfId="0" applyFont="1" applyFill="1" applyBorder="1" applyAlignment="1">
      <alignment vertical="center"/>
    </xf>
    <xf numFmtId="0" fontId="35" fillId="0" borderId="0" xfId="0" applyFont="1" applyBorder="1" applyAlignment="1">
      <alignment vertical="center"/>
    </xf>
    <xf numFmtId="0" fontId="2" fillId="2" borderId="5" xfId="0" applyNumberFormat="1" applyFont="1" applyFill="1" applyBorder="1" applyAlignment="1">
      <alignment horizontal="left" vertical="center" wrapText="1"/>
    </xf>
    <xf numFmtId="0" fontId="2" fillId="0" borderId="9" xfId="0" applyFont="1" applyBorder="1" applyAlignment="1">
      <alignment vertical="center" wrapText="1"/>
    </xf>
    <xf numFmtId="0" fontId="40" fillId="7" borderId="0" xfId="0" applyNumberFormat="1" applyFont="1" applyFill="1" applyBorder="1" applyAlignment="1">
      <alignment horizontal="center" vertical="center"/>
    </xf>
    <xf numFmtId="2" fontId="39" fillId="7" borderId="0" xfId="0" applyNumberFormat="1" applyFont="1" applyFill="1" applyBorder="1" applyAlignment="1">
      <alignment horizontal="left" vertical="center"/>
    </xf>
    <xf numFmtId="0" fontId="41" fillId="7" borderId="0" xfId="0" applyNumberFormat="1" applyFont="1" applyFill="1" applyBorder="1" applyAlignment="1">
      <alignment horizontal="center" vertical="center" wrapText="1"/>
    </xf>
    <xf numFmtId="1" fontId="41" fillId="7" borderId="0" xfId="0" applyNumberFormat="1" applyFont="1" applyFill="1" applyBorder="1" applyAlignment="1">
      <alignment horizontal="center" vertical="center"/>
    </xf>
    <xf numFmtId="1" fontId="39" fillId="7" borderId="0" xfId="0" applyNumberFormat="1" applyFont="1" applyFill="1" applyBorder="1" applyAlignment="1">
      <alignment horizontal="center" vertical="center" wrapText="1"/>
    </xf>
    <xf numFmtId="0" fontId="41" fillId="7" borderId="0" xfId="0" applyFont="1" applyFill="1" applyBorder="1" applyAlignment="1">
      <alignment horizontal="center" vertical="center"/>
    </xf>
    <xf numFmtId="2" fontId="39" fillId="7" borderId="0" xfId="0" applyNumberFormat="1" applyFont="1" applyFill="1" applyBorder="1" applyAlignment="1">
      <alignment horizontal="center" vertical="center"/>
    </xf>
    <xf numFmtId="2" fontId="37" fillId="0" borderId="0" xfId="0" applyNumberFormat="1" applyFont="1" applyBorder="1" applyAlignment="1"/>
    <xf numFmtId="2" fontId="38" fillId="0" borderId="0" xfId="0" applyNumberFormat="1" applyFont="1" applyBorder="1" applyAlignment="1"/>
    <xf numFmtId="1" fontId="41" fillId="2" borderId="0" xfId="0" applyNumberFormat="1" applyFont="1" applyFill="1" applyBorder="1" applyAlignment="1">
      <alignment horizontal="right" vertical="center"/>
    </xf>
    <xf numFmtId="2" fontId="41" fillId="2" borderId="0" xfId="0" applyNumberFormat="1" applyFont="1" applyFill="1" applyBorder="1" applyAlignment="1">
      <alignment horizontal="center" vertical="center"/>
    </xf>
    <xf numFmtId="0" fontId="47" fillId="2" borderId="0" xfId="0" applyFont="1" applyFill="1" applyBorder="1" applyAlignment="1">
      <alignment vertical="center"/>
    </xf>
    <xf numFmtId="0" fontId="48" fillId="0" borderId="0" xfId="0" applyNumberFormat="1" applyFont="1" applyBorder="1" applyAlignment="1"/>
    <xf numFmtId="0" fontId="35" fillId="2" borderId="0" xfId="0" applyFont="1" applyFill="1" applyBorder="1" applyAlignment="1">
      <alignment horizontal="right" vertical="center"/>
    </xf>
    <xf numFmtId="0" fontId="26" fillId="6" borderId="5" xfId="0" applyFont="1" applyFill="1" applyBorder="1" applyAlignment="1">
      <alignment horizontal="center" vertical="center"/>
    </xf>
    <xf numFmtId="0" fontId="25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1" fontId="2" fillId="2" borderId="12" xfId="0" applyNumberFormat="1" applyFont="1" applyFill="1" applyBorder="1" applyAlignment="1">
      <alignment horizontal="center" vertical="center"/>
    </xf>
    <xf numFmtId="1" fontId="1" fillId="2" borderId="8" xfId="0" applyNumberFormat="1" applyFont="1" applyFill="1" applyBorder="1" applyAlignment="1">
      <alignment horizontal="right" vertical="center"/>
    </xf>
    <xf numFmtId="2" fontId="1" fillId="2" borderId="5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/>
    <xf numFmtId="0" fontId="25" fillId="0" borderId="4" xfId="0" applyFont="1" applyBorder="1" applyAlignment="1">
      <alignment horizontal="center" vertical="center" wrapText="1"/>
    </xf>
    <xf numFmtId="0" fontId="25" fillId="0" borderId="6" xfId="0" applyFont="1" applyBorder="1" applyAlignment="1">
      <alignment horizontal="center" vertical="center" wrapText="1"/>
    </xf>
    <xf numFmtId="0" fontId="25" fillId="0" borderId="7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0" fontId="45" fillId="2" borderId="0" xfId="0" applyNumberFormat="1" applyFont="1" applyFill="1" applyBorder="1" applyAlignment="1">
      <alignment horizontal="center" vertical="center" wrapText="1"/>
    </xf>
    <xf numFmtId="0" fontId="33" fillId="0" borderId="0" xfId="0" applyFont="1" applyAlignment="1">
      <alignment horizontal="center" vertical="center"/>
    </xf>
    <xf numFmtId="0" fontId="26" fillId="6" borderId="5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35" fillId="0" borderId="0" xfId="0" applyFont="1" applyAlignment="1">
      <alignment vertical="center"/>
    </xf>
    <xf numFmtId="0" fontId="35" fillId="2" borderId="5" xfId="0" applyNumberFormat="1" applyFont="1" applyFill="1" applyBorder="1" applyAlignment="1">
      <alignment horizontal="center" vertical="center"/>
    </xf>
    <xf numFmtId="0" fontId="35" fillId="2" borderId="5" xfId="0" applyFont="1" applyFill="1" applyBorder="1" applyAlignment="1">
      <alignment horizontal="center" vertical="center"/>
    </xf>
    <xf numFmtId="0" fontId="35" fillId="2" borderId="12" xfId="0" applyNumberFormat="1" applyFont="1" applyFill="1" applyBorder="1" applyAlignment="1">
      <alignment horizontal="center" vertical="center"/>
    </xf>
    <xf numFmtId="0" fontId="35" fillId="2" borderId="0" xfId="0" applyNumberFormat="1" applyFont="1" applyFill="1" applyBorder="1" applyAlignment="1">
      <alignment horizontal="center" vertical="center" wrapText="1"/>
    </xf>
    <xf numFmtId="0" fontId="35" fillId="2" borderId="0" xfId="0" applyNumberFormat="1" applyFont="1" applyFill="1" applyBorder="1" applyAlignment="1">
      <alignment horizontal="center" vertical="center"/>
    </xf>
    <xf numFmtId="1" fontId="34" fillId="2" borderId="0" xfId="0" applyNumberFormat="1" applyFont="1" applyFill="1" applyBorder="1" applyAlignment="1">
      <alignment horizontal="center" vertical="center"/>
    </xf>
    <xf numFmtId="2" fontId="34" fillId="2" borderId="0" xfId="0" applyNumberFormat="1" applyFont="1" applyFill="1" applyBorder="1" applyAlignment="1">
      <alignment horizontal="center" vertical="center"/>
    </xf>
    <xf numFmtId="0" fontId="35" fillId="2" borderId="0" xfId="0" applyFont="1" applyFill="1" applyBorder="1" applyAlignment="1">
      <alignment horizontal="center" vertical="center"/>
    </xf>
    <xf numFmtId="1" fontId="35" fillId="2" borderId="0" xfId="0" applyNumberFormat="1" applyFont="1" applyFill="1" applyBorder="1" applyAlignment="1">
      <alignment horizontal="center" vertical="center"/>
    </xf>
    <xf numFmtId="2" fontId="2" fillId="2" borderId="12" xfId="0" applyNumberFormat="1" applyFont="1" applyFill="1" applyBorder="1" applyAlignment="1">
      <alignment horizontal="center" vertical="center"/>
    </xf>
    <xf numFmtId="49" fontId="35" fillId="2" borderId="0" xfId="0" applyNumberFormat="1" applyFont="1" applyFill="1" applyBorder="1" applyAlignment="1">
      <alignment vertical="center"/>
    </xf>
    <xf numFmtId="0" fontId="35" fillId="2" borderId="0" xfId="0" applyFont="1" applyFill="1" applyBorder="1" applyAlignment="1">
      <alignment vertical="center" wrapText="1"/>
    </xf>
    <xf numFmtId="0" fontId="35" fillId="2" borderId="0" xfId="0" applyNumberFormat="1" applyFont="1" applyFill="1" applyBorder="1" applyAlignment="1">
      <alignment horizontal="left" vertical="center"/>
    </xf>
    <xf numFmtId="0" fontId="35" fillId="2" borderId="0" xfId="0" applyNumberFormat="1" applyFont="1" applyFill="1" applyBorder="1" applyAlignment="1">
      <alignment vertical="center"/>
    </xf>
    <xf numFmtId="0" fontId="35" fillId="2" borderId="0" xfId="0" applyFont="1" applyFill="1" applyBorder="1" applyAlignment="1">
      <alignment vertical="center"/>
    </xf>
    <xf numFmtId="49" fontId="35" fillId="2" borderId="0" xfId="0" applyNumberFormat="1" applyFont="1" applyFill="1" applyBorder="1" applyAlignment="1">
      <alignment horizontal="left" vertical="center"/>
    </xf>
    <xf numFmtId="2" fontId="35" fillId="2" borderId="0" xfId="0" applyNumberFormat="1" applyFont="1" applyFill="1" applyBorder="1" applyAlignment="1">
      <alignment horizontal="left" vertical="center"/>
    </xf>
    <xf numFmtId="0" fontId="34" fillId="2" borderId="0" xfId="0" applyNumberFormat="1" applyFont="1" applyFill="1" applyBorder="1" applyAlignment="1">
      <alignment horizontal="center" vertical="center" wrapText="1"/>
    </xf>
    <xf numFmtId="1" fontId="35" fillId="2" borderId="0" xfId="0" applyNumberFormat="1" applyFont="1" applyFill="1" applyBorder="1" applyAlignment="1">
      <alignment horizontal="center" vertical="center" wrapText="1"/>
    </xf>
    <xf numFmtId="0" fontId="34" fillId="2" borderId="0" xfId="0" applyFont="1" applyFill="1" applyBorder="1" applyAlignment="1">
      <alignment horizontal="center" vertical="center"/>
    </xf>
    <xf numFmtId="0" fontId="25" fillId="0" borderId="5" xfId="0" applyFont="1" applyBorder="1" applyAlignment="1">
      <alignment horizontal="center" vertical="center" wrapText="1"/>
    </xf>
    <xf numFmtId="49" fontId="1" fillId="2" borderId="5" xfId="0" applyNumberFormat="1" applyFont="1" applyFill="1" applyBorder="1" applyAlignment="1">
      <alignment horizontal="center" vertical="center" wrapText="1"/>
    </xf>
    <xf numFmtId="0" fontId="25" fillId="0" borderId="5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</cellXfs>
  <cellStyles count="1">
    <cellStyle name="Normal" xfId="0" builtinId="0"/>
  </cellStyles>
  <dxfs count="506">
    <dxf>
      <fill>
        <patternFill>
          <bgColor indexed="15"/>
        </patternFill>
      </fill>
    </dxf>
    <dxf>
      <fill>
        <patternFill>
          <bgColor indexed="52"/>
        </patternFill>
      </fill>
    </dxf>
    <dxf>
      <font>
        <b/>
        <i val="0"/>
        <condense val="0"/>
        <extend val="0"/>
        <color indexed="34"/>
      </font>
      <fill>
        <patternFill>
          <bgColor indexed="23"/>
        </patternFill>
      </fill>
    </dxf>
    <dxf>
      <font>
        <b/>
        <i val="0"/>
        <condense val="0"/>
        <extend val="0"/>
        <color indexed="9"/>
      </font>
      <fill>
        <patternFill>
          <bgColor indexed="16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ont>
        <b/>
        <i val="0"/>
        <condense val="0"/>
        <extend val="0"/>
        <color indexed="13"/>
      </font>
      <fill>
        <patternFill>
          <bgColor indexed="16"/>
        </patternFill>
      </fill>
    </dxf>
    <dxf>
      <font>
        <b/>
        <i val="0"/>
        <condense val="0"/>
        <extend val="0"/>
        <color indexed="12"/>
      </font>
      <fill>
        <patternFill>
          <bgColor indexed="15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11"/>
        </patternFill>
      </fill>
    </dxf>
    <dxf>
      <font>
        <condense val="0"/>
        <extend val="0"/>
        <color indexed="9"/>
      </font>
      <fill>
        <patternFill>
          <bgColor indexed="17"/>
        </patternFill>
      </fill>
    </dxf>
    <dxf>
      <fill>
        <patternFill>
          <fgColor indexed="46"/>
          <bgColor indexed="42"/>
        </patternFill>
      </fill>
    </dxf>
    <dxf>
      <fill>
        <patternFill>
          <bgColor indexed="47"/>
        </patternFill>
      </fill>
    </dxf>
    <dxf>
      <fill>
        <patternFill>
          <bgColor indexed="51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51"/>
        </patternFill>
      </fill>
    </dxf>
    <dxf>
      <font>
        <b/>
        <i val="0"/>
        <condense val="0"/>
        <extend val="0"/>
        <color indexed="13"/>
      </font>
      <fill>
        <patternFill>
          <bgColor indexed="14"/>
        </patternFill>
      </fill>
    </dxf>
    <dxf>
      <fill>
        <patternFill>
          <bgColor indexed="16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12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6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42"/>
        </patternFill>
      </fill>
    </dxf>
    <dxf>
      <fill>
        <patternFill>
          <bgColor indexed="13"/>
        </patternFill>
      </fill>
    </dxf>
    <dxf>
      <fill>
        <patternFill>
          <bgColor indexed="51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6"/>
        </patternFill>
      </fill>
    </dxf>
    <dxf>
      <font>
        <b/>
        <i/>
        <condense val="0"/>
        <extend val="0"/>
        <color indexed="13"/>
      </font>
      <fill>
        <patternFill>
          <bgColor indexed="54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4"/>
        </patternFill>
      </fill>
    </dxf>
    <dxf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46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ont>
        <b val="0"/>
        <i val="0"/>
        <condense val="0"/>
        <extend val="0"/>
      </font>
      <fill>
        <patternFill>
          <bgColor indexed="52"/>
        </patternFill>
      </fill>
    </dxf>
    <dxf>
      <font>
        <b/>
        <i val="0"/>
        <condense val="0"/>
        <extend val="0"/>
        <color indexed="34"/>
      </font>
      <fill>
        <patternFill>
          <bgColor indexed="23"/>
        </patternFill>
      </fill>
    </dxf>
    <dxf>
      <font>
        <b/>
        <i val="0"/>
        <condense val="0"/>
        <extend val="0"/>
      </font>
      <fill>
        <patternFill>
          <bgColor indexed="47"/>
        </patternFill>
      </fill>
    </dxf>
    <dxf>
      <font>
        <b/>
        <i val="0"/>
        <condense val="0"/>
        <extend val="0"/>
        <color indexed="9"/>
      </font>
      <fill>
        <patternFill>
          <bgColor indexed="16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ont>
        <b val="0"/>
        <i val="0"/>
        <condense val="0"/>
        <extend val="0"/>
      </font>
      <fill>
        <patternFill>
          <bgColor indexed="52"/>
        </patternFill>
      </fill>
    </dxf>
    <dxf>
      <font>
        <b/>
        <i val="0"/>
        <condense val="0"/>
        <extend val="0"/>
        <color indexed="34"/>
      </font>
      <fill>
        <patternFill>
          <bgColor indexed="23"/>
        </patternFill>
      </fill>
    </dxf>
    <dxf>
      <font>
        <b/>
        <i val="0"/>
        <condense val="0"/>
        <extend val="0"/>
        <color indexed="9"/>
      </font>
      <fill>
        <patternFill>
          <bgColor indexed="16"/>
        </patternFill>
      </fill>
    </dxf>
    <dxf>
      <fill>
        <patternFill>
          <bgColor indexed="47"/>
        </patternFill>
      </fill>
    </dxf>
    <dxf>
      <fill>
        <patternFill>
          <bgColor indexed="41"/>
        </patternFill>
      </fill>
    </dxf>
    <dxf>
      <font>
        <condense val="0"/>
        <extend val="0"/>
        <color indexed="22"/>
      </font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4"/>
        </patternFill>
      </fill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51"/>
        </patternFill>
      </fill>
    </dxf>
    <dxf>
      <font>
        <b/>
        <i val="0"/>
        <condense val="0"/>
        <extend val="0"/>
        <color indexed="34"/>
      </font>
      <fill>
        <patternFill>
          <bgColor indexed="23"/>
        </patternFill>
      </fill>
    </dxf>
    <dxf>
      <font>
        <b/>
        <i val="0"/>
        <condense val="0"/>
        <extend val="0"/>
        <color indexed="9"/>
      </font>
      <fill>
        <patternFill>
          <bgColor indexed="16"/>
        </patternFill>
      </fill>
    </dxf>
    <dxf>
      <font>
        <b/>
        <i val="0"/>
        <condense val="0"/>
        <extend val="0"/>
        <color indexed="34"/>
      </font>
      <fill>
        <patternFill>
          <bgColor indexed="23"/>
        </patternFill>
      </fill>
    </dxf>
    <dxf>
      <font>
        <b/>
        <i val="0"/>
        <condense val="0"/>
        <extend val="0"/>
        <color indexed="9"/>
      </font>
      <fill>
        <patternFill>
          <bgColor indexed="16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ont>
        <b/>
        <i val="0"/>
        <condense val="0"/>
        <extend val="0"/>
        <color indexed="13"/>
      </font>
      <fill>
        <patternFill>
          <bgColor indexed="16"/>
        </patternFill>
      </fill>
    </dxf>
    <dxf>
      <font>
        <b/>
        <i val="0"/>
        <condense val="0"/>
        <extend val="0"/>
        <color indexed="12"/>
      </font>
      <fill>
        <patternFill>
          <bgColor indexed="15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ill>
        <patternFill>
          <bgColor indexed="51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indexed="17"/>
        </patternFill>
      </fill>
    </dxf>
    <dxf>
      <fill>
        <patternFill>
          <fgColor indexed="46"/>
          <bgColor indexed="42"/>
        </patternFill>
      </fill>
    </dxf>
    <dxf>
      <font>
        <b/>
        <i val="0"/>
        <condense val="0"/>
        <extend val="0"/>
        <color indexed="13"/>
      </font>
      <fill>
        <patternFill>
          <bgColor indexed="14"/>
        </patternFill>
      </fill>
    </dxf>
    <dxf>
      <fill>
        <patternFill>
          <bgColor indexed="16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12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6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42"/>
        </patternFill>
      </fill>
    </dxf>
    <dxf>
      <fill>
        <patternFill>
          <bgColor indexed="13"/>
        </patternFill>
      </fill>
    </dxf>
    <dxf>
      <fill>
        <patternFill>
          <bgColor indexed="51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6"/>
        </patternFill>
      </fill>
    </dxf>
    <dxf>
      <font>
        <b/>
        <i/>
        <condense val="0"/>
        <extend val="0"/>
        <color indexed="13"/>
      </font>
      <fill>
        <patternFill>
          <bgColor indexed="54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4"/>
        </patternFill>
      </fill>
    </dxf>
    <dxf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46"/>
        </patternFill>
      </fill>
    </dxf>
    <dxf>
      <font>
        <b/>
        <i val="0"/>
        <condense val="0"/>
        <extend val="0"/>
        <color indexed="34"/>
      </font>
      <fill>
        <patternFill>
          <bgColor indexed="23"/>
        </patternFill>
      </fill>
    </dxf>
    <dxf>
      <font>
        <b/>
        <i val="0"/>
        <condense val="0"/>
        <extend val="0"/>
      </font>
      <fill>
        <patternFill>
          <bgColor indexed="47"/>
        </patternFill>
      </fill>
    </dxf>
    <dxf>
      <font>
        <b/>
        <i val="0"/>
        <condense val="0"/>
        <extend val="0"/>
        <color indexed="9"/>
      </font>
      <fill>
        <patternFill>
          <bgColor indexed="16"/>
        </patternFill>
      </fill>
    </dxf>
    <dxf>
      <fill>
        <patternFill>
          <bgColor indexed="47"/>
        </patternFill>
      </fill>
    </dxf>
    <dxf>
      <fill>
        <patternFill>
          <bgColor indexed="41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ont>
        <b val="0"/>
        <i val="0"/>
        <condense val="0"/>
        <extend val="0"/>
      </font>
      <fill>
        <patternFill>
          <bgColor indexed="52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ont>
        <b val="0"/>
        <i val="0"/>
        <condense val="0"/>
        <extend val="0"/>
      </font>
      <fill>
        <patternFill>
          <bgColor indexed="52"/>
        </patternFill>
      </fill>
    </dxf>
    <dxf>
      <font>
        <condense val="0"/>
        <extend val="0"/>
        <color indexed="22"/>
      </font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4"/>
        </patternFill>
      </fill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51"/>
        </patternFill>
      </fill>
    </dxf>
    <dxf>
      <font>
        <b/>
        <i val="0"/>
        <condense val="0"/>
        <extend val="0"/>
        <color indexed="34"/>
      </font>
      <fill>
        <patternFill>
          <bgColor indexed="23"/>
        </patternFill>
      </fill>
    </dxf>
    <dxf>
      <font>
        <b/>
        <i val="0"/>
        <condense val="0"/>
        <extend val="0"/>
        <color indexed="9"/>
      </font>
      <fill>
        <patternFill>
          <bgColor indexed="16"/>
        </patternFill>
      </fill>
    </dxf>
    <dxf>
      <font>
        <b/>
        <i val="0"/>
        <condense val="0"/>
        <extend val="0"/>
        <color indexed="34"/>
      </font>
      <fill>
        <patternFill>
          <bgColor indexed="23"/>
        </patternFill>
      </fill>
    </dxf>
    <dxf>
      <font>
        <b/>
        <i val="0"/>
        <condense val="0"/>
        <extend val="0"/>
        <color indexed="9"/>
      </font>
      <fill>
        <patternFill>
          <bgColor indexed="16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41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11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9"/>
      </font>
      <fill>
        <patternFill>
          <bgColor indexed="17"/>
        </patternFill>
      </fill>
    </dxf>
    <dxf>
      <fill>
        <patternFill>
          <fgColor indexed="46"/>
          <bgColor indexed="42"/>
        </patternFill>
      </fill>
    </dxf>
    <dxf>
      <fill>
        <patternFill>
          <bgColor indexed="47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ont>
        <b/>
        <i val="0"/>
        <condense val="0"/>
        <extend val="0"/>
        <color indexed="13"/>
      </font>
      <fill>
        <patternFill>
          <bgColor indexed="16"/>
        </patternFill>
      </fill>
    </dxf>
    <dxf>
      <font>
        <b/>
        <i val="0"/>
        <condense val="0"/>
        <extend val="0"/>
        <color indexed="12"/>
      </font>
      <fill>
        <patternFill>
          <bgColor indexed="15"/>
        </patternFill>
      </fill>
    </dxf>
    <dxf>
      <font>
        <b/>
        <i val="0"/>
        <condense val="0"/>
        <extend val="0"/>
        <color indexed="13"/>
      </font>
      <fill>
        <patternFill>
          <bgColor indexed="14"/>
        </patternFill>
      </fill>
    </dxf>
    <dxf>
      <fill>
        <patternFill>
          <bgColor indexed="16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12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6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42"/>
        </patternFill>
      </fill>
    </dxf>
    <dxf>
      <fill>
        <patternFill>
          <bgColor indexed="13"/>
        </patternFill>
      </fill>
    </dxf>
    <dxf>
      <fill>
        <patternFill>
          <bgColor indexed="51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6"/>
        </patternFill>
      </fill>
    </dxf>
    <dxf>
      <font>
        <b/>
        <i/>
        <condense val="0"/>
        <extend val="0"/>
        <color indexed="13"/>
      </font>
      <fill>
        <patternFill>
          <bgColor indexed="54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4"/>
        </patternFill>
      </fill>
    </dxf>
    <dxf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46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ont>
        <b val="0"/>
        <i val="0"/>
        <condense val="0"/>
        <extend val="0"/>
      </font>
      <fill>
        <patternFill>
          <bgColor indexed="52"/>
        </patternFill>
      </fill>
    </dxf>
    <dxf>
      <font>
        <b/>
        <i val="0"/>
        <condense val="0"/>
        <extend val="0"/>
        <color indexed="34"/>
      </font>
      <fill>
        <patternFill>
          <bgColor indexed="23"/>
        </patternFill>
      </fill>
    </dxf>
    <dxf>
      <font>
        <b/>
        <i val="0"/>
        <condense val="0"/>
        <extend val="0"/>
      </font>
      <fill>
        <patternFill>
          <bgColor indexed="47"/>
        </patternFill>
      </fill>
    </dxf>
    <dxf>
      <font>
        <b/>
        <i val="0"/>
        <condense val="0"/>
        <extend val="0"/>
        <color indexed="9"/>
      </font>
      <fill>
        <patternFill>
          <bgColor indexed="16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ont>
        <b val="0"/>
        <i val="0"/>
        <condense val="0"/>
        <extend val="0"/>
      </font>
      <fill>
        <patternFill>
          <bgColor indexed="52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ont>
        <condense val="0"/>
        <extend val="0"/>
        <color indexed="22"/>
      </font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4"/>
        </patternFill>
      </fill>
    </dxf>
    <dxf>
      <fill>
        <patternFill>
          <bgColor indexed="41"/>
        </patternFill>
      </fill>
    </dxf>
    <dxf>
      <font>
        <b/>
        <i val="0"/>
        <condense val="0"/>
        <extend val="0"/>
        <color indexed="34"/>
      </font>
      <fill>
        <patternFill>
          <bgColor indexed="23"/>
        </patternFill>
      </fill>
    </dxf>
    <dxf>
      <font>
        <b/>
        <i val="0"/>
        <condense val="0"/>
        <extend val="0"/>
        <color indexed="9"/>
      </font>
      <fill>
        <patternFill>
          <bgColor indexed="16"/>
        </patternFill>
      </fill>
    </dxf>
    <dxf>
      <font>
        <b/>
        <i val="0"/>
        <condense val="0"/>
        <extend val="0"/>
        <color indexed="34"/>
      </font>
      <fill>
        <patternFill>
          <bgColor indexed="23"/>
        </patternFill>
      </fill>
    </dxf>
    <dxf>
      <font>
        <b/>
        <i val="0"/>
        <condense val="0"/>
        <extend val="0"/>
        <color indexed="9"/>
      </font>
      <fill>
        <patternFill>
          <bgColor indexed="16"/>
        </patternFill>
      </fill>
    </dxf>
    <dxf>
      <font>
        <b/>
        <i val="0"/>
        <condense val="0"/>
        <extend val="0"/>
        <color indexed="34"/>
      </font>
      <fill>
        <patternFill>
          <bgColor indexed="23"/>
        </patternFill>
      </fill>
    </dxf>
    <dxf>
      <font>
        <b/>
        <i val="0"/>
        <condense val="0"/>
        <extend val="0"/>
        <color indexed="9"/>
      </font>
      <fill>
        <patternFill>
          <bgColor indexed="16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ont>
        <b/>
        <i val="0"/>
        <condense val="0"/>
        <extend val="0"/>
        <color indexed="13"/>
      </font>
      <fill>
        <patternFill>
          <bgColor indexed="16"/>
        </patternFill>
      </fill>
    </dxf>
    <dxf>
      <font>
        <b/>
        <i val="0"/>
        <condense val="0"/>
        <extend val="0"/>
        <color indexed="12"/>
      </font>
      <fill>
        <patternFill>
          <bgColor indexed="15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ill>
        <patternFill>
          <bgColor indexed="51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51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11"/>
        </patternFill>
      </fill>
    </dxf>
    <dxf>
      <font>
        <condense val="0"/>
        <extend val="0"/>
        <color indexed="9"/>
      </font>
      <fill>
        <patternFill>
          <bgColor indexed="17"/>
        </patternFill>
      </fill>
    </dxf>
    <dxf>
      <fill>
        <patternFill>
          <fgColor indexed="46"/>
          <bgColor indexed="42"/>
        </patternFill>
      </fill>
    </dxf>
    <dxf>
      <font>
        <b/>
        <i val="0"/>
        <condense val="0"/>
        <extend val="0"/>
        <color indexed="13"/>
      </font>
      <fill>
        <patternFill>
          <bgColor indexed="14"/>
        </patternFill>
      </fill>
    </dxf>
    <dxf>
      <fill>
        <patternFill>
          <bgColor indexed="16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12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6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42"/>
        </patternFill>
      </fill>
    </dxf>
    <dxf>
      <fill>
        <patternFill>
          <bgColor indexed="13"/>
        </patternFill>
      </fill>
    </dxf>
    <dxf>
      <fill>
        <patternFill>
          <bgColor indexed="51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6"/>
        </patternFill>
      </fill>
    </dxf>
    <dxf>
      <font>
        <b/>
        <i/>
        <condense val="0"/>
        <extend val="0"/>
        <color indexed="13"/>
      </font>
      <fill>
        <patternFill>
          <bgColor indexed="54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4"/>
        </patternFill>
      </fill>
    </dxf>
    <dxf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46"/>
        </patternFill>
      </fill>
    </dxf>
    <dxf>
      <font>
        <b/>
        <i val="0"/>
        <condense val="0"/>
        <extend val="0"/>
        <color indexed="34"/>
      </font>
      <fill>
        <patternFill>
          <bgColor indexed="23"/>
        </patternFill>
      </fill>
    </dxf>
    <dxf>
      <font>
        <b/>
        <i val="0"/>
        <condense val="0"/>
        <extend val="0"/>
      </font>
      <fill>
        <patternFill>
          <bgColor indexed="47"/>
        </patternFill>
      </fill>
    </dxf>
    <dxf>
      <font>
        <b/>
        <i val="0"/>
        <condense val="0"/>
        <extend val="0"/>
        <color indexed="9"/>
      </font>
      <fill>
        <patternFill>
          <bgColor indexed="16"/>
        </patternFill>
      </fill>
    </dxf>
    <dxf>
      <fill>
        <patternFill>
          <bgColor indexed="47"/>
        </patternFill>
      </fill>
    </dxf>
    <dxf>
      <fill>
        <patternFill>
          <bgColor indexed="41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ont>
        <b val="0"/>
        <i val="0"/>
        <condense val="0"/>
        <extend val="0"/>
      </font>
      <fill>
        <patternFill>
          <bgColor indexed="52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ont>
        <b val="0"/>
        <i val="0"/>
        <condense val="0"/>
        <extend val="0"/>
      </font>
      <fill>
        <patternFill>
          <bgColor indexed="52"/>
        </patternFill>
      </fill>
    </dxf>
    <dxf>
      <font>
        <condense val="0"/>
        <extend val="0"/>
        <color indexed="22"/>
      </font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4"/>
        </patternFill>
      </fill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51"/>
        </patternFill>
      </fill>
    </dxf>
    <dxf>
      <font>
        <b/>
        <i val="0"/>
        <condense val="0"/>
        <extend val="0"/>
        <color indexed="34"/>
      </font>
      <fill>
        <patternFill>
          <bgColor indexed="23"/>
        </patternFill>
      </fill>
    </dxf>
    <dxf>
      <font>
        <b/>
        <i val="0"/>
        <condense val="0"/>
        <extend val="0"/>
        <color indexed="9"/>
      </font>
      <fill>
        <patternFill>
          <bgColor indexed="16"/>
        </patternFill>
      </fill>
    </dxf>
    <dxf>
      <font>
        <b/>
        <i val="0"/>
        <condense val="0"/>
        <extend val="0"/>
        <color indexed="34"/>
      </font>
      <fill>
        <patternFill>
          <bgColor indexed="23"/>
        </patternFill>
      </fill>
    </dxf>
    <dxf>
      <font>
        <b/>
        <i val="0"/>
        <condense val="0"/>
        <extend val="0"/>
        <color indexed="9"/>
      </font>
      <fill>
        <patternFill>
          <bgColor indexed="16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ont>
        <b/>
        <i val="0"/>
        <condense val="0"/>
        <extend val="0"/>
        <color indexed="34"/>
      </font>
      <fill>
        <patternFill>
          <bgColor indexed="23"/>
        </patternFill>
      </fill>
    </dxf>
    <dxf>
      <font>
        <b/>
        <i val="0"/>
        <condense val="0"/>
        <extend val="0"/>
        <color indexed="9"/>
      </font>
      <fill>
        <patternFill>
          <bgColor indexed="16"/>
        </patternFill>
      </fill>
    </dxf>
    <dxf>
      <fill>
        <patternFill>
          <bgColor indexed="51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51"/>
        </patternFill>
      </fill>
    </dxf>
    <dxf>
      <font>
        <b/>
        <i val="0"/>
        <condense val="0"/>
        <extend val="0"/>
        <color indexed="13"/>
      </font>
      <fill>
        <patternFill>
          <bgColor indexed="14"/>
        </patternFill>
      </fill>
    </dxf>
    <dxf>
      <fill>
        <patternFill>
          <bgColor indexed="16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12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6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42"/>
        </patternFill>
      </fill>
    </dxf>
    <dxf>
      <fill>
        <patternFill>
          <bgColor indexed="13"/>
        </patternFill>
      </fill>
    </dxf>
    <dxf>
      <fill>
        <patternFill>
          <bgColor indexed="51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6"/>
        </patternFill>
      </fill>
    </dxf>
    <dxf>
      <font>
        <b/>
        <i/>
        <condense val="0"/>
        <extend val="0"/>
        <color indexed="13"/>
      </font>
      <fill>
        <patternFill>
          <bgColor indexed="54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4"/>
        </patternFill>
      </fill>
    </dxf>
    <dxf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46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ont>
        <b val="0"/>
        <i val="0"/>
        <condense val="0"/>
        <extend val="0"/>
      </font>
      <fill>
        <patternFill>
          <bgColor indexed="52"/>
        </patternFill>
      </fill>
    </dxf>
    <dxf>
      <font>
        <b/>
        <i val="0"/>
        <condense val="0"/>
        <extend val="0"/>
        <color indexed="34"/>
      </font>
      <fill>
        <patternFill>
          <bgColor indexed="23"/>
        </patternFill>
      </fill>
    </dxf>
    <dxf>
      <font>
        <b/>
        <i val="0"/>
        <condense val="0"/>
        <extend val="0"/>
      </font>
      <fill>
        <patternFill>
          <bgColor indexed="47"/>
        </patternFill>
      </fill>
    </dxf>
    <dxf>
      <font>
        <b/>
        <i val="0"/>
        <condense val="0"/>
        <extend val="0"/>
        <color indexed="9"/>
      </font>
      <fill>
        <patternFill>
          <bgColor indexed="16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ont>
        <b val="0"/>
        <i val="0"/>
        <condense val="0"/>
        <extend val="0"/>
      </font>
      <fill>
        <patternFill>
          <bgColor indexed="5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22"/>
      </font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4"/>
        </patternFill>
      </fill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51"/>
        </patternFill>
      </fill>
    </dxf>
    <dxf>
      <fill>
        <patternFill>
          <bgColor indexed="41"/>
        </patternFill>
      </fill>
    </dxf>
    <dxf>
      <fill>
        <patternFill>
          <bgColor indexed="15"/>
        </patternFill>
      </fill>
    </dxf>
    <dxf>
      <fill>
        <patternFill>
          <bgColor indexed="51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11"/>
        </patternFill>
      </fill>
    </dxf>
    <dxf>
      <font>
        <condense val="0"/>
        <extend val="0"/>
        <color indexed="9"/>
      </font>
      <fill>
        <patternFill>
          <bgColor indexed="17"/>
        </patternFill>
      </fill>
    </dxf>
    <dxf>
      <fill>
        <patternFill>
          <fgColor indexed="46"/>
          <bgColor indexed="42"/>
        </patternFill>
      </fill>
    </dxf>
    <dxf>
      <fill>
        <patternFill>
          <bgColor indexed="47"/>
        </patternFill>
      </fill>
    </dxf>
    <dxf>
      <font>
        <b/>
        <i val="0"/>
        <condense val="0"/>
        <extend val="0"/>
        <color indexed="13"/>
      </font>
      <fill>
        <patternFill>
          <bgColor indexed="14"/>
        </patternFill>
      </fill>
    </dxf>
    <dxf>
      <fill>
        <patternFill>
          <bgColor indexed="16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12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6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42"/>
        </patternFill>
      </fill>
    </dxf>
    <dxf>
      <fill>
        <patternFill>
          <bgColor indexed="13"/>
        </patternFill>
      </fill>
    </dxf>
    <dxf>
      <fill>
        <patternFill>
          <bgColor indexed="51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6"/>
        </patternFill>
      </fill>
    </dxf>
    <dxf>
      <font>
        <b/>
        <i/>
        <condense val="0"/>
        <extend val="0"/>
        <color indexed="13"/>
      </font>
      <fill>
        <patternFill>
          <bgColor indexed="54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4"/>
        </patternFill>
      </fill>
    </dxf>
    <dxf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46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ont>
        <b val="0"/>
        <i val="0"/>
        <condense val="0"/>
        <extend val="0"/>
      </font>
      <fill>
        <patternFill>
          <bgColor indexed="52"/>
        </patternFill>
      </fill>
    </dxf>
    <dxf>
      <font>
        <b/>
        <i val="0"/>
        <condense val="0"/>
        <extend val="0"/>
        <color indexed="34"/>
      </font>
      <fill>
        <patternFill>
          <bgColor indexed="23"/>
        </patternFill>
      </fill>
    </dxf>
    <dxf>
      <font>
        <b/>
        <i val="0"/>
        <condense val="0"/>
        <extend val="0"/>
      </font>
      <fill>
        <patternFill>
          <bgColor indexed="47"/>
        </patternFill>
      </fill>
    </dxf>
    <dxf>
      <font>
        <b/>
        <i val="0"/>
        <condense val="0"/>
        <extend val="0"/>
        <color indexed="9"/>
      </font>
      <fill>
        <patternFill>
          <bgColor indexed="16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ont>
        <b val="0"/>
        <i val="0"/>
        <condense val="0"/>
        <extend val="0"/>
      </font>
      <fill>
        <patternFill>
          <bgColor indexed="52"/>
        </patternFill>
      </fill>
    </dxf>
    <dxf>
      <fill>
        <patternFill>
          <bgColor indexed="47"/>
        </patternFill>
      </fill>
    </dxf>
    <dxf>
      <font>
        <condense val="0"/>
        <extend val="0"/>
        <color indexed="22"/>
      </font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4"/>
        </patternFill>
      </fill>
    </dxf>
    <dxf>
      <fill>
        <patternFill>
          <bgColor indexed="41"/>
        </patternFill>
      </fill>
    </dxf>
    <dxf>
      <font>
        <b/>
        <i val="0"/>
        <condense val="0"/>
        <extend val="0"/>
        <color indexed="34"/>
      </font>
      <fill>
        <patternFill>
          <bgColor indexed="23"/>
        </patternFill>
      </fill>
    </dxf>
    <dxf>
      <font>
        <b/>
        <i val="0"/>
        <condense val="0"/>
        <extend val="0"/>
        <color indexed="9"/>
      </font>
      <fill>
        <patternFill>
          <bgColor indexed="16"/>
        </patternFill>
      </fill>
    </dxf>
    <dxf>
      <font>
        <b/>
        <i val="0"/>
        <condense val="0"/>
        <extend val="0"/>
        <color indexed="34"/>
      </font>
      <fill>
        <patternFill>
          <bgColor indexed="23"/>
        </patternFill>
      </fill>
    </dxf>
    <dxf>
      <font>
        <b/>
        <i val="0"/>
        <condense val="0"/>
        <extend val="0"/>
        <color indexed="9"/>
      </font>
      <fill>
        <patternFill>
          <bgColor indexed="16"/>
        </patternFill>
      </fill>
    </dxf>
    <dxf>
      <fill>
        <patternFill>
          <bgColor indexed="51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51"/>
        </patternFill>
      </fill>
    </dxf>
    <dxf>
      <font>
        <b/>
        <i val="0"/>
        <condense val="0"/>
        <extend val="0"/>
        <color indexed="13"/>
      </font>
      <fill>
        <patternFill>
          <bgColor indexed="14"/>
        </patternFill>
      </fill>
    </dxf>
    <dxf>
      <fill>
        <patternFill>
          <bgColor indexed="16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12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6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42"/>
        </patternFill>
      </fill>
    </dxf>
    <dxf>
      <fill>
        <patternFill>
          <bgColor indexed="13"/>
        </patternFill>
      </fill>
    </dxf>
    <dxf>
      <fill>
        <patternFill>
          <bgColor indexed="51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6"/>
        </patternFill>
      </fill>
    </dxf>
    <dxf>
      <font>
        <b/>
        <i/>
        <condense val="0"/>
        <extend val="0"/>
        <color indexed="13"/>
      </font>
      <fill>
        <patternFill>
          <bgColor indexed="54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4"/>
        </patternFill>
      </fill>
    </dxf>
    <dxf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46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ont>
        <b val="0"/>
        <i val="0"/>
        <condense val="0"/>
        <extend val="0"/>
      </font>
      <fill>
        <patternFill>
          <bgColor indexed="52"/>
        </patternFill>
      </fill>
    </dxf>
    <dxf>
      <font>
        <b/>
        <i val="0"/>
        <condense val="0"/>
        <extend val="0"/>
        <color indexed="34"/>
      </font>
      <fill>
        <patternFill>
          <bgColor indexed="23"/>
        </patternFill>
      </fill>
    </dxf>
    <dxf>
      <font>
        <b/>
        <i val="0"/>
        <condense val="0"/>
        <extend val="0"/>
      </font>
      <fill>
        <patternFill>
          <bgColor indexed="47"/>
        </patternFill>
      </fill>
    </dxf>
    <dxf>
      <font>
        <b/>
        <i val="0"/>
        <condense val="0"/>
        <extend val="0"/>
        <color indexed="9"/>
      </font>
      <fill>
        <patternFill>
          <bgColor indexed="16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ont>
        <b val="0"/>
        <i val="0"/>
        <condense val="0"/>
        <extend val="0"/>
      </font>
      <fill>
        <patternFill>
          <bgColor indexed="5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22"/>
      </font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4"/>
        </patternFill>
      </fill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51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51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51"/>
        </patternFill>
      </fill>
    </dxf>
    <dxf>
      <font>
        <b/>
        <i val="0"/>
        <condense val="0"/>
        <extend val="0"/>
        <color indexed="13"/>
      </font>
      <fill>
        <patternFill>
          <bgColor indexed="14"/>
        </patternFill>
      </fill>
    </dxf>
    <dxf>
      <fill>
        <patternFill>
          <bgColor indexed="16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12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6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42"/>
        </patternFill>
      </fill>
    </dxf>
    <dxf>
      <fill>
        <patternFill>
          <bgColor indexed="13"/>
        </patternFill>
      </fill>
    </dxf>
    <dxf>
      <fill>
        <patternFill>
          <bgColor indexed="51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6"/>
        </patternFill>
      </fill>
    </dxf>
    <dxf>
      <font>
        <b/>
        <i/>
        <condense val="0"/>
        <extend val="0"/>
        <color indexed="13"/>
      </font>
      <fill>
        <patternFill>
          <bgColor indexed="54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4"/>
        </patternFill>
      </fill>
    </dxf>
    <dxf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46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ont>
        <b val="0"/>
        <i val="0"/>
        <condense val="0"/>
        <extend val="0"/>
      </font>
      <fill>
        <patternFill>
          <bgColor indexed="52"/>
        </patternFill>
      </fill>
    </dxf>
    <dxf>
      <font>
        <b/>
        <i val="0"/>
        <condense val="0"/>
        <extend val="0"/>
        <color indexed="34"/>
      </font>
      <fill>
        <patternFill>
          <bgColor indexed="23"/>
        </patternFill>
      </fill>
    </dxf>
    <dxf>
      <font>
        <b/>
        <i val="0"/>
        <condense val="0"/>
        <extend val="0"/>
      </font>
      <fill>
        <patternFill>
          <bgColor indexed="47"/>
        </patternFill>
      </fill>
    </dxf>
    <dxf>
      <font>
        <b/>
        <i val="0"/>
        <condense val="0"/>
        <extend val="0"/>
        <color indexed="9"/>
      </font>
      <fill>
        <patternFill>
          <bgColor indexed="16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ont>
        <b val="0"/>
        <i val="0"/>
        <condense val="0"/>
        <extend val="0"/>
      </font>
      <fill>
        <patternFill>
          <bgColor indexed="52"/>
        </patternFill>
      </fill>
    </dxf>
    <dxf>
      <fill>
        <patternFill>
          <bgColor indexed="51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51"/>
        </patternFill>
      </fill>
    </dxf>
    <dxf>
      <font>
        <b/>
        <i val="0"/>
        <condense val="0"/>
        <extend val="0"/>
        <color indexed="13"/>
      </font>
      <fill>
        <patternFill>
          <bgColor indexed="14"/>
        </patternFill>
      </fill>
    </dxf>
    <dxf>
      <fill>
        <patternFill>
          <bgColor indexed="16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12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6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42"/>
        </patternFill>
      </fill>
    </dxf>
    <dxf>
      <fill>
        <patternFill>
          <bgColor indexed="13"/>
        </patternFill>
      </fill>
    </dxf>
    <dxf>
      <fill>
        <patternFill>
          <bgColor indexed="51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6"/>
        </patternFill>
      </fill>
    </dxf>
    <dxf>
      <font>
        <b/>
        <i/>
        <condense val="0"/>
        <extend val="0"/>
        <color indexed="13"/>
      </font>
      <fill>
        <patternFill>
          <bgColor indexed="54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4"/>
        </patternFill>
      </fill>
    </dxf>
    <dxf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46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ont>
        <b val="0"/>
        <i val="0"/>
        <condense val="0"/>
        <extend val="0"/>
      </font>
      <fill>
        <patternFill>
          <bgColor indexed="52"/>
        </patternFill>
      </fill>
    </dxf>
    <dxf>
      <font>
        <b/>
        <i val="0"/>
        <condense val="0"/>
        <extend val="0"/>
        <color indexed="34"/>
      </font>
      <fill>
        <patternFill>
          <bgColor indexed="23"/>
        </patternFill>
      </fill>
    </dxf>
    <dxf>
      <font>
        <b/>
        <i val="0"/>
        <condense val="0"/>
        <extend val="0"/>
      </font>
      <fill>
        <patternFill>
          <bgColor indexed="47"/>
        </patternFill>
      </fill>
    </dxf>
    <dxf>
      <font>
        <b/>
        <i val="0"/>
        <condense val="0"/>
        <extend val="0"/>
        <color indexed="9"/>
      </font>
      <fill>
        <patternFill>
          <bgColor indexed="16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ont>
        <b val="0"/>
        <i val="0"/>
        <condense val="0"/>
        <extend val="0"/>
      </font>
      <fill>
        <patternFill>
          <bgColor indexed="52"/>
        </patternFill>
      </fill>
    </dxf>
    <dxf>
      <fill>
        <patternFill>
          <bgColor indexed="15"/>
        </patternFill>
      </fill>
    </dxf>
    <dxf>
      <fill>
        <patternFill>
          <bgColor indexed="52"/>
        </patternFill>
      </fill>
    </dxf>
    <dxf>
      <font>
        <condense val="0"/>
        <extend val="0"/>
        <color indexed="22"/>
      </font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4"/>
        </patternFill>
      </fill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51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22"/>
      </font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4"/>
        </patternFill>
      </fill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51"/>
        </patternFill>
      </fill>
    </dxf>
    <dxf>
      <font>
        <b/>
        <i val="0"/>
        <condense val="0"/>
        <extend val="0"/>
        <color indexed="34"/>
      </font>
      <fill>
        <patternFill>
          <bgColor indexed="23"/>
        </patternFill>
      </fill>
    </dxf>
    <dxf>
      <font>
        <b/>
        <i val="0"/>
        <condense val="0"/>
        <extend val="0"/>
        <color indexed="9"/>
      </font>
      <fill>
        <patternFill>
          <bgColor indexed="16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ont>
        <b/>
        <i val="0"/>
        <condense val="0"/>
        <extend val="0"/>
        <color indexed="13"/>
      </font>
      <fill>
        <patternFill>
          <bgColor indexed="16"/>
        </patternFill>
      </fill>
    </dxf>
    <dxf>
      <font>
        <b/>
        <i val="0"/>
        <condense val="0"/>
        <extend val="0"/>
        <color indexed="12"/>
      </font>
      <fill>
        <patternFill>
          <bgColor indexed="15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11"/>
        </patternFill>
      </fill>
    </dxf>
    <dxf>
      <font>
        <condense val="0"/>
        <extend val="0"/>
        <color indexed="9"/>
      </font>
      <fill>
        <patternFill>
          <bgColor indexed="17"/>
        </patternFill>
      </fill>
    </dxf>
    <dxf>
      <fill>
        <patternFill>
          <fgColor indexed="46"/>
          <bgColor indexed="42"/>
        </patternFill>
      </fill>
    </dxf>
    <dxf>
      <fill>
        <patternFill>
          <bgColor indexed="47"/>
        </patternFill>
      </fill>
    </dxf>
    <dxf>
      <fill>
        <patternFill>
          <bgColor indexed="51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51"/>
        </patternFill>
      </fill>
    </dxf>
    <dxf>
      <font>
        <b/>
        <i val="0"/>
        <condense val="0"/>
        <extend val="0"/>
        <color indexed="13"/>
      </font>
      <fill>
        <patternFill>
          <bgColor indexed="14"/>
        </patternFill>
      </fill>
    </dxf>
    <dxf>
      <fill>
        <patternFill>
          <bgColor indexed="16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12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6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42"/>
        </patternFill>
      </fill>
    </dxf>
    <dxf>
      <fill>
        <patternFill>
          <bgColor indexed="13"/>
        </patternFill>
      </fill>
    </dxf>
    <dxf>
      <fill>
        <patternFill>
          <bgColor indexed="51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6"/>
        </patternFill>
      </fill>
    </dxf>
    <dxf>
      <font>
        <b/>
        <i/>
        <condense val="0"/>
        <extend val="0"/>
        <color indexed="13"/>
      </font>
      <fill>
        <patternFill>
          <bgColor indexed="54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4"/>
        </patternFill>
      </fill>
    </dxf>
    <dxf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46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ont>
        <b val="0"/>
        <i val="0"/>
        <condense val="0"/>
        <extend val="0"/>
      </font>
      <fill>
        <patternFill>
          <bgColor indexed="52"/>
        </patternFill>
      </fill>
    </dxf>
    <dxf>
      <font>
        <b/>
        <i val="0"/>
        <condense val="0"/>
        <extend val="0"/>
        <color indexed="34"/>
      </font>
      <fill>
        <patternFill>
          <bgColor indexed="23"/>
        </patternFill>
      </fill>
    </dxf>
    <dxf>
      <font>
        <b/>
        <i val="0"/>
        <condense val="0"/>
        <extend val="0"/>
      </font>
      <fill>
        <patternFill>
          <bgColor indexed="47"/>
        </patternFill>
      </fill>
    </dxf>
    <dxf>
      <font>
        <b/>
        <i val="0"/>
        <condense val="0"/>
        <extend val="0"/>
        <color indexed="9"/>
      </font>
      <fill>
        <patternFill>
          <bgColor indexed="16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ont>
        <b val="0"/>
        <i val="0"/>
        <condense val="0"/>
        <extend val="0"/>
      </font>
      <fill>
        <patternFill>
          <bgColor indexed="52"/>
        </patternFill>
      </fill>
    </dxf>
    <dxf>
      <font>
        <b/>
        <i val="0"/>
        <condense val="0"/>
        <extend val="0"/>
        <color indexed="34"/>
      </font>
      <fill>
        <patternFill>
          <bgColor indexed="23"/>
        </patternFill>
      </fill>
    </dxf>
    <dxf>
      <font>
        <b/>
        <i val="0"/>
        <condense val="0"/>
        <extend val="0"/>
        <color indexed="9"/>
      </font>
      <fill>
        <patternFill>
          <bgColor indexed="16"/>
        </patternFill>
      </fill>
    </dxf>
    <dxf>
      <fill>
        <patternFill>
          <bgColor indexed="47"/>
        </patternFill>
      </fill>
    </dxf>
    <dxf>
      <fill>
        <patternFill>
          <bgColor indexed="41"/>
        </patternFill>
      </fill>
    </dxf>
    <dxf>
      <font>
        <condense val="0"/>
        <extend val="0"/>
        <color indexed="22"/>
      </font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4"/>
        </patternFill>
      </fill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400050</xdr:colOff>
      <xdr:row>1</xdr:row>
      <xdr:rowOff>485775</xdr:rowOff>
    </xdr:from>
    <xdr:to>
      <xdr:col>1</xdr:col>
      <xdr:colOff>295275</xdr:colOff>
      <xdr:row>1</xdr:row>
      <xdr:rowOff>485775</xdr:rowOff>
    </xdr:to>
    <xdr:sp macro="" textlink="">
      <xdr:nvSpPr>
        <xdr:cNvPr id="2" name="Line 3"/>
        <xdr:cNvSpPr>
          <a:spLocks noChangeShapeType="1"/>
        </xdr:cNvSpPr>
      </xdr:nvSpPr>
      <xdr:spPr bwMode="auto">
        <a:xfrm>
          <a:off x="295275" y="419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876300</xdr:colOff>
      <xdr:row>2</xdr:row>
      <xdr:rowOff>9525</xdr:rowOff>
    </xdr:from>
    <xdr:to>
      <xdr:col>27</xdr:col>
      <xdr:colOff>47625</xdr:colOff>
      <xdr:row>2</xdr:row>
      <xdr:rowOff>9525</xdr:rowOff>
    </xdr:to>
    <xdr:sp macro="" textlink="">
      <xdr:nvSpPr>
        <xdr:cNvPr id="3" name="Line 4"/>
        <xdr:cNvSpPr>
          <a:spLocks noChangeShapeType="1"/>
        </xdr:cNvSpPr>
      </xdr:nvSpPr>
      <xdr:spPr bwMode="auto">
        <a:xfrm flipV="1">
          <a:off x="5591175" y="428625"/>
          <a:ext cx="15811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828675</xdr:colOff>
      <xdr:row>2</xdr:row>
      <xdr:rowOff>19050</xdr:rowOff>
    </xdr:from>
    <xdr:to>
      <xdr:col>4</xdr:col>
      <xdr:colOff>152400</xdr:colOff>
      <xdr:row>2</xdr:row>
      <xdr:rowOff>19050</xdr:rowOff>
    </xdr:to>
    <xdr:cxnSp macro="">
      <xdr:nvCxnSpPr>
        <xdr:cNvPr id="4" name="Straight Connector 3"/>
        <xdr:cNvCxnSpPr/>
      </xdr:nvCxnSpPr>
      <xdr:spPr>
        <a:xfrm>
          <a:off x="1123950" y="438150"/>
          <a:ext cx="6381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2</xdr:row>
      <xdr:rowOff>28575</xdr:rowOff>
    </xdr:from>
    <xdr:to>
      <xdr:col>3</xdr:col>
      <xdr:colOff>1390650</xdr:colOff>
      <xdr:row>2</xdr:row>
      <xdr:rowOff>28575</xdr:rowOff>
    </xdr:to>
    <xdr:sp macro="" textlink="">
      <xdr:nvSpPr>
        <xdr:cNvPr id="2" name="Line 33"/>
        <xdr:cNvSpPr>
          <a:spLocks noChangeShapeType="1"/>
        </xdr:cNvSpPr>
      </xdr:nvSpPr>
      <xdr:spPr bwMode="auto">
        <a:xfrm>
          <a:off x="904875" y="447675"/>
          <a:ext cx="857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419100</xdr:colOff>
      <xdr:row>2</xdr:row>
      <xdr:rowOff>19049</xdr:rowOff>
    </xdr:from>
    <xdr:to>
      <xdr:col>19</xdr:col>
      <xdr:colOff>219075</xdr:colOff>
      <xdr:row>2</xdr:row>
      <xdr:rowOff>19050</xdr:rowOff>
    </xdr:to>
    <xdr:sp macro="" textlink="">
      <xdr:nvSpPr>
        <xdr:cNvPr id="3" name="Line 47"/>
        <xdr:cNvSpPr>
          <a:spLocks noChangeShapeType="1"/>
        </xdr:cNvSpPr>
      </xdr:nvSpPr>
      <xdr:spPr bwMode="auto">
        <a:xfrm>
          <a:off x="4791075" y="438149"/>
          <a:ext cx="1600200" cy="1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400050</xdr:colOff>
      <xdr:row>1</xdr:row>
      <xdr:rowOff>485775</xdr:rowOff>
    </xdr:from>
    <xdr:to>
      <xdr:col>1</xdr:col>
      <xdr:colOff>304800</xdr:colOff>
      <xdr:row>1</xdr:row>
      <xdr:rowOff>485775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304800" y="419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g%20+PC%203-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.GiaoQĐ-$"/>
      <sheetName val="Ds QĐ=$"/>
      <sheetName val="TTr=$"/>
      <sheetName val="TB=$ "/>
      <sheetName val="@@ DL"/>
      <sheetName val="TB--%"/>
      <sheetName val="TTr--%"/>
      <sheetName val="Ds QĐ - %"/>
      <sheetName val="Giao QĐ - %"/>
      <sheetName val="Ds Huu+Thoi.."/>
      <sheetName val="TH số liệu"/>
      <sheetName val="- DLiêu Gốc -"/>
      <sheetName val="Sheet2"/>
      <sheetName val="CƠ CẤU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">
          <cell r="B1" t="str">
            <v>NGẠCH</v>
          </cell>
          <cell r="C1" t="str">
            <v>MÃ SỐ</v>
          </cell>
          <cell r="D1" t="str">
            <v>HS bậc 1</v>
          </cell>
          <cell r="E1" t="str">
            <v>BƯỚC</v>
          </cell>
          <cell r="F1" t="str">
            <v>LOẠI</v>
          </cell>
          <cell r="G1" t="str">
            <v>NHÓM</v>
          </cell>
        </row>
        <row r="2">
          <cell r="B2" t="str">
            <v>Giảng viên cao cấp (hạng I)</v>
          </cell>
          <cell r="C2" t="str">
            <v>V.07.01.01</v>
          </cell>
          <cell r="D2">
            <v>6.2</v>
          </cell>
          <cell r="E2">
            <v>0.36</v>
          </cell>
          <cell r="F2" t="str">
            <v>A3</v>
          </cell>
          <cell r="G2" t="str">
            <v>A3.1</v>
          </cell>
        </row>
        <row r="3">
          <cell r="B3" t="str">
            <v>Giảng viên chính (hạng II)</v>
          </cell>
          <cell r="C3" t="str">
            <v>V.07.01.02</v>
          </cell>
          <cell r="D3">
            <v>4.4000000000000004</v>
          </cell>
          <cell r="E3">
            <v>0.34</v>
          </cell>
          <cell r="F3" t="str">
            <v>A2</v>
          </cell>
          <cell r="G3" t="str">
            <v>A2.1</v>
          </cell>
        </row>
        <row r="4">
          <cell r="B4" t="str">
            <v>Giảng viên (hạng III)</v>
          </cell>
          <cell r="C4" t="str">
            <v>V.07.01.03</v>
          </cell>
          <cell r="D4">
            <v>2.34</v>
          </cell>
          <cell r="E4">
            <v>0.33</v>
          </cell>
          <cell r="F4" t="str">
            <v>A1</v>
          </cell>
          <cell r="G4" t="str">
            <v>- - -</v>
          </cell>
        </row>
        <row r="5">
          <cell r="B5" t="str">
            <v>Giáo viên trung học cao cấp</v>
          </cell>
          <cell r="C5" t="str">
            <v>15.112</v>
          </cell>
          <cell r="D5">
            <v>4</v>
          </cell>
          <cell r="E5">
            <v>0.34</v>
          </cell>
          <cell r="F5" t="str">
            <v>A2</v>
          </cell>
          <cell r="G5" t="str">
            <v>A2.2</v>
          </cell>
        </row>
        <row r="6">
          <cell r="B6" t="str">
            <v>Giáo viên trung học</v>
          </cell>
          <cell r="C6" t="str">
            <v>15.113</v>
          </cell>
          <cell r="D6">
            <v>2.34</v>
          </cell>
          <cell r="E6">
            <v>0.33</v>
          </cell>
          <cell r="F6" t="str">
            <v>A1</v>
          </cell>
          <cell r="G6" t="str">
            <v>- - -</v>
          </cell>
        </row>
        <row r="7">
          <cell r="B7" t="str">
            <v>Giáo viên trung học cơ sở chính</v>
          </cell>
          <cell r="C7" t="str">
            <v>15a.201</v>
          </cell>
          <cell r="D7">
            <v>2.34</v>
          </cell>
          <cell r="E7">
            <v>0.33</v>
          </cell>
          <cell r="F7" t="str">
            <v>A1</v>
          </cell>
          <cell r="G7" t="str">
            <v>- - -</v>
          </cell>
        </row>
        <row r="8">
          <cell r="B8" t="str">
            <v>Giáo viên trung học cơ sở</v>
          </cell>
          <cell r="C8" t="str">
            <v>15a.202</v>
          </cell>
          <cell r="D8">
            <v>2.1</v>
          </cell>
          <cell r="E8">
            <v>0.31</v>
          </cell>
          <cell r="F8" t="str">
            <v>A0</v>
          </cell>
          <cell r="G8" t="str">
            <v>- - -</v>
          </cell>
        </row>
        <row r="9">
          <cell r="B9" t="str">
            <v>Nghiên cứu viên cao cấp (hạng I)</v>
          </cell>
          <cell r="C9" t="str">
            <v>V.05.01.01</v>
          </cell>
          <cell r="D9">
            <v>6.2</v>
          </cell>
          <cell r="E9">
            <v>0.36</v>
          </cell>
          <cell r="F9" t="str">
            <v>A3</v>
          </cell>
          <cell r="G9" t="str">
            <v>A3.1</v>
          </cell>
        </row>
        <row r="10">
          <cell r="B10" t="str">
            <v>Nghiên cứu viên chính (hạng II)</v>
          </cell>
          <cell r="C10" t="str">
            <v>V.05.01.02</v>
          </cell>
          <cell r="D10">
            <v>4.4000000000000004</v>
          </cell>
          <cell r="E10">
            <v>0.34</v>
          </cell>
          <cell r="F10" t="str">
            <v>A2</v>
          </cell>
          <cell r="G10" t="str">
            <v>A2.1</v>
          </cell>
        </row>
        <row r="11">
          <cell r="B11" t="str">
            <v>Nghiên cứu viên (hạng III)</v>
          </cell>
          <cell r="C11" t="str">
            <v>V.05.01.03</v>
          </cell>
          <cell r="D11">
            <v>2.34</v>
          </cell>
          <cell r="E11">
            <v>0.33</v>
          </cell>
          <cell r="F11" t="str">
            <v>A1</v>
          </cell>
          <cell r="G11" t="str">
            <v>- - -</v>
          </cell>
        </row>
        <row r="12">
          <cell r="B12" t="str">
            <v>Chuyên viên cao cấp</v>
          </cell>
          <cell r="C12" t="str">
            <v>01.001</v>
          </cell>
          <cell r="D12">
            <v>6.2</v>
          </cell>
          <cell r="E12">
            <v>0.36</v>
          </cell>
          <cell r="F12" t="str">
            <v>A3</v>
          </cell>
          <cell r="G12" t="str">
            <v>A3.1</v>
          </cell>
        </row>
        <row r="13">
          <cell r="B13" t="str">
            <v>Chuyên viên chính</v>
          </cell>
          <cell r="C13" t="str">
            <v>01.002</v>
          </cell>
          <cell r="D13">
            <v>4.4000000000000004</v>
          </cell>
          <cell r="E13">
            <v>0.34</v>
          </cell>
          <cell r="F13" t="str">
            <v>A2</v>
          </cell>
          <cell r="G13" t="str">
            <v>A2.1</v>
          </cell>
        </row>
        <row r="14">
          <cell r="B14" t="str">
            <v>Chuyên viên</v>
          </cell>
          <cell r="C14" t="str">
            <v>01.003</v>
          </cell>
          <cell r="D14">
            <v>2.34</v>
          </cell>
          <cell r="E14">
            <v>0.33</v>
          </cell>
          <cell r="F14" t="str">
            <v>A1</v>
          </cell>
          <cell r="G14" t="str">
            <v>- - -</v>
          </cell>
        </row>
        <row r="15">
          <cell r="B15" t="str">
            <v>Chuyên viên (cao đẳng)</v>
          </cell>
          <cell r="C15" t="str">
            <v>01a.003</v>
          </cell>
          <cell r="D15">
            <v>2.1</v>
          </cell>
          <cell r="E15">
            <v>0.31</v>
          </cell>
          <cell r="F15" t="str">
            <v>A0</v>
          </cell>
          <cell r="G15" t="str">
            <v>- - -</v>
          </cell>
        </row>
        <row r="16">
          <cell r="B16" t="str">
            <v>Cán sự</v>
          </cell>
          <cell r="C16" t="str">
            <v>01.004</v>
          </cell>
          <cell r="D16">
            <v>1.86</v>
          </cell>
          <cell r="E16">
            <v>0.2</v>
          </cell>
          <cell r="F16" t="str">
            <v>B</v>
          </cell>
          <cell r="G16" t="str">
            <v>- - -</v>
          </cell>
        </row>
        <row r="17">
          <cell r="B17" t="str">
            <v>Thanh tra viên cao cấp</v>
          </cell>
          <cell r="C17" t="str">
            <v>04.023</v>
          </cell>
          <cell r="D17">
            <v>6.2</v>
          </cell>
          <cell r="E17">
            <v>0.36</v>
          </cell>
          <cell r="F17" t="str">
            <v>A3</v>
          </cell>
          <cell r="G17" t="str">
            <v>A3.1</v>
          </cell>
        </row>
        <row r="18">
          <cell r="B18" t="str">
            <v>Thanh tra viên chính</v>
          </cell>
          <cell r="C18" t="str">
            <v>04.024</v>
          </cell>
          <cell r="D18">
            <v>4.4000000000000004</v>
          </cell>
          <cell r="E18">
            <v>0.34</v>
          </cell>
          <cell r="F18" t="str">
            <v>A2</v>
          </cell>
          <cell r="G18" t="str">
            <v>A2.1</v>
          </cell>
        </row>
        <row r="19">
          <cell r="B19" t="str">
            <v>Thanh tra viên</v>
          </cell>
          <cell r="C19" t="str">
            <v>04.025</v>
          </cell>
          <cell r="D19">
            <v>2.34</v>
          </cell>
          <cell r="E19">
            <v>0.33</v>
          </cell>
          <cell r="F19" t="str">
            <v>A1</v>
          </cell>
          <cell r="G19" t="str">
            <v>- - -</v>
          </cell>
        </row>
        <row r="20">
          <cell r="B20" t="str">
            <v>Thẩm tra viên</v>
          </cell>
          <cell r="C20" t="str">
            <v>03.230</v>
          </cell>
          <cell r="D20">
            <v>2.34</v>
          </cell>
          <cell r="E20">
            <v>0.33</v>
          </cell>
          <cell r="F20" t="str">
            <v>A1</v>
          </cell>
          <cell r="G20" t="str">
            <v>- - -</v>
          </cell>
        </row>
        <row r="21">
          <cell r="B21" t="str">
            <v>Thư viện viên cao cấp</v>
          </cell>
          <cell r="C21" t="str">
            <v>17.168</v>
          </cell>
          <cell r="D21">
            <v>5.75</v>
          </cell>
          <cell r="E21">
            <v>0.36</v>
          </cell>
          <cell r="F21" t="str">
            <v>A3</v>
          </cell>
          <cell r="G21" t="str">
            <v>A3.2</v>
          </cell>
        </row>
        <row r="22">
          <cell r="B22" t="str">
            <v>Thư viện viên chính</v>
          </cell>
          <cell r="C22" t="str">
            <v>17.169</v>
          </cell>
          <cell r="D22">
            <v>4</v>
          </cell>
          <cell r="E22">
            <v>0.34</v>
          </cell>
          <cell r="F22" t="str">
            <v>A2</v>
          </cell>
          <cell r="G22" t="str">
            <v>A2.2</v>
          </cell>
        </row>
        <row r="23">
          <cell r="B23" t="str">
            <v>Thư viện viên</v>
          </cell>
          <cell r="C23" t="str">
            <v>17.170</v>
          </cell>
          <cell r="D23">
            <v>2.34</v>
          </cell>
          <cell r="E23">
            <v>0.33</v>
          </cell>
          <cell r="F23" t="str">
            <v>A1</v>
          </cell>
          <cell r="G23" t="str">
            <v>- - -</v>
          </cell>
        </row>
        <row r="24">
          <cell r="B24" t="str">
            <v>Thư viện viên (cao đẳng)</v>
          </cell>
          <cell r="C24" t="str">
            <v>17a.170</v>
          </cell>
          <cell r="D24">
            <v>2.1</v>
          </cell>
          <cell r="E24">
            <v>0.31</v>
          </cell>
          <cell r="F24" t="str">
            <v>A0</v>
          </cell>
          <cell r="G24" t="str">
            <v>- - -</v>
          </cell>
        </row>
        <row r="25">
          <cell r="B25" t="str">
            <v>Thư viện viên trung cấp</v>
          </cell>
          <cell r="C25" t="str">
            <v>17.171</v>
          </cell>
          <cell r="D25">
            <v>1.86</v>
          </cell>
          <cell r="E25">
            <v>0.2</v>
          </cell>
          <cell r="F25" t="str">
            <v>B</v>
          </cell>
          <cell r="G25" t="str">
            <v>- - -</v>
          </cell>
        </row>
        <row r="26">
          <cell r="B26" t="str">
            <v>Kỹ sư cao cấp (hạng I)</v>
          </cell>
          <cell r="C26" t="str">
            <v>V.05.02.05</v>
          </cell>
          <cell r="D26">
            <v>6.2</v>
          </cell>
          <cell r="E26">
            <v>0.36</v>
          </cell>
          <cell r="F26" t="str">
            <v>A3</v>
          </cell>
          <cell r="G26" t="str">
            <v>A3.1</v>
          </cell>
        </row>
        <row r="27">
          <cell r="B27" t="str">
            <v>Kỹ sư chính (hạng II)</v>
          </cell>
          <cell r="C27" t="str">
            <v>V.05.02.06</v>
          </cell>
          <cell r="D27">
            <v>4.4000000000000004</v>
          </cell>
          <cell r="E27">
            <v>0.34</v>
          </cell>
          <cell r="F27" t="str">
            <v>A2</v>
          </cell>
          <cell r="G27" t="str">
            <v>A2.1</v>
          </cell>
        </row>
        <row r="28">
          <cell r="B28" t="str">
            <v>Kỹ sư (hạng III)</v>
          </cell>
          <cell r="C28" t="str">
            <v>V.05.02.07</v>
          </cell>
          <cell r="D28">
            <v>2.34</v>
          </cell>
          <cell r="E28">
            <v>0.33</v>
          </cell>
          <cell r="F28" t="str">
            <v>A1</v>
          </cell>
          <cell r="G28" t="str">
            <v>- - -</v>
          </cell>
        </row>
        <row r="29">
          <cell r="B29" t="str">
            <v>Kỹ thuật viên (hạng IV)</v>
          </cell>
          <cell r="C29" t="str">
            <v>V.05.02.08</v>
          </cell>
          <cell r="D29">
            <v>1.86</v>
          </cell>
          <cell r="E29">
            <v>0.2</v>
          </cell>
          <cell r="F29" t="str">
            <v>B</v>
          </cell>
          <cell r="G29" t="str">
            <v>- - -</v>
          </cell>
        </row>
        <row r="30">
          <cell r="B30" t="str">
            <v>Bác sỹ cao cấp</v>
          </cell>
          <cell r="C30" t="str">
            <v>16.116</v>
          </cell>
          <cell r="D30">
            <v>6.2</v>
          </cell>
          <cell r="E30">
            <v>0.36</v>
          </cell>
          <cell r="F30" t="str">
            <v>A3</v>
          </cell>
          <cell r="G30" t="str">
            <v>A3.1</v>
          </cell>
        </row>
        <row r="31">
          <cell r="B31" t="str">
            <v>Bác sỹ chính</v>
          </cell>
          <cell r="C31" t="str">
            <v>16.117</v>
          </cell>
          <cell r="D31">
            <v>4.4000000000000004</v>
          </cell>
          <cell r="E31">
            <v>0.34</v>
          </cell>
          <cell r="F31" t="str">
            <v>A2</v>
          </cell>
          <cell r="G31" t="str">
            <v>A2.1</v>
          </cell>
        </row>
        <row r="32">
          <cell r="B32" t="str">
            <v>Bác sỹ</v>
          </cell>
          <cell r="C32" t="str">
            <v>16.118</v>
          </cell>
          <cell r="D32">
            <v>2.34</v>
          </cell>
          <cell r="E32">
            <v>0.33</v>
          </cell>
          <cell r="F32" t="str">
            <v>A1</v>
          </cell>
          <cell r="G32" t="str">
            <v>- - -</v>
          </cell>
        </row>
        <row r="33">
          <cell r="B33" t="str">
            <v>Y sỹ</v>
          </cell>
          <cell r="C33" t="str">
            <v>16.119</v>
          </cell>
          <cell r="D33">
            <v>1.86</v>
          </cell>
          <cell r="E33">
            <v>0.2</v>
          </cell>
          <cell r="F33" t="str">
            <v>B</v>
          </cell>
          <cell r="G33" t="str">
            <v>- - -</v>
          </cell>
        </row>
        <row r="34">
          <cell r="B34" t="str">
            <v>Biên tập viên cao cấp</v>
          </cell>
          <cell r="C34" t="str">
            <v>17.139</v>
          </cell>
          <cell r="D34">
            <v>6.2</v>
          </cell>
          <cell r="E34">
            <v>0.36</v>
          </cell>
          <cell r="F34" t="str">
            <v>A3</v>
          </cell>
          <cell r="G34" t="str">
            <v>A3.1</v>
          </cell>
        </row>
        <row r="35">
          <cell r="B35" t="str">
            <v>Biên tập viên chính</v>
          </cell>
          <cell r="C35" t="str">
            <v>17.140</v>
          </cell>
          <cell r="D35">
            <v>4.4000000000000004</v>
          </cell>
          <cell r="E35">
            <v>0.34</v>
          </cell>
          <cell r="F35" t="str">
            <v>A2</v>
          </cell>
          <cell r="G35" t="str">
            <v>A2.1</v>
          </cell>
        </row>
        <row r="36">
          <cell r="B36" t="str">
            <v>Biên tập viên</v>
          </cell>
          <cell r="C36" t="str">
            <v>17.141</v>
          </cell>
          <cell r="D36">
            <v>2.34</v>
          </cell>
          <cell r="E36">
            <v>0.33</v>
          </cell>
          <cell r="F36" t="str">
            <v>A1</v>
          </cell>
          <cell r="G36" t="str">
            <v>- - -</v>
          </cell>
        </row>
        <row r="37">
          <cell r="B37" t="str">
            <v>Phóng viên cao cấp</v>
          </cell>
          <cell r="C37" t="str">
            <v>17.142</v>
          </cell>
          <cell r="D37">
            <v>6.2</v>
          </cell>
          <cell r="E37">
            <v>0.36</v>
          </cell>
          <cell r="F37" t="str">
            <v>A3</v>
          </cell>
          <cell r="G37" t="str">
            <v>A3.1</v>
          </cell>
        </row>
        <row r="38">
          <cell r="B38" t="str">
            <v>Phóng viên chính</v>
          </cell>
          <cell r="C38" t="str">
            <v>17.143</v>
          </cell>
          <cell r="D38">
            <v>4.4000000000000004</v>
          </cell>
          <cell r="E38">
            <v>0.34</v>
          </cell>
          <cell r="F38" t="str">
            <v>A2</v>
          </cell>
          <cell r="G38" t="str">
            <v>A2.1</v>
          </cell>
        </row>
        <row r="39">
          <cell r="B39" t="str">
            <v>Phóng viên</v>
          </cell>
          <cell r="C39" t="str">
            <v>17.144</v>
          </cell>
          <cell r="D39">
            <v>2.34</v>
          </cell>
          <cell r="E39">
            <v>0.33</v>
          </cell>
          <cell r="F39" t="str">
            <v>A1</v>
          </cell>
          <cell r="G39" t="str">
            <v>- - -</v>
          </cell>
        </row>
        <row r="40">
          <cell r="B40" t="str">
            <v>Kế toán viên cao cấp</v>
          </cell>
          <cell r="C40" t="str">
            <v>06.029</v>
          </cell>
          <cell r="D40">
            <v>5.75</v>
          </cell>
          <cell r="E40">
            <v>0.36</v>
          </cell>
          <cell r="F40" t="str">
            <v>A3</v>
          </cell>
          <cell r="G40" t="str">
            <v>A3.2</v>
          </cell>
        </row>
        <row r="41">
          <cell r="B41" t="str">
            <v>Kế toán viên chính</v>
          </cell>
          <cell r="C41" t="str">
            <v>06.030</v>
          </cell>
          <cell r="D41">
            <v>4</v>
          </cell>
          <cell r="E41">
            <v>0.34</v>
          </cell>
          <cell r="F41" t="str">
            <v>A2</v>
          </cell>
          <cell r="G41" t="str">
            <v>A2.2</v>
          </cell>
        </row>
        <row r="42">
          <cell r="B42" t="str">
            <v>Kế toán viên</v>
          </cell>
          <cell r="C42" t="str">
            <v>06.031</v>
          </cell>
          <cell r="D42">
            <v>2.34</v>
          </cell>
          <cell r="E42">
            <v>0.33</v>
          </cell>
          <cell r="F42" t="str">
            <v>A1</v>
          </cell>
          <cell r="G42" t="str">
            <v>- - -</v>
          </cell>
        </row>
        <row r="43">
          <cell r="B43" t="str">
            <v>Kế toán viên (cao đẳng)</v>
          </cell>
          <cell r="C43" t="str">
            <v>06a.031</v>
          </cell>
          <cell r="D43">
            <v>2.1</v>
          </cell>
          <cell r="E43">
            <v>0.31</v>
          </cell>
          <cell r="F43" t="str">
            <v>A0</v>
          </cell>
          <cell r="G43" t="str">
            <v>- - -</v>
          </cell>
        </row>
        <row r="44">
          <cell r="B44" t="str">
            <v>Kế toán viên trung cấp</v>
          </cell>
          <cell r="C44" t="str">
            <v>06.032</v>
          </cell>
          <cell r="D44">
            <v>1.86</v>
          </cell>
          <cell r="E44">
            <v>0.2</v>
          </cell>
          <cell r="F44" t="str">
            <v>B</v>
          </cell>
          <cell r="G44" t="str">
            <v>- - -</v>
          </cell>
        </row>
        <row r="45">
          <cell r="B45" t="str">
            <v>Lưu trữ viên</v>
          </cell>
          <cell r="C45" t="str">
            <v>02.014</v>
          </cell>
          <cell r="D45">
            <v>2.34</v>
          </cell>
          <cell r="E45">
            <v>0.33</v>
          </cell>
          <cell r="F45" t="str">
            <v>A1</v>
          </cell>
          <cell r="G45" t="str">
            <v>- - -</v>
          </cell>
        </row>
        <row r="46">
          <cell r="B46" t="str">
            <v>Lưu trữ viên (cao đẳng)</v>
          </cell>
          <cell r="C46" t="str">
            <v>02a.014</v>
          </cell>
          <cell r="D46">
            <v>2.1</v>
          </cell>
          <cell r="E46">
            <v>0.31</v>
          </cell>
          <cell r="F46" t="str">
            <v>A0</v>
          </cell>
          <cell r="G46" t="str">
            <v>- - -</v>
          </cell>
        </row>
        <row r="47">
          <cell r="B47" t="str">
            <v>Lưu trữ viên trung cấp</v>
          </cell>
          <cell r="C47" t="str">
            <v>02.015</v>
          </cell>
          <cell r="D47">
            <v>1.86</v>
          </cell>
          <cell r="E47">
            <v>0.2</v>
          </cell>
          <cell r="F47" t="str">
            <v>B</v>
          </cell>
          <cell r="G47" t="str">
            <v>- - -</v>
          </cell>
        </row>
        <row r="48">
          <cell r="B48" t="str">
            <v>Kỹ Thuật viên đánh máy</v>
          </cell>
          <cell r="C48" t="str">
            <v>01.005</v>
          </cell>
          <cell r="D48">
            <v>1.5</v>
          </cell>
          <cell r="E48">
            <v>0.18</v>
          </cell>
          <cell r="F48" t="str">
            <v>C</v>
          </cell>
          <cell r="G48" t="str">
            <v>Nhân viên</v>
          </cell>
        </row>
        <row r="49">
          <cell r="B49" t="str">
            <v>Nhân viên đánh máy</v>
          </cell>
          <cell r="C49" t="str">
            <v>01.006</v>
          </cell>
          <cell r="D49">
            <v>1.5</v>
          </cell>
          <cell r="E49">
            <v>0.18</v>
          </cell>
          <cell r="F49" t="str">
            <v>C</v>
          </cell>
          <cell r="G49" t="str">
            <v>Nhân viên</v>
          </cell>
        </row>
        <row r="50">
          <cell r="B50" t="str">
            <v>Nhân viên kỹ thuật</v>
          </cell>
          <cell r="C50" t="str">
            <v>01.007</v>
          </cell>
          <cell r="D50">
            <v>1.65</v>
          </cell>
          <cell r="E50">
            <v>0.18</v>
          </cell>
          <cell r="F50" t="str">
            <v>C</v>
          </cell>
          <cell r="G50" t="str">
            <v>Nhân viên</v>
          </cell>
        </row>
        <row r="51">
          <cell r="B51" t="str">
            <v>Nhân viên văn thư</v>
          </cell>
          <cell r="C51" t="str">
            <v>01.008</v>
          </cell>
          <cell r="D51">
            <v>1.35</v>
          </cell>
          <cell r="E51">
            <v>0.18</v>
          </cell>
          <cell r="F51" t="str">
            <v>C</v>
          </cell>
          <cell r="G51" t="str">
            <v>Nhân viên</v>
          </cell>
        </row>
        <row r="52">
          <cell r="B52" t="str">
            <v>Nhân viên phục vụ</v>
          </cell>
          <cell r="C52" t="str">
            <v>01.009</v>
          </cell>
          <cell r="D52">
            <v>1</v>
          </cell>
          <cell r="E52">
            <v>0.18</v>
          </cell>
          <cell r="F52" t="str">
            <v>C</v>
          </cell>
          <cell r="G52" t="str">
            <v>Nhân viên</v>
          </cell>
        </row>
        <row r="53">
          <cell r="B53" t="str">
            <v>Lái xe cơ quan</v>
          </cell>
          <cell r="C53" t="str">
            <v>01.010</v>
          </cell>
          <cell r="D53">
            <v>2.0499999999999998</v>
          </cell>
          <cell r="E53">
            <v>0.18</v>
          </cell>
          <cell r="F53" t="str">
            <v>C</v>
          </cell>
          <cell r="G53" t="str">
            <v>Nhân viên</v>
          </cell>
        </row>
        <row r="54">
          <cell r="B54" t="str">
            <v>Nhân viên bảo vệ</v>
          </cell>
          <cell r="C54" t="str">
            <v>01.011</v>
          </cell>
          <cell r="D54">
            <v>1.5</v>
          </cell>
          <cell r="E54">
            <v>0.18</v>
          </cell>
          <cell r="F54" t="str">
            <v>C</v>
          </cell>
          <cell r="G54" t="str">
            <v>Nhân viên</v>
          </cell>
        </row>
        <row r="55">
          <cell r="B55" t="str">
            <v>Thủ kho bảo quản</v>
          </cell>
          <cell r="C55" t="str">
            <v>19.185</v>
          </cell>
          <cell r="D55">
            <v>1.65</v>
          </cell>
          <cell r="E55">
            <v>0.18</v>
          </cell>
          <cell r="F55" t="str">
            <v>C</v>
          </cell>
          <cell r="G55" t="str">
            <v>Nhân viên</v>
          </cell>
        </row>
        <row r="56">
          <cell r="B56" t="str">
            <v>Thủ quỹ</v>
          </cell>
          <cell r="C56" t="str">
            <v>06.035</v>
          </cell>
          <cell r="D56">
            <v>1.5</v>
          </cell>
          <cell r="E56">
            <v>0.18</v>
          </cell>
          <cell r="F56" t="str">
            <v>C</v>
          </cell>
          <cell r="G56" t="str">
            <v>Nhân viên</v>
          </cell>
        </row>
        <row r="71">
          <cell r="B71" t="str">
            <v>CHỨC VỤ</v>
          </cell>
          <cell r="C71" t="str">
            <v>PC CV</v>
          </cell>
        </row>
        <row r="72">
          <cell r="B72" t="str">
            <v>Giám đốc Học viện</v>
          </cell>
          <cell r="C72">
            <v>1.3</v>
          </cell>
        </row>
        <row r="73">
          <cell r="B73" t="str">
            <v>Nguyên giám đốc Học viện</v>
          </cell>
          <cell r="C73">
            <v>1.3</v>
          </cell>
        </row>
        <row r="74">
          <cell r="B74" t="str">
            <v>Phó Giám đốc Học viện</v>
          </cell>
          <cell r="C74">
            <v>1.1000000000000001</v>
          </cell>
        </row>
        <row r="75">
          <cell r="B75" t="str">
            <v>Nguyên Phó giám đốc Học viện</v>
          </cell>
          <cell r="C75">
            <v>1.1000000000000001</v>
          </cell>
        </row>
        <row r="76">
          <cell r="B76" t="str">
            <v>Giám đốc phân viện</v>
          </cell>
          <cell r="C76" t="str">
            <v>1,2</v>
          </cell>
        </row>
        <row r="77">
          <cell r="B77" t="str">
            <v>Trưởng khoa</v>
          </cell>
          <cell r="C77" t="str">
            <v>1,0</v>
          </cell>
        </row>
        <row r="78">
          <cell r="B78" t="str">
            <v>Nguyên Trưởng khoa</v>
          </cell>
          <cell r="C78" t="str">
            <v>1,0</v>
          </cell>
        </row>
        <row r="79">
          <cell r="B79" t="str">
            <v>Phó Trưởng khoa</v>
          </cell>
          <cell r="C79" t="str">
            <v>0,8</v>
          </cell>
        </row>
        <row r="80">
          <cell r="B80" t="str">
            <v>Nguyên Phó trưởng khoa</v>
          </cell>
          <cell r="C80" t="str">
            <v>0,8</v>
          </cell>
        </row>
        <row r="81">
          <cell r="B81" t="str">
            <v>Trưởng ban</v>
          </cell>
          <cell r="C81" t="str">
            <v>1,0</v>
          </cell>
        </row>
        <row r="82">
          <cell r="B82" t="str">
            <v>Nguyên Trưởng ban</v>
          </cell>
          <cell r="C82" t="str">
            <v>1,0</v>
          </cell>
        </row>
        <row r="83">
          <cell r="B83" t="str">
            <v>Phó Trưởng ban</v>
          </cell>
          <cell r="C83" t="str">
            <v>0,8</v>
          </cell>
        </row>
        <row r="84">
          <cell r="B84" t="str">
            <v>Phó Trưởng ban (PT)</v>
          </cell>
          <cell r="C84" t="str">
            <v>0,8</v>
          </cell>
        </row>
        <row r="85">
          <cell r="B85" t="str">
            <v>Nguyên Phó trưởng ban</v>
          </cell>
          <cell r="C85" t="str">
            <v>0,8</v>
          </cell>
        </row>
        <row r="86">
          <cell r="B86" t="str">
            <v>Trưởng phòng</v>
          </cell>
          <cell r="C86" t="str">
            <v>0,6</v>
          </cell>
        </row>
        <row r="87">
          <cell r="B87" t="str">
            <v>Q. Trưởng phòng</v>
          </cell>
          <cell r="C87" t="str">
            <v>0,6</v>
          </cell>
        </row>
        <row r="88">
          <cell r="B88" t="str">
            <v>Phó Trưởng phòng</v>
          </cell>
          <cell r="C88" t="str">
            <v>0,4</v>
          </cell>
        </row>
        <row r="89">
          <cell r="B89" t="str">
            <v>Phó Trưởng phòng (PT)</v>
          </cell>
          <cell r="C89" t="str">
            <v>0,4</v>
          </cell>
        </row>
        <row r="90">
          <cell r="B90" t="str">
            <v>Trưởng bộ môn</v>
          </cell>
          <cell r="C90" t="str">
            <v>0,6</v>
          </cell>
        </row>
        <row r="91">
          <cell r="B91" t="str">
            <v>Phó Trưởng bộ môn</v>
          </cell>
          <cell r="C91" t="str">
            <v>0,4</v>
          </cell>
        </row>
        <row r="92">
          <cell r="B92" t="str">
            <v>Tổng Biên tập</v>
          </cell>
          <cell r="C92" t="str">
            <v>1,0</v>
          </cell>
        </row>
        <row r="93">
          <cell r="B93" t="str">
            <v>Phó Tổng biên tập</v>
          </cell>
          <cell r="C93" t="str">
            <v>0,8</v>
          </cell>
        </row>
        <row r="94">
          <cell r="B94" t="str">
            <v>Trưởng ban (TC QLNN)</v>
          </cell>
          <cell r="C94" t="str">
            <v>0,6</v>
          </cell>
        </row>
        <row r="95">
          <cell r="B95" t="str">
            <v>Trưởng Ban Biên tập</v>
          </cell>
          <cell r="C95" t="str">
            <v>0,6</v>
          </cell>
        </row>
        <row r="96">
          <cell r="B96" t="str">
            <v>Phó Trưởng ban (TC QLNN)</v>
          </cell>
          <cell r="C96" t="str">
            <v>0,4</v>
          </cell>
        </row>
        <row r="97">
          <cell r="B97" t="str">
            <v>Phó Trưởng ban (TC QLNN)</v>
          </cell>
          <cell r="C97" t="str">
            <v>0,4</v>
          </cell>
        </row>
        <row r="98">
          <cell r="B98" t="str">
            <v>Viện Trưởng</v>
          </cell>
          <cell r="C98" t="str">
            <v>1,0</v>
          </cell>
        </row>
        <row r="99">
          <cell r="B99" t="str">
            <v>Nguyên Viện Trưởng</v>
          </cell>
          <cell r="C99" t="str">
            <v>1,0</v>
          </cell>
        </row>
        <row r="100">
          <cell r="B100" t="str">
            <v>Phó Viện Trưởng</v>
          </cell>
          <cell r="C100" t="str">
            <v>0,8</v>
          </cell>
        </row>
        <row r="101">
          <cell r="B101" t="str">
            <v>Nguyên Phó Viện Trưởng</v>
          </cell>
          <cell r="C101" t="str">
            <v>0,8</v>
          </cell>
        </row>
        <row r="102">
          <cell r="B102" t="str">
            <v>Chủ nhiệm TV</v>
          </cell>
          <cell r="C102" t="str">
            <v>0,6</v>
          </cell>
        </row>
        <row r="103">
          <cell r="B103" t="str">
            <v>Phó Chủ nhiệm TV</v>
          </cell>
          <cell r="C103" t="str">
            <v>0,4</v>
          </cell>
        </row>
        <row r="104">
          <cell r="B104" t="str">
            <v>Giám đốc (cấp vụ)</v>
          </cell>
          <cell r="C104" t="str">
            <v>1,0</v>
          </cell>
        </row>
        <row r="105">
          <cell r="B105" t="str">
            <v>Phó Giám đốc (cấp vụ)</v>
          </cell>
          <cell r="C105" t="str">
            <v>0,8</v>
          </cell>
        </row>
        <row r="106">
          <cell r="B106" t="str">
            <v>Giám đốc (cấp phòng)</v>
          </cell>
          <cell r="C106">
            <v>0.6</v>
          </cell>
        </row>
        <row r="107">
          <cell r="B107" t="str">
            <v>Phó Giám đốc (cấp phòng)</v>
          </cell>
          <cell r="C107" t="str">
            <v>0,4</v>
          </cell>
        </row>
        <row r="108">
          <cell r="B108" t="str">
            <v>Chánh văn phòng</v>
          </cell>
          <cell r="C108" t="str">
            <v>1,0</v>
          </cell>
        </row>
        <row r="109">
          <cell r="B109" t="str">
            <v>Phó Chánh văn phòng</v>
          </cell>
          <cell r="C109" t="str">
            <v>0,8</v>
          </cell>
        </row>
        <row r="110">
          <cell r="B110" t="str">
            <v>Đội Trưởng</v>
          </cell>
          <cell r="C110" t="str">
            <v>0,6</v>
          </cell>
        </row>
        <row r="111">
          <cell r="B111" t="str">
            <v>Đội Phó</v>
          </cell>
          <cell r="C111" t="str">
            <v>0,4</v>
          </cell>
        </row>
      </sheetData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V30"/>
  <sheetViews>
    <sheetView topLeftCell="B1" workbookViewId="0">
      <selection activeCell="O9" sqref="O9"/>
    </sheetView>
  </sheetViews>
  <sheetFormatPr defaultRowHeight="15" x14ac:dyDescent="0.25"/>
  <cols>
    <col min="1" max="1" width="9.140625" hidden="1" customWidth="1"/>
    <col min="2" max="2" width="5" customWidth="1"/>
    <col min="3" max="3" width="9.140625" hidden="1" customWidth="1"/>
    <col min="4" max="4" width="21.28515625" customWidth="1"/>
    <col min="5" max="5" width="6.28515625" customWidth="1"/>
    <col min="6" max="13" width="9.140625" hidden="1" customWidth="1"/>
    <col min="14" max="14" width="16.28515625" customWidth="1"/>
    <col min="15" max="15" width="21.140625" customWidth="1"/>
    <col min="16" max="18" width="9.140625" hidden="1" customWidth="1"/>
    <col min="19" max="19" width="13.7109375" customWidth="1"/>
    <col min="20" max="20" width="9.85546875" customWidth="1"/>
    <col min="21" max="22" width="9.140625" hidden="1" customWidth="1"/>
    <col min="23" max="23" width="1.7109375" hidden="1" customWidth="1"/>
    <col min="24" max="24" width="3.28515625" customWidth="1"/>
    <col min="25" max="25" width="1.28515625" customWidth="1"/>
    <col min="26" max="26" width="3.42578125" customWidth="1"/>
    <col min="27" max="27" width="5.42578125" customWidth="1"/>
    <col min="28" max="28" width="3" customWidth="1"/>
    <col min="29" max="29" width="2.140625" customWidth="1"/>
    <col min="30" max="30" width="3" customWidth="1"/>
    <col min="31" max="31" width="5.85546875" customWidth="1"/>
    <col min="32" max="32" width="3" customWidth="1"/>
    <col min="33" max="33" width="1.7109375" customWidth="1"/>
    <col min="34" max="34" width="3.42578125" customWidth="1"/>
    <col min="35" max="35" width="1" customWidth="1"/>
    <col min="36" max="36" width="4.85546875" customWidth="1"/>
    <col min="37" max="37" width="0.140625" hidden="1" customWidth="1"/>
    <col min="38" max="50" width="9.140625" hidden="1" customWidth="1"/>
    <col min="51" max="51" width="0.140625" hidden="1" customWidth="1"/>
    <col min="52" max="59" width="9.140625" hidden="1" customWidth="1"/>
    <col min="60" max="60" width="6.42578125" customWidth="1"/>
    <col min="61" max="61" width="10.140625" customWidth="1"/>
    <col min="62" max="62" width="7.28515625" customWidth="1"/>
    <col min="63" max="63" width="7.42578125" customWidth="1"/>
    <col min="64" max="64" width="7.85546875" customWidth="1"/>
    <col min="65" max="70" width="9.140625" customWidth="1"/>
    <col min="71" max="71" width="16.42578125" customWidth="1"/>
  </cols>
  <sheetData>
    <row r="1" spans="1:126" s="4" customFormat="1" ht="16.5" x14ac:dyDescent="0.3">
      <c r="A1" s="1"/>
      <c r="B1" s="355" t="s">
        <v>0</v>
      </c>
      <c r="C1" s="355"/>
      <c r="D1" s="355"/>
      <c r="E1" s="355"/>
      <c r="F1" s="355"/>
      <c r="G1" s="355"/>
      <c r="H1" s="355"/>
      <c r="I1" s="355"/>
      <c r="J1" s="355"/>
      <c r="K1" s="355"/>
      <c r="L1" s="355"/>
      <c r="M1" s="355"/>
      <c r="N1" s="355"/>
      <c r="O1" s="2"/>
      <c r="P1" s="3"/>
      <c r="Q1" s="3"/>
      <c r="R1" s="3"/>
      <c r="S1" s="356" t="s">
        <v>1</v>
      </c>
      <c r="T1" s="356"/>
      <c r="U1" s="356"/>
      <c r="V1" s="356"/>
      <c r="W1" s="356"/>
      <c r="X1" s="356"/>
      <c r="Y1" s="356"/>
      <c r="Z1" s="356"/>
      <c r="AA1" s="356"/>
      <c r="AB1" s="356"/>
      <c r="AC1" s="356"/>
      <c r="AD1" s="356"/>
      <c r="AE1" s="356"/>
      <c r="AF1" s="3"/>
      <c r="AG1" s="3"/>
      <c r="AH1" s="3"/>
      <c r="AI1" s="3"/>
      <c r="AJ1" s="3"/>
      <c r="AK1" s="3"/>
    </row>
    <row r="2" spans="1:126" s="4" customFormat="1" ht="16.5" x14ac:dyDescent="0.3">
      <c r="A2" s="1"/>
      <c r="B2" s="356" t="s">
        <v>2</v>
      </c>
      <c r="C2" s="356"/>
      <c r="D2" s="356"/>
      <c r="E2" s="356"/>
      <c r="F2" s="356"/>
      <c r="G2" s="356"/>
      <c r="H2" s="356"/>
      <c r="I2" s="356"/>
      <c r="J2" s="356"/>
      <c r="K2" s="356"/>
      <c r="L2" s="356"/>
      <c r="M2" s="356"/>
      <c r="N2" s="356"/>
      <c r="O2" s="5"/>
      <c r="P2" s="3"/>
      <c r="Q2" s="3"/>
      <c r="R2" s="3"/>
      <c r="S2" s="357" t="s">
        <v>3</v>
      </c>
      <c r="T2" s="357"/>
      <c r="U2" s="357"/>
      <c r="V2" s="357"/>
      <c r="W2" s="357"/>
      <c r="X2" s="357"/>
      <c r="Y2" s="357"/>
      <c r="Z2" s="357"/>
      <c r="AA2" s="357"/>
      <c r="AB2" s="357"/>
      <c r="AC2" s="357"/>
      <c r="AD2" s="357"/>
      <c r="AE2" s="357"/>
      <c r="AF2" s="3"/>
      <c r="AG2" s="3"/>
      <c r="AH2" s="3"/>
      <c r="AI2" s="3"/>
      <c r="AJ2" s="3"/>
      <c r="AK2" s="3"/>
    </row>
    <row r="3" spans="1:126" s="11" customFormat="1" ht="22.5" customHeight="1" x14ac:dyDescent="0.3">
      <c r="A3" s="6"/>
      <c r="B3" s="6"/>
      <c r="C3" s="6"/>
      <c r="D3" s="7"/>
      <c r="E3" s="6"/>
      <c r="F3" s="6"/>
      <c r="G3" s="6"/>
      <c r="H3" s="6"/>
      <c r="I3" s="6"/>
      <c r="J3" s="6"/>
      <c r="K3" s="6"/>
      <c r="L3" s="6"/>
      <c r="M3" s="6"/>
      <c r="N3" s="7"/>
      <c r="O3" s="8"/>
      <c r="P3" s="9"/>
      <c r="Q3" s="9"/>
      <c r="R3" s="9"/>
      <c r="S3" s="358" t="s">
        <v>153</v>
      </c>
      <c r="T3" s="358"/>
      <c r="U3" s="358"/>
      <c r="V3" s="358"/>
      <c r="W3" s="358"/>
      <c r="X3" s="358"/>
      <c r="Y3" s="358"/>
      <c r="Z3" s="358"/>
      <c r="AA3" s="358"/>
      <c r="AB3" s="358"/>
      <c r="AC3" s="358"/>
      <c r="AD3" s="358"/>
      <c r="AE3" s="358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I3" s="10"/>
    </row>
    <row r="4" spans="1:126" s="11" customFormat="1" ht="35.25" customHeight="1" x14ac:dyDescent="0.3">
      <c r="A4" s="354" t="s">
        <v>152</v>
      </c>
      <c r="B4" s="354"/>
      <c r="C4" s="354"/>
      <c r="D4" s="354"/>
      <c r="E4" s="354"/>
      <c r="F4" s="354"/>
      <c r="G4" s="354"/>
      <c r="H4" s="354"/>
      <c r="I4" s="354"/>
      <c r="J4" s="354"/>
      <c r="K4" s="354"/>
      <c r="L4" s="354"/>
      <c r="M4" s="354"/>
      <c r="N4" s="354"/>
      <c r="O4" s="354"/>
      <c r="P4" s="354"/>
      <c r="Q4" s="354"/>
      <c r="R4" s="354"/>
      <c r="S4" s="354"/>
      <c r="T4" s="354"/>
      <c r="U4" s="354"/>
      <c r="V4" s="354"/>
      <c r="W4" s="354"/>
      <c r="X4" s="354"/>
      <c r="Y4" s="354"/>
      <c r="Z4" s="354"/>
      <c r="AA4" s="354"/>
      <c r="AB4" s="354"/>
      <c r="AC4" s="354"/>
      <c r="AD4" s="354"/>
      <c r="AE4" s="354"/>
      <c r="AF4" s="354"/>
      <c r="AG4" s="354"/>
      <c r="AH4" s="354"/>
      <c r="AI4" s="354"/>
      <c r="AJ4" s="354"/>
      <c r="AK4" s="354"/>
      <c r="AL4" s="354"/>
      <c r="AM4" s="354"/>
      <c r="AN4" s="354"/>
      <c r="AO4" s="354"/>
      <c r="AP4" s="354"/>
      <c r="AQ4" s="354"/>
      <c r="AR4" s="354"/>
      <c r="AS4" s="354"/>
      <c r="AT4" s="354"/>
      <c r="AU4" s="354"/>
      <c r="AV4" s="354"/>
      <c r="AW4" s="354"/>
      <c r="AX4" s="354"/>
      <c r="AY4" s="354"/>
      <c r="AZ4" s="354"/>
      <c r="BA4" s="354"/>
      <c r="BB4" s="354"/>
      <c r="BC4" s="354"/>
      <c r="BD4" s="354"/>
      <c r="BE4" s="354"/>
      <c r="BF4" s="354"/>
      <c r="BG4" s="354"/>
      <c r="BH4" s="354"/>
    </row>
    <row r="5" spans="1:126" s="17" customFormat="1" ht="4.5" customHeight="1" x14ac:dyDescent="0.25">
      <c r="A5" s="354"/>
      <c r="B5" s="354"/>
      <c r="C5" s="354"/>
      <c r="D5" s="354"/>
      <c r="E5" s="354"/>
      <c r="F5" s="354"/>
      <c r="G5" s="354"/>
      <c r="H5" s="354"/>
      <c r="I5" s="354"/>
      <c r="J5" s="354"/>
      <c r="K5" s="354"/>
      <c r="L5" s="354"/>
      <c r="M5" s="354"/>
      <c r="N5" s="354"/>
      <c r="O5" s="354"/>
      <c r="P5" s="354"/>
      <c r="Q5" s="354"/>
      <c r="R5" s="354"/>
      <c r="S5" s="354"/>
      <c r="T5" s="354"/>
      <c r="U5" s="354"/>
      <c r="V5" s="354"/>
      <c r="W5" s="354"/>
      <c r="X5" s="354"/>
      <c r="Y5" s="354"/>
      <c r="Z5" s="354"/>
      <c r="AA5" s="354"/>
      <c r="AB5" s="354"/>
      <c r="AC5" s="354"/>
      <c r="AD5" s="354"/>
      <c r="AE5" s="354"/>
      <c r="AF5" s="354"/>
      <c r="AG5" s="354"/>
      <c r="AH5" s="354"/>
      <c r="AI5" s="354"/>
      <c r="AJ5" s="354"/>
      <c r="AK5" s="354"/>
      <c r="AL5" s="354"/>
      <c r="AM5" s="354"/>
      <c r="AN5" s="354"/>
      <c r="AO5" s="354"/>
      <c r="AP5" s="354"/>
      <c r="AQ5" s="354"/>
      <c r="AR5" s="354"/>
      <c r="AS5" s="354"/>
      <c r="AT5" s="354"/>
      <c r="AU5" s="354"/>
      <c r="AV5" s="354"/>
      <c r="AW5" s="354"/>
      <c r="AX5" s="354"/>
      <c r="AY5" s="354"/>
      <c r="AZ5" s="354"/>
      <c r="BA5" s="354"/>
      <c r="BB5" s="354"/>
      <c r="BC5" s="354"/>
      <c r="BD5" s="354"/>
      <c r="BE5" s="354"/>
      <c r="BF5" s="354"/>
      <c r="BG5" s="354"/>
      <c r="BH5" s="354"/>
      <c r="BI5" s="12"/>
      <c r="BJ5" s="13"/>
      <c r="BK5" s="14"/>
      <c r="BL5" s="14"/>
      <c r="BM5" s="15"/>
      <c r="BN5" s="16"/>
      <c r="BP5" s="13"/>
      <c r="BQ5" s="13"/>
      <c r="BR5" s="13"/>
      <c r="BS5" s="13"/>
      <c r="BU5" s="18"/>
      <c r="BV5" s="19"/>
      <c r="BW5" s="20"/>
    </row>
    <row r="6" spans="1:126" s="5" customFormat="1" ht="5.25" hidden="1" customHeight="1" x14ac:dyDescent="0.3">
      <c r="A6" s="21"/>
      <c r="B6" s="22"/>
      <c r="C6" s="21"/>
      <c r="D6" s="23" t="s">
        <v>4</v>
      </c>
      <c r="E6" s="22" t="e">
        <f>#REF!+#REF!</f>
        <v>#REF!</v>
      </c>
      <c r="F6" s="23"/>
      <c r="G6" s="24"/>
      <c r="H6" s="24"/>
      <c r="I6" s="24"/>
      <c r="J6" s="25"/>
      <c r="K6" s="25" t="s">
        <v>5</v>
      </c>
      <c r="L6" s="25"/>
      <c r="M6" s="25"/>
      <c r="N6" s="26" t="s">
        <v>5</v>
      </c>
      <c r="O6" s="26"/>
      <c r="P6" s="27"/>
      <c r="Q6" s="27"/>
      <c r="R6" s="27"/>
      <c r="S6" s="28"/>
      <c r="T6" s="29"/>
      <c r="U6" s="30"/>
      <c r="V6" s="31"/>
      <c r="W6" s="31"/>
      <c r="X6" s="32"/>
      <c r="Y6" s="33"/>
      <c r="Z6" s="34"/>
      <c r="AA6" s="35"/>
      <c r="AB6" s="36"/>
      <c r="AC6" s="37"/>
      <c r="AD6" s="34"/>
      <c r="AE6" s="35"/>
      <c r="AF6" s="359"/>
      <c r="AG6" s="359"/>
      <c r="AH6" s="359"/>
      <c r="AI6" s="359"/>
      <c r="AJ6" s="359"/>
      <c r="AK6" s="38"/>
      <c r="AL6" s="39"/>
      <c r="AM6" s="40"/>
      <c r="AN6" s="24"/>
      <c r="AO6" s="33"/>
      <c r="AP6" s="41"/>
      <c r="AQ6" s="42"/>
      <c r="AR6" s="43"/>
      <c r="AS6" s="44"/>
      <c r="AT6" s="45"/>
      <c r="AU6" s="35"/>
      <c r="AV6" s="37"/>
      <c r="AW6" s="43"/>
      <c r="AX6" s="35"/>
      <c r="AY6" s="43"/>
      <c r="AZ6" s="46"/>
      <c r="BA6" s="47"/>
      <c r="BB6" s="48"/>
      <c r="BC6" s="48"/>
      <c r="BD6" s="49"/>
      <c r="BE6" s="49"/>
      <c r="BF6" s="35"/>
      <c r="BG6" s="50"/>
      <c r="BH6" s="51"/>
      <c r="BI6" s="52"/>
      <c r="BJ6" s="53"/>
      <c r="BK6" s="14"/>
      <c r="BL6" s="14"/>
      <c r="BM6" s="15"/>
      <c r="BN6" s="54"/>
      <c r="BP6" s="53"/>
      <c r="BQ6" s="53"/>
      <c r="BR6" s="53"/>
      <c r="BS6" s="53"/>
      <c r="BU6" s="55"/>
      <c r="BV6" s="56"/>
      <c r="BW6" s="57"/>
    </row>
    <row r="7" spans="1:126" s="90" customFormat="1" ht="16.5" x14ac:dyDescent="0.25">
      <c r="A7" s="58"/>
      <c r="B7" s="59" t="s">
        <v>54</v>
      </c>
      <c r="C7" s="58"/>
      <c r="D7" s="60"/>
      <c r="E7" s="61"/>
      <c r="F7" s="62"/>
      <c r="G7" s="60"/>
      <c r="H7" s="60"/>
      <c r="I7" s="60"/>
      <c r="J7" s="63"/>
      <c r="K7" s="63"/>
      <c r="L7" s="63"/>
      <c r="M7" s="63"/>
      <c r="N7" s="59"/>
      <c r="O7" s="59"/>
      <c r="P7" s="64"/>
      <c r="Q7" s="64"/>
      <c r="R7" s="64"/>
      <c r="S7" s="65"/>
      <c r="T7" s="66"/>
      <c r="U7" s="67"/>
      <c r="V7" s="66"/>
      <c r="W7" s="66"/>
      <c r="X7" s="60"/>
      <c r="Y7" s="68"/>
      <c r="Z7" s="69"/>
      <c r="AA7" s="70"/>
      <c r="AB7" s="71"/>
      <c r="AC7" s="68"/>
      <c r="AD7" s="69"/>
      <c r="AE7" s="70"/>
      <c r="AF7" s="72"/>
      <c r="AG7" s="61"/>
      <c r="AH7" s="61"/>
      <c r="AI7" s="73"/>
      <c r="AJ7" s="74"/>
      <c r="AK7" s="75"/>
      <c r="AL7" s="76"/>
      <c r="AM7" s="77"/>
      <c r="AN7" s="60"/>
      <c r="AO7" s="68"/>
      <c r="AP7" s="78"/>
      <c r="AQ7" s="79"/>
      <c r="AR7" s="80"/>
      <c r="AS7" s="60"/>
      <c r="AT7" s="81"/>
      <c r="AU7" s="70"/>
      <c r="AV7" s="68"/>
      <c r="AW7" s="80"/>
      <c r="AX7" s="70"/>
      <c r="AY7" s="82"/>
      <c r="AZ7" s="83"/>
      <c r="BA7" s="84"/>
      <c r="BB7" s="68"/>
      <c r="BC7" s="68"/>
      <c r="BD7" s="85"/>
      <c r="BE7" s="85"/>
      <c r="BF7" s="81"/>
      <c r="BG7" s="71"/>
      <c r="BH7" s="86"/>
      <c r="BI7" s="86"/>
      <c r="BJ7" s="87"/>
      <c r="BK7" s="88"/>
      <c r="BL7" s="88"/>
      <c r="BM7" s="88"/>
      <c r="BN7" s="89"/>
      <c r="BP7" s="87"/>
      <c r="BQ7" s="87"/>
      <c r="BR7" s="87"/>
      <c r="BS7" s="87"/>
      <c r="BV7" s="91"/>
      <c r="BW7" s="86"/>
    </row>
    <row r="8" spans="1:126" s="90" customFormat="1" ht="16.5" x14ac:dyDescent="0.25">
      <c r="A8" s="58"/>
      <c r="B8" s="59"/>
      <c r="C8" s="58"/>
      <c r="D8" s="63" t="s">
        <v>90</v>
      </c>
      <c r="E8" s="61"/>
      <c r="F8" s="62"/>
      <c r="G8" s="60"/>
      <c r="H8" s="60"/>
      <c r="I8" s="60"/>
      <c r="J8" s="63"/>
      <c r="K8" s="63"/>
      <c r="L8" s="63"/>
      <c r="M8" s="63"/>
      <c r="N8" s="59"/>
      <c r="O8" s="59"/>
      <c r="P8" s="64"/>
      <c r="Q8" s="64"/>
      <c r="R8" s="64"/>
      <c r="S8" s="65"/>
      <c r="T8" s="66"/>
      <c r="U8" s="67"/>
      <c r="V8" s="66"/>
      <c r="W8" s="66"/>
      <c r="X8" s="60"/>
      <c r="Y8" s="68"/>
      <c r="Z8" s="69"/>
      <c r="AA8" s="70"/>
      <c r="AB8" s="71"/>
      <c r="AC8" s="68"/>
      <c r="AD8" s="69"/>
      <c r="AE8" s="70"/>
      <c r="AF8" s="72"/>
      <c r="AG8" s="61"/>
      <c r="AH8" s="61"/>
      <c r="AI8" s="73"/>
      <c r="AJ8" s="74"/>
      <c r="AK8" s="75"/>
      <c r="AL8" s="76"/>
      <c r="AM8" s="77"/>
      <c r="AN8" s="60"/>
      <c r="AO8" s="68"/>
      <c r="AP8" s="78"/>
      <c r="AQ8" s="79"/>
      <c r="AR8" s="80"/>
      <c r="AS8" s="60"/>
      <c r="AT8" s="81"/>
      <c r="AU8" s="70"/>
      <c r="AV8" s="68"/>
      <c r="AW8" s="80"/>
      <c r="AX8" s="70"/>
      <c r="AY8" s="82"/>
      <c r="AZ8" s="83"/>
      <c r="BA8" s="84"/>
      <c r="BB8" s="68"/>
      <c r="BC8" s="68"/>
      <c r="BD8" s="85"/>
      <c r="BE8" s="85"/>
      <c r="BF8" s="81"/>
      <c r="BG8" s="71"/>
      <c r="BH8" s="86"/>
      <c r="BI8" s="86"/>
      <c r="BJ8" s="87"/>
      <c r="BK8" s="88"/>
      <c r="BL8" s="88"/>
      <c r="BM8" s="88"/>
      <c r="BN8" s="89"/>
      <c r="BP8" s="87"/>
      <c r="BQ8" s="87"/>
      <c r="BR8" s="87"/>
      <c r="BS8" s="87"/>
      <c r="BV8" s="91"/>
      <c r="BW8" s="86"/>
    </row>
    <row r="9" spans="1:126" s="86" customFormat="1" ht="17.25" thickBot="1" x14ac:dyDescent="0.3">
      <c r="A9" s="92"/>
      <c r="B9" s="61"/>
      <c r="C9" s="58"/>
      <c r="D9" s="59" t="s">
        <v>154</v>
      </c>
      <c r="E9" s="61"/>
      <c r="F9" s="62"/>
      <c r="G9" s="60"/>
      <c r="H9" s="60"/>
      <c r="I9" s="60"/>
      <c r="J9" s="63"/>
      <c r="K9" s="63"/>
      <c r="L9" s="63"/>
      <c r="M9" s="63"/>
      <c r="N9" s="59"/>
      <c r="O9" s="59"/>
      <c r="P9" s="64"/>
      <c r="Q9" s="64"/>
      <c r="R9" s="64"/>
      <c r="S9" s="65"/>
      <c r="T9" s="66"/>
      <c r="U9" s="67"/>
      <c r="V9" s="66"/>
      <c r="W9" s="66"/>
      <c r="X9" s="60"/>
      <c r="Y9" s="68"/>
      <c r="Z9" s="69"/>
      <c r="AA9" s="70"/>
      <c r="AB9" s="71"/>
      <c r="AC9" s="68"/>
      <c r="AD9" s="69"/>
      <c r="AE9" s="70"/>
      <c r="AF9" s="93"/>
      <c r="AG9" s="78"/>
      <c r="AH9" s="94"/>
      <c r="AI9" s="95"/>
      <c r="AJ9" s="96"/>
      <c r="AK9" s="75"/>
      <c r="AL9" s="76"/>
      <c r="AM9" s="77"/>
      <c r="AN9" s="60"/>
      <c r="AO9" s="68"/>
      <c r="AP9" s="61"/>
      <c r="AQ9" s="79"/>
      <c r="AR9" s="80"/>
      <c r="AS9" s="60"/>
      <c r="AT9" s="70"/>
      <c r="AU9" s="70"/>
      <c r="AV9" s="68"/>
      <c r="AW9" s="80"/>
      <c r="AX9" s="70"/>
      <c r="AY9" s="80"/>
      <c r="AZ9" s="83"/>
      <c r="BA9" s="84"/>
      <c r="BB9" s="68"/>
      <c r="BC9" s="68"/>
      <c r="BD9" s="85"/>
      <c r="BE9" s="85"/>
      <c r="BF9" s="70"/>
      <c r="BG9" s="71"/>
      <c r="BI9" s="305"/>
      <c r="BJ9" s="305"/>
      <c r="BK9" s="306"/>
      <c r="BL9" s="306"/>
      <c r="BM9" s="306"/>
      <c r="BN9" s="305"/>
      <c r="BO9" s="305"/>
      <c r="BP9" s="305"/>
      <c r="BQ9" s="305"/>
      <c r="BR9" s="305"/>
      <c r="BS9" s="305"/>
      <c r="BT9" s="305"/>
      <c r="BU9" s="305"/>
      <c r="BV9" s="305"/>
      <c r="BW9" s="305"/>
      <c r="BX9" s="305"/>
      <c r="BY9" s="305"/>
      <c r="BZ9" s="305"/>
      <c r="CA9" s="305"/>
      <c r="CB9" s="305"/>
      <c r="CC9" s="305"/>
      <c r="CD9" s="305"/>
      <c r="CE9" s="305"/>
      <c r="CF9" s="305"/>
      <c r="CG9" s="305"/>
      <c r="CH9" s="305"/>
      <c r="CI9" s="305"/>
      <c r="CJ9" s="305"/>
      <c r="CK9" s="305"/>
      <c r="CL9" s="305"/>
      <c r="CM9" s="305"/>
      <c r="CN9" s="305"/>
      <c r="CO9" s="305"/>
      <c r="CP9" s="305"/>
      <c r="CQ9" s="305"/>
      <c r="CR9" s="305"/>
      <c r="CS9" s="305"/>
      <c r="CT9" s="305"/>
      <c r="CU9" s="305"/>
      <c r="CV9" s="305"/>
      <c r="CW9" s="305"/>
      <c r="CX9" s="305"/>
      <c r="CY9" s="305"/>
      <c r="CZ9" s="305"/>
      <c r="DA9" s="305"/>
      <c r="DB9" s="305"/>
      <c r="DC9" s="305"/>
      <c r="DD9" s="305"/>
      <c r="DE9" s="305"/>
      <c r="DF9" s="305"/>
    </row>
    <row r="10" spans="1:126" s="100" customFormat="1" ht="15" customHeight="1" thickTop="1" x14ac:dyDescent="0.25">
      <c r="A10" s="97"/>
      <c r="B10" s="61" t="s">
        <v>6</v>
      </c>
      <c r="C10" s="58"/>
      <c r="D10" s="59" t="s">
        <v>177</v>
      </c>
      <c r="E10" s="61"/>
      <c r="F10" s="62"/>
      <c r="G10" s="60"/>
      <c r="H10" s="60"/>
      <c r="I10" s="60"/>
      <c r="J10" s="63"/>
      <c r="K10" s="63"/>
      <c r="L10" s="63"/>
      <c r="M10" s="63"/>
      <c r="N10" s="59"/>
      <c r="O10" s="59"/>
      <c r="P10" s="64"/>
      <c r="Q10" s="64"/>
      <c r="R10" s="64"/>
      <c r="S10" s="65"/>
      <c r="T10" s="66"/>
      <c r="U10" s="67"/>
      <c r="V10" s="66"/>
      <c r="W10" s="66"/>
      <c r="X10" s="60"/>
      <c r="Y10" s="68"/>
      <c r="Z10" s="69"/>
      <c r="AA10" s="70"/>
      <c r="AB10" s="71"/>
      <c r="AC10" s="68"/>
      <c r="AD10" s="69"/>
      <c r="AE10" s="70"/>
      <c r="AF10" s="98"/>
      <c r="AG10" s="73"/>
      <c r="AH10" s="73"/>
      <c r="AI10" s="99"/>
      <c r="AJ10" s="74"/>
      <c r="AK10" s="75"/>
      <c r="AL10" s="76"/>
      <c r="AM10" s="77"/>
      <c r="AN10" s="60"/>
      <c r="AO10" s="68"/>
      <c r="AP10" s="78"/>
      <c r="AQ10" s="79"/>
      <c r="AR10" s="80"/>
      <c r="AS10" s="60"/>
      <c r="AT10" s="81"/>
      <c r="AU10" s="70"/>
      <c r="AV10" s="68"/>
      <c r="AW10" s="80"/>
      <c r="AX10" s="70"/>
      <c r="AY10" s="82"/>
      <c r="AZ10" s="83"/>
      <c r="BA10" s="84"/>
      <c r="BB10" s="68"/>
      <c r="BC10" s="68"/>
      <c r="BD10" s="85"/>
      <c r="BE10" s="85"/>
      <c r="BF10" s="81"/>
      <c r="BG10" s="71"/>
      <c r="BH10" s="86"/>
      <c r="BI10" s="304"/>
      <c r="BJ10" s="304"/>
      <c r="BK10" s="304"/>
      <c r="BL10" s="303"/>
      <c r="BM10" s="304"/>
      <c r="BN10" s="303"/>
      <c r="BO10" s="303"/>
      <c r="BP10" s="304"/>
      <c r="BQ10" s="304"/>
      <c r="BR10" s="304"/>
      <c r="BS10" s="304"/>
      <c r="BT10" s="304"/>
      <c r="BU10" s="304"/>
      <c r="BV10" s="304"/>
      <c r="BW10" s="303"/>
      <c r="BX10" s="303"/>
      <c r="BY10" s="304"/>
      <c r="BZ10" s="304"/>
      <c r="CA10" s="304"/>
      <c r="CB10" s="304"/>
      <c r="CC10" s="304"/>
      <c r="CD10" s="304"/>
      <c r="CE10" s="304"/>
      <c r="CF10" s="304"/>
      <c r="CG10" s="304"/>
      <c r="CH10" s="304"/>
      <c r="CI10" s="304"/>
      <c r="CJ10" s="304"/>
      <c r="CK10" s="304"/>
      <c r="CL10" s="304"/>
      <c r="CM10" s="304"/>
      <c r="CN10" s="304"/>
      <c r="CO10" s="304"/>
      <c r="CP10" s="304"/>
      <c r="CQ10" s="304"/>
      <c r="CR10" s="303"/>
      <c r="CS10" s="304"/>
      <c r="CT10" s="303"/>
      <c r="CU10" s="304"/>
      <c r="CV10" s="304"/>
      <c r="CW10" s="304"/>
      <c r="CX10" s="304"/>
      <c r="CY10" s="304"/>
      <c r="CZ10" s="304"/>
      <c r="DA10" s="304"/>
      <c r="DB10" s="304"/>
      <c r="DC10" s="304"/>
      <c r="DD10" s="304"/>
      <c r="DE10" s="304"/>
      <c r="DF10" s="304"/>
    </row>
    <row r="11" spans="1:126" s="114" customFormat="1" ht="16.5" customHeight="1" x14ac:dyDescent="0.3">
      <c r="A11" s="101"/>
      <c r="B11" s="102"/>
      <c r="C11" s="102"/>
      <c r="D11" s="23" t="s">
        <v>7</v>
      </c>
      <c r="E11" s="103">
        <v>9</v>
      </c>
      <c r="F11" s="104"/>
      <c r="G11" s="104"/>
      <c r="H11" s="104"/>
      <c r="I11" s="105"/>
      <c r="J11" s="106"/>
      <c r="K11" s="106"/>
      <c r="L11" s="106"/>
      <c r="M11" s="106"/>
      <c r="N11" s="106"/>
      <c r="O11" s="25"/>
      <c r="P11" s="25"/>
      <c r="Q11" s="25"/>
      <c r="R11" s="25"/>
      <c r="S11" s="107"/>
      <c r="T11" s="22"/>
      <c r="U11" s="22"/>
      <c r="V11" s="104"/>
      <c r="W11" s="104"/>
      <c r="X11" s="25"/>
      <c r="Y11" s="104"/>
      <c r="Z11" s="25"/>
      <c r="AA11" s="104"/>
      <c r="AB11" s="25"/>
      <c r="AC11" s="25"/>
      <c r="AD11" s="25"/>
      <c r="AE11" s="29"/>
      <c r="AF11" s="108"/>
      <c r="AG11" s="109"/>
      <c r="AH11" s="110"/>
      <c r="AI11" s="111"/>
      <c r="AJ11" s="112"/>
      <c r="AK11" s="106"/>
      <c r="AL11" s="113"/>
      <c r="AM11" s="113"/>
      <c r="AN11" s="113"/>
      <c r="AO11" s="113"/>
      <c r="AP11" s="113"/>
      <c r="AQ11" s="113"/>
      <c r="AR11" s="113"/>
      <c r="AS11" s="113"/>
      <c r="AT11" s="113"/>
      <c r="AU11" s="113"/>
      <c r="AV11" s="113"/>
      <c r="AW11" s="113"/>
      <c r="AX11" s="113"/>
      <c r="AY11" s="113"/>
      <c r="AZ11" s="113"/>
      <c r="BA11" s="113"/>
      <c r="BB11" s="113"/>
      <c r="BC11" s="113"/>
      <c r="BD11" s="113"/>
      <c r="BE11" s="113"/>
      <c r="BF11" s="113"/>
      <c r="BG11" s="113"/>
      <c r="BH11" s="113"/>
      <c r="BI11" s="299"/>
      <c r="BJ11" s="300"/>
      <c r="BK11" s="299"/>
      <c r="BL11" s="299"/>
      <c r="BM11" s="299"/>
      <c r="BN11" s="299"/>
      <c r="BO11" s="299"/>
      <c r="BP11" s="299"/>
      <c r="BQ11" s="299"/>
      <c r="BR11" s="299"/>
      <c r="BS11" s="299"/>
      <c r="BT11" s="299"/>
      <c r="BU11" s="299"/>
      <c r="BV11" s="299"/>
      <c r="BW11" s="299"/>
      <c r="BX11" s="299"/>
      <c r="BY11" s="299"/>
      <c r="BZ11" s="299"/>
      <c r="CA11" s="299"/>
      <c r="CB11" s="299"/>
      <c r="CC11" s="299"/>
      <c r="CD11" s="299"/>
      <c r="CE11" s="299"/>
      <c r="CF11" s="299"/>
      <c r="CG11" s="299"/>
      <c r="CH11" s="299"/>
      <c r="CI11" s="299"/>
      <c r="CJ11" s="299"/>
      <c r="CK11" s="299"/>
      <c r="CL11" s="299"/>
      <c r="CM11" s="299"/>
      <c r="CN11" s="299"/>
      <c r="CO11" s="299"/>
      <c r="CP11" s="299"/>
      <c r="CQ11" s="299"/>
      <c r="CR11" s="299"/>
      <c r="CS11" s="299"/>
      <c r="CT11" s="299"/>
      <c r="CU11" s="299"/>
      <c r="CV11" s="299"/>
      <c r="CW11" s="299"/>
      <c r="CX11" s="299"/>
      <c r="CY11" s="299"/>
      <c r="CZ11" s="299"/>
      <c r="DA11" s="299"/>
      <c r="DB11" s="299"/>
      <c r="DC11" s="299"/>
      <c r="DD11" s="299"/>
      <c r="DE11" s="299"/>
      <c r="DF11" s="299"/>
    </row>
    <row r="12" spans="1:126" s="138" customFormat="1" ht="3.75" customHeight="1" x14ac:dyDescent="0.25">
      <c r="A12" s="115">
        <v>92</v>
      </c>
      <c r="B12" s="116"/>
      <c r="C12" s="116"/>
      <c r="D12" s="117"/>
      <c r="E12" s="118"/>
      <c r="F12" s="116"/>
      <c r="G12" s="116"/>
      <c r="H12" s="119"/>
      <c r="I12" s="120"/>
      <c r="J12" s="116"/>
      <c r="K12" s="116"/>
      <c r="L12" s="116"/>
      <c r="M12" s="116"/>
      <c r="N12" s="121"/>
      <c r="O12" s="121"/>
      <c r="P12" s="121"/>
      <c r="Q12" s="121"/>
      <c r="R12" s="121"/>
      <c r="S12" s="122"/>
      <c r="T12" s="123"/>
      <c r="U12" s="124"/>
      <c r="V12" s="123"/>
      <c r="W12" s="123"/>
      <c r="X12" s="125"/>
      <c r="Y12" s="126"/>
      <c r="Z12" s="124"/>
      <c r="AA12" s="127"/>
      <c r="AB12" s="128"/>
      <c r="AC12" s="125"/>
      <c r="AD12" s="129"/>
      <c r="AE12" s="125"/>
      <c r="AF12" s="130"/>
      <c r="AG12" s="131"/>
      <c r="AH12" s="132"/>
      <c r="AI12" s="133"/>
      <c r="AJ12" s="134"/>
      <c r="AK12" s="135"/>
      <c r="AL12" s="136"/>
      <c r="AM12" s="116"/>
      <c r="AN12" s="136"/>
      <c r="AO12" s="136"/>
      <c r="AP12" s="136"/>
      <c r="AQ12" s="136"/>
      <c r="AR12" s="136"/>
      <c r="AS12" s="136"/>
      <c r="AT12" s="136"/>
      <c r="AU12" s="136"/>
      <c r="AV12" s="136"/>
      <c r="AW12" s="136"/>
      <c r="AX12" s="137"/>
      <c r="AY12" s="136"/>
      <c r="AZ12" s="136"/>
      <c r="BA12" s="136"/>
      <c r="BB12" s="136"/>
      <c r="BC12" s="136"/>
      <c r="BD12" s="136"/>
      <c r="BE12" s="136"/>
      <c r="BF12" s="136"/>
      <c r="BG12" s="136"/>
      <c r="BH12" s="136"/>
      <c r="BI12" s="222"/>
      <c r="BJ12" s="209"/>
      <c r="BK12" s="210" t="s">
        <v>8</v>
      </c>
      <c r="BL12" s="211" t="e">
        <f>IF(#REF!="Cơ sở Học viện Hành chính khu vực miền Trung","B",IF(#REF!="Phân viện Khu vực Tây Nguyên","C",IF(#REF!="Cơ sở Học viện Hành chính tại thành phố Hồ Chí Minh","D","A")))</f>
        <v>#REF!</v>
      </c>
      <c r="BM12" s="210" t="e">
        <f>IF(AND(#REF!&gt;0,#REF!&lt;(#REF!-1),BN12&gt;0,BN12&lt;13,OR(AND(BT12="Cùg Ng",(#REF!-BP12)&gt;#REF!),BT12="- - -")),"Sớm TT","=&gt; s")</f>
        <v>#REF!</v>
      </c>
      <c r="BN12" s="212" t="e">
        <f>IF(#REF!=3,36-(12*(#REF!-#REF!)+(12-#REF!)-#REF!),IF(#REF!=2,24-(12*(#REF!-#REF!)+(12-#REF!)-#REF!),"---"))</f>
        <v>#REF!</v>
      </c>
      <c r="BO12" s="213" t="str">
        <f>IF(BP12&gt;1,"S","---")</f>
        <v>---</v>
      </c>
      <c r="BP12" s="214"/>
      <c r="BQ12" s="215"/>
      <c r="BR12" s="215"/>
      <c r="BS12" s="215"/>
      <c r="BT12" s="214" t="e">
        <f>IF(#REF!=BQ12,"Cùg Ng","- - -")</f>
        <v>#REF!</v>
      </c>
      <c r="BU12" s="213" t="str">
        <f>IF(BW12&gt;2000,"NN","- - -")</f>
        <v>- - -</v>
      </c>
      <c r="BV12" s="210"/>
      <c r="BW12" s="210"/>
      <c r="BX12" s="216"/>
      <c r="BY12" s="216"/>
      <c r="BZ12" s="216" t="str">
        <f>IF(CB12&gt;2000,"CN","- - -")</f>
        <v>- - -</v>
      </c>
      <c r="CA12" s="216"/>
      <c r="CB12" s="216"/>
      <c r="CC12" s="216"/>
      <c r="CD12" s="216"/>
      <c r="CE12" s="216" t="e">
        <f>IF(AND(CF12="Hưu",#REF!&lt;(#REF!-1),CM12&gt;0,CM12&lt;18,OR(#REF!&lt;4,AND(#REF!&gt;3,OR(#REF!&lt;3,#REF!&gt;5)))),"Lg Sớm",IF(AND(CF12="Hưu",#REF!&gt;(#REF!-2),OR(#REF!=0.33,#REF!=0.34),OR(#REF!&lt;4,AND(#REF!&gt;3,OR(#REF!&lt;3,#REF!&gt;5)))),"Nâng Ngạch",IF(AND(CF12="Hưu",#REF!=1,CM12&gt;2,CM12&lt;6,OR(#REF!&lt;4,AND(#REF!&gt;3,OR(#REF!&lt;3,#REF!&gt;5)))),"Nâng PcVK cùng QĐ",IF(AND(CF12="Hưu",#REF!&gt;3,#REF!&gt;2,#REF!&lt;6,#REF!&lt;(#REF!-1),CM12&gt;17,OR(#REF!&gt;1,AND(#REF!=1,OR(CM12&lt;3,CM12&gt;5)))),"Nâng PcNG cùng QĐ",IF(AND(CF12="Hưu",#REF!&lt;(#REF!-1),CM12&gt;0,CM12&lt;18,#REF!&gt;3,#REF!&gt;2,#REF!&lt;6),"Nâng Lg Sớm +(PcNG cùng QĐ)",IF(AND(CF12="Hưu",#REF!&gt;(#REF!-2),OR(#REF!=0.33,#REF!=0.34),#REF!&gt;3,#REF!&gt;2,#REF!&lt;6),"Nâng Ngạch +(PcNG cùng QĐ)",IF(AND(CF12="Hưu",#REF!=1,CM12&gt;2,CM12&lt;6,#REF!&gt;3,#REF!&gt;2,#REF!&lt;6),"Nâng (PcVK +PcNG) cùng QĐ",("---"))))))))</f>
        <v>#REF!</v>
      </c>
      <c r="CF12" s="216" t="e">
        <f>IF(AND(CQ12&gt;CP12,CQ12&lt;(CP12+13)),"Hưu",IF(AND(CQ12&gt;(CP12+12),CQ12&lt;1000),"Quá","/-/ /-/"))</f>
        <v>#REF!</v>
      </c>
      <c r="CG12" s="216" t="e">
        <f>IF((#REF!+0)&lt;12,(#REF!+0)+1,IF((#REF!+0)=12,1,IF((#REF!+0)&gt;12,(#REF!+0)-12)))</f>
        <v>#REF!</v>
      </c>
      <c r="CH12" s="216" t="e">
        <f>IF(OR((#REF!+0)=12,(#REF!+0)&gt;12),#REF!+CP12/12+1,IF(AND((#REF!+0)&gt;0,(#REF!+0)&lt;12),#REF!+CP12/12,"---"))</f>
        <v>#REF!</v>
      </c>
      <c r="CI12" s="216" t="e">
        <f>IF(AND(CG12&gt;3,CG12&lt;13),CG12-3,IF(CG12&lt;4,CG12-3+12))</f>
        <v>#REF!</v>
      </c>
      <c r="CJ12" s="216" t="e">
        <f>IF(CI12&lt;CG12,CH12,IF(CI12&gt;CG12,CH12-1))</f>
        <v>#REF!</v>
      </c>
      <c r="CK12" s="216" t="e">
        <f>IF(CG12&gt;6,CG12-6,IF(CG12=6,12,IF(CG12&lt;6,CG12+6)))</f>
        <v>#REF!</v>
      </c>
      <c r="CL12" s="216" t="e">
        <f>IF(CG12&gt;6,CH12,IF(CG12&lt;7,CH12-1))</f>
        <v>#REF!</v>
      </c>
      <c r="CM12" s="216" t="e">
        <f>IF(AND(CF12="Hưu",#REF!=3),36+#REF!-(12*(CL12-#REF!)+(CK12-#REF!)),IF(AND(CF12="Hưu",#REF!=2),24+#REF!-(12*(CL12-#REF!)+(CK12-#REF!)),IF(AND(CF12="Hưu",#REF!=1),12+#REF!-(12*(CL12-#REF!)+(CK12-#REF!)),"- - -")))</f>
        <v>#REF!</v>
      </c>
      <c r="CN12" s="217" t="str">
        <f>IF(CO12&gt;0,"K.Dài",". .")</f>
        <v>. .</v>
      </c>
      <c r="CO12" s="214"/>
      <c r="CP12" s="218" t="e">
        <f>IF(#REF!="Nam",(60+CO12)*12,IF(#REF!="Nữ",(55+CO12)*12,))</f>
        <v>#REF!</v>
      </c>
      <c r="CQ12" s="219" t="e">
        <f>12*(#REF!-#REF!)+(12-#REF!)</f>
        <v>#REF!</v>
      </c>
      <c r="CR12" s="220" t="e">
        <f>#REF!-#REF!</f>
        <v>#REF!</v>
      </c>
      <c r="CS12" s="221" t="e">
        <f>IF(AND(CR12&lt;35,#REF!="Nam"),"Nam dưới 35",IF(AND(CR12&lt;30,#REF!="Nữ"),"Nữ dưới 30",IF(AND(CR12&gt;34,CR12&lt;46,#REF!="Nam"),"Nam từ 35 - 45",IF(AND(CR12&gt;29,CR12&lt;41,#REF!="Nữ"),"Nữ từ 30 - 40",IF(AND(CR12&gt;45,CR12&lt;56,#REF!="Nam"),"Nam trên 45 - 55",IF(AND(CR12&gt;40,CR12&lt;51,#REF!="Nữ"),"Nữ trên 40 - 50",IF(AND(CR12&gt;55,#REF!="Nam"),"Nam trên 55","Nữ trên 50")))))))</f>
        <v>#REF!</v>
      </c>
      <c r="CT12" s="222"/>
      <c r="CU12" s="220"/>
      <c r="CV12" s="223" t="e">
        <f>IF(CR12&lt;31,"Đến 30",IF(AND(CR12&gt;30,CR12&lt;46),"31 - 45",IF(AND(CR12&gt;45,CR12&lt;70),"Trên 45")))</f>
        <v>#REF!</v>
      </c>
      <c r="CW12" s="307" t="str">
        <f>IF(CX12&gt;0,"TD","--")</f>
        <v>TD</v>
      </c>
      <c r="CX12" s="307">
        <v>2009</v>
      </c>
      <c r="CY12" s="222"/>
      <c r="CZ12" s="308"/>
      <c r="DA12" s="309"/>
      <c r="DB12" s="216"/>
      <c r="DC12" s="216"/>
      <c r="DD12" s="216"/>
      <c r="DE12" s="216"/>
      <c r="DF12" s="216"/>
      <c r="DH12" s="138" t="s">
        <v>9</v>
      </c>
      <c r="DI12" s="138" t="s">
        <v>10</v>
      </c>
      <c r="DJ12" s="138" t="s">
        <v>11</v>
      </c>
      <c r="DK12" s="138" t="s">
        <v>10</v>
      </c>
      <c r="DL12" s="138">
        <v>2009</v>
      </c>
      <c r="DM12" s="138">
        <f>(DH12+0)-(DO12+0)</f>
        <v>0</v>
      </c>
      <c r="DN12" s="138" t="str">
        <f>IF(DM12&gt;0,"Sửa","- - -")</f>
        <v>- - -</v>
      </c>
      <c r="DO12" s="138" t="s">
        <v>9</v>
      </c>
      <c r="DP12" s="138" t="s">
        <v>10</v>
      </c>
      <c r="DQ12" s="138" t="s">
        <v>11</v>
      </c>
      <c r="DR12" s="138" t="s">
        <v>10</v>
      </c>
      <c r="DS12" s="138">
        <v>2009</v>
      </c>
      <c r="DU12" s="138" t="e">
        <f>IF(AND(#REF!&gt;0.34,#REF!=1,OR(#REF!=6.2,#REF!=5.75)),((#REF!-DT12)-2*0.34),IF(AND(#REF!&gt;0.33,#REF!=1,OR(#REF!=4.4,#REF!=4)),((#REF!-DT12)-2*0.33),"- - -"))</f>
        <v>#REF!</v>
      </c>
      <c r="DV12" s="138" t="e">
        <f>IF(CF12="Hưu",12*(CL12-#REF!)+(CK12-#REF!),"---")</f>
        <v>#REF!</v>
      </c>
    </row>
    <row r="13" spans="1:126" s="144" customFormat="1" ht="24.75" customHeight="1" x14ac:dyDescent="0.25">
      <c r="A13" s="152"/>
      <c r="B13" s="393" t="s">
        <v>12</v>
      </c>
      <c r="C13" s="394"/>
      <c r="D13" s="393" t="s">
        <v>13</v>
      </c>
      <c r="E13" s="393" t="s">
        <v>14</v>
      </c>
      <c r="F13" s="140"/>
      <c r="G13" s="140"/>
      <c r="H13" s="140"/>
      <c r="I13" s="140"/>
      <c r="J13" s="140"/>
      <c r="K13" s="394"/>
      <c r="L13" s="394"/>
      <c r="M13" s="394"/>
      <c r="N13" s="393" t="s">
        <v>15</v>
      </c>
      <c r="O13" s="393"/>
      <c r="P13" s="395"/>
      <c r="Q13" s="395"/>
      <c r="R13" s="395"/>
      <c r="S13" s="396" t="s">
        <v>16</v>
      </c>
      <c r="T13" s="397"/>
      <c r="U13" s="393" t="s">
        <v>17</v>
      </c>
      <c r="V13" s="393" t="s">
        <v>18</v>
      </c>
      <c r="W13" s="394"/>
      <c r="X13" s="393" t="s">
        <v>19</v>
      </c>
      <c r="Y13" s="393"/>
      <c r="Z13" s="393"/>
      <c r="AA13" s="393"/>
      <c r="AB13" s="393"/>
      <c r="AC13" s="393"/>
      <c r="AD13" s="393"/>
      <c r="AE13" s="393"/>
      <c r="AF13" s="393"/>
      <c r="AG13" s="393"/>
      <c r="AH13" s="393"/>
      <c r="AI13" s="393"/>
      <c r="AJ13" s="393"/>
      <c r="AK13" s="393" t="s">
        <v>20</v>
      </c>
      <c r="AL13" s="394"/>
      <c r="AM13" s="393" t="s">
        <v>21</v>
      </c>
      <c r="AN13" s="394"/>
      <c r="AO13" s="394"/>
      <c r="AP13" s="394"/>
      <c r="AQ13" s="394"/>
      <c r="AR13" s="394"/>
      <c r="AS13" s="394"/>
      <c r="AT13" s="394"/>
      <c r="AU13" s="394"/>
      <c r="AV13" s="394"/>
      <c r="AW13" s="394"/>
      <c r="AX13" s="393" t="s">
        <v>22</v>
      </c>
      <c r="AY13" s="394"/>
      <c r="AZ13" s="394"/>
      <c r="BA13" s="394"/>
      <c r="BB13" s="394"/>
      <c r="BC13" s="394"/>
      <c r="BD13" s="394"/>
      <c r="BE13" s="394"/>
      <c r="BF13" s="394"/>
      <c r="BG13" s="394"/>
      <c r="BH13" s="360" t="s">
        <v>22</v>
      </c>
      <c r="BI13" s="222"/>
      <c r="BJ13" s="209"/>
      <c r="BK13" s="210"/>
      <c r="BL13" s="211"/>
      <c r="BM13" s="210"/>
      <c r="BN13" s="212"/>
      <c r="BO13" s="213"/>
      <c r="BP13" s="214"/>
      <c r="BQ13" s="215"/>
      <c r="BR13" s="215"/>
      <c r="BS13" s="215"/>
      <c r="BT13" s="214"/>
      <c r="BU13" s="213"/>
      <c r="BV13" s="210"/>
      <c r="BW13" s="210"/>
      <c r="BX13" s="216"/>
      <c r="BY13" s="216"/>
      <c r="BZ13" s="216"/>
      <c r="CA13" s="216"/>
      <c r="CB13" s="216"/>
      <c r="CC13" s="216"/>
      <c r="CD13" s="216"/>
      <c r="CE13" s="216"/>
      <c r="CF13" s="216"/>
      <c r="CG13" s="216"/>
      <c r="CH13" s="216"/>
      <c r="CI13" s="216"/>
      <c r="CJ13" s="216"/>
      <c r="CK13" s="216"/>
      <c r="CL13" s="216"/>
      <c r="CM13" s="216"/>
      <c r="CN13" s="217"/>
      <c r="CO13" s="214"/>
      <c r="CP13" s="218"/>
      <c r="CQ13" s="219"/>
      <c r="CR13" s="220"/>
      <c r="CS13" s="221"/>
      <c r="CT13" s="222"/>
      <c r="CU13" s="220"/>
      <c r="CV13" s="223"/>
      <c r="CW13" s="307"/>
      <c r="CX13" s="307"/>
      <c r="CY13" s="222"/>
      <c r="CZ13" s="308"/>
      <c r="DA13" s="309"/>
      <c r="DB13" s="216"/>
      <c r="DC13" s="216"/>
      <c r="DD13" s="216"/>
      <c r="DE13" s="216"/>
      <c r="DF13" s="216"/>
      <c r="DG13" s="301"/>
    </row>
    <row r="14" spans="1:126" s="144" customFormat="1" ht="28.5" customHeight="1" x14ac:dyDescent="0.25">
      <c r="A14" s="152">
        <v>163</v>
      </c>
      <c r="B14" s="360"/>
      <c r="C14" s="148"/>
      <c r="D14" s="360"/>
      <c r="E14" s="360"/>
      <c r="F14" s="149"/>
      <c r="G14" s="149"/>
      <c r="H14" s="149"/>
      <c r="I14" s="149"/>
      <c r="J14" s="149"/>
      <c r="K14" s="148"/>
      <c r="L14" s="148"/>
      <c r="M14" s="148"/>
      <c r="N14" s="360"/>
      <c r="O14" s="360"/>
      <c r="P14" s="349"/>
      <c r="Q14" s="349"/>
      <c r="R14" s="349"/>
      <c r="S14" s="361"/>
      <c r="T14" s="362"/>
      <c r="U14" s="360"/>
      <c r="V14" s="360"/>
      <c r="W14" s="148"/>
      <c r="X14" s="363" t="s">
        <v>23</v>
      </c>
      <c r="Y14" s="363"/>
      <c r="Z14" s="363"/>
      <c r="AA14" s="150" t="s">
        <v>24</v>
      </c>
      <c r="AB14" s="363" t="s">
        <v>25</v>
      </c>
      <c r="AC14" s="363"/>
      <c r="AD14" s="363"/>
      <c r="AE14" s="150" t="s">
        <v>26</v>
      </c>
      <c r="AF14" s="363" t="s">
        <v>27</v>
      </c>
      <c r="AG14" s="363"/>
      <c r="AH14" s="363"/>
      <c r="AI14" s="363"/>
      <c r="AJ14" s="363"/>
      <c r="AK14" s="360"/>
      <c r="AL14" s="148"/>
      <c r="AM14" s="360"/>
      <c r="AN14" s="148"/>
      <c r="AO14" s="148"/>
      <c r="AP14" s="148"/>
      <c r="AQ14" s="148"/>
      <c r="AR14" s="148"/>
      <c r="AS14" s="148"/>
      <c r="AT14" s="148"/>
      <c r="AU14" s="148"/>
      <c r="AV14" s="148"/>
      <c r="AW14" s="148"/>
      <c r="AX14" s="360"/>
      <c r="AY14" s="148"/>
      <c r="AZ14" s="148"/>
      <c r="BA14" s="148"/>
      <c r="BB14" s="148"/>
      <c r="BC14" s="148"/>
      <c r="BD14" s="148"/>
      <c r="BE14" s="148"/>
      <c r="BF14" s="148"/>
      <c r="BG14" s="148"/>
      <c r="BH14" s="398"/>
      <c r="BI14" s="222"/>
      <c r="BJ14" s="209"/>
      <c r="BK14" s="210" t="s">
        <v>28</v>
      </c>
      <c r="BL14" s="211" t="e">
        <f>IF(#REF!="Cơ sở Học viện Hành chính khu vực miền Trung","B",IF(#REF!="Phân viện Khu vực Tây Nguyên","C",IF(#REF!="Cơ sở Học viện Hành chính tại thành phố Hồ Chí Minh","D","A")))</f>
        <v>#REF!</v>
      </c>
      <c r="BM14" s="210" t="e">
        <f>IF(AND(#REF!&gt;0,#REF!&lt;(#REF!-1),BN14&gt;0,BN14&lt;13,OR(AND(BT14="Cùg Ng",(#REF!-BP14)&gt;#REF!),BT14="- - -")),"Sớm TT","=&gt; s")</f>
        <v>#REF!</v>
      </c>
      <c r="BN14" s="212" t="e">
        <f>IF(#REF!=3,36-(12*(#REF!-#REF!)+(12-#REF!)-#REF!),IF(#REF!=2,24-(12*(#REF!-#REF!)+(12-#REF!)-#REF!),"---"))</f>
        <v>#REF!</v>
      </c>
      <c r="BO14" s="213" t="str">
        <f>IF(BP14&gt;1,"S","---")</f>
        <v>---</v>
      </c>
      <c r="BP14" s="214"/>
      <c r="BQ14" s="215"/>
      <c r="BR14" s="215"/>
      <c r="BS14" s="215"/>
      <c r="BT14" s="214" t="e">
        <f>IF(#REF!=BQ14,"Cùg Ng","- - -")</f>
        <v>#REF!</v>
      </c>
      <c r="BU14" s="213" t="str">
        <f>IF(BW14&gt;2000,"NN","- - -")</f>
        <v>- - -</v>
      </c>
      <c r="BV14" s="210"/>
      <c r="BW14" s="210"/>
      <c r="BX14" s="216"/>
      <c r="BY14" s="216"/>
      <c r="BZ14" s="216" t="str">
        <f>IF(CB14&gt;2000,"CN","- - -")</f>
        <v>- - -</v>
      </c>
      <c r="CA14" s="216"/>
      <c r="CB14" s="216"/>
      <c r="CC14" s="216"/>
      <c r="CD14" s="216"/>
      <c r="CE14" s="216" t="e">
        <f>IF(AND(CF14="Hưu",#REF!&lt;(#REF!-1),CM14&gt;0,CM14&lt;18,OR(#REF!&lt;4,AND(#REF!&gt;3,OR(#REF!&lt;3,#REF!&gt;5)))),"Lg Sớm",IF(AND(CF14="Hưu",#REF!&gt;(#REF!-2),OR(#REF!=0.33,#REF!=0.34),OR(#REF!&lt;4,AND(#REF!&gt;3,OR(#REF!&lt;3,#REF!&gt;5)))),"Nâng Ngạch",IF(AND(CF14="Hưu",#REF!=1,CM14&gt;2,CM14&lt;6,OR(#REF!&lt;4,AND(#REF!&gt;3,OR(#REF!&lt;3,#REF!&gt;5)))),"Nâng PcVK cùng QĐ",IF(AND(CF14="Hưu",#REF!&gt;3,#REF!&gt;2,#REF!&lt;6,#REF!&lt;(#REF!-1),CM14&gt;17,OR(#REF!&gt;1,AND(#REF!=1,OR(CM14&lt;3,CM14&gt;5)))),"Nâng PcNG cùng QĐ",IF(AND(CF14="Hưu",#REF!&lt;(#REF!-1),CM14&gt;0,CM14&lt;18,#REF!&gt;3,#REF!&gt;2,#REF!&lt;6),"Nâng Lg Sớm +(PcNG cùng QĐ)",IF(AND(CF14="Hưu",#REF!&gt;(#REF!-2),OR(#REF!=0.33,#REF!=0.34),#REF!&gt;3,#REF!&gt;2,#REF!&lt;6),"Nâng Ngạch +(PcNG cùng QĐ)",IF(AND(CF14="Hưu",#REF!=1,CM14&gt;2,CM14&lt;6,#REF!&gt;3,#REF!&gt;2,#REF!&lt;6),"Nâng (PcVK +PcNG) cùng QĐ",("---"))))))))</f>
        <v>#REF!</v>
      </c>
      <c r="CF14" s="216" t="e">
        <f>IF(AND(CQ14&gt;CP14,CQ14&lt;(CP14+13)),"Hưu",IF(AND(CQ14&gt;(CP14+12),CQ14&lt;1000),"Quá","/-/ /-/"))</f>
        <v>#REF!</v>
      </c>
      <c r="CG14" s="216" t="e">
        <f>IF((#REF!+0)&lt;12,(#REF!+0)+1,IF((#REF!+0)=12,1,IF((#REF!+0)&gt;12,(#REF!+0)-12)))</f>
        <v>#REF!</v>
      </c>
      <c r="CH14" s="216" t="e">
        <f>IF(OR((#REF!+0)=12,(#REF!+0)&gt;12),#REF!+CP14/12+1,IF(AND((#REF!+0)&gt;0,(#REF!+0)&lt;12),#REF!+CP14/12,"---"))</f>
        <v>#REF!</v>
      </c>
      <c r="CI14" s="216" t="e">
        <f>IF(AND(CG14&gt;3,CG14&lt;13),CG14-3,IF(CG14&lt;4,CG14-3+12))</f>
        <v>#REF!</v>
      </c>
      <c r="CJ14" s="216" t="e">
        <f>IF(CI14&lt;CG14,CH14,IF(CI14&gt;CG14,CH14-1))</f>
        <v>#REF!</v>
      </c>
      <c r="CK14" s="216" t="e">
        <f>IF(CG14&gt;6,CG14-6,IF(CG14=6,12,IF(CG14&lt;6,CG14+6)))</f>
        <v>#REF!</v>
      </c>
      <c r="CL14" s="216" t="e">
        <f>IF(CG14&gt;6,CH14,IF(CG14&lt;7,CH14-1))</f>
        <v>#REF!</v>
      </c>
      <c r="CM14" s="216" t="e">
        <f>IF(AND(CF14="Hưu",#REF!=3),36+#REF!-(12*(CL14-#REF!)+(CK14-#REF!)),IF(AND(CF14="Hưu",#REF!=2),24+#REF!-(12*(CL14-#REF!)+(CK14-#REF!)),IF(AND(CF14="Hưu",#REF!=1),12+#REF!-(12*(CL14-#REF!)+(CK14-#REF!)),"- - -")))</f>
        <v>#REF!</v>
      </c>
      <c r="CN14" s="217" t="str">
        <f>IF(CO14&gt;0,"K.Dài",". .")</f>
        <v>. .</v>
      </c>
      <c r="CO14" s="214"/>
      <c r="CP14" s="218" t="e">
        <f>IF(#REF!="Nam",(60+CO14)*12,IF(#REF!="Nữ",(55+CO14)*12,))</f>
        <v>#REF!</v>
      </c>
      <c r="CQ14" s="219" t="e">
        <f>12*(#REF!-#REF!)+(12-#REF!)</f>
        <v>#REF!</v>
      </c>
      <c r="CR14" s="220" t="e">
        <f>#REF!-#REF!</f>
        <v>#REF!</v>
      </c>
      <c r="CS14" s="221" t="e">
        <f>IF(AND(CR14&lt;35,#REF!="Nam"),"Nam dưới 35",IF(AND(CR14&lt;30,#REF!="Nữ"),"Nữ dưới 30",IF(AND(CR14&gt;34,CR14&lt;46,#REF!="Nam"),"Nam từ 35 - 45",IF(AND(CR14&gt;29,CR14&lt;41,#REF!="Nữ"),"Nữ từ 30 - 40",IF(AND(CR14&gt;45,CR14&lt;56,#REF!="Nam"),"Nam trên 45 - 55",IF(AND(CR14&gt;40,CR14&lt;51,#REF!="Nữ"),"Nữ trên 40 - 50",IF(AND(CR14&gt;55,#REF!="Nam"),"Nam trên 55","Nữ trên 50")))))))</f>
        <v>#REF!</v>
      </c>
      <c r="CT14" s="222"/>
      <c r="CU14" s="220"/>
      <c r="CV14" s="223" t="e">
        <f>IF(CR14&lt;31,"Đến 30",IF(AND(CR14&gt;30,CR14&lt;46),"31 - 45",IF(AND(CR14&gt;45,CR14&lt;70),"Trên 45")))</f>
        <v>#REF!</v>
      </c>
      <c r="CW14" s="307" t="str">
        <f>IF(CX14&gt;0,"TD","--")</f>
        <v>--</v>
      </c>
      <c r="CX14" s="307"/>
      <c r="CY14" s="222"/>
      <c r="CZ14" s="308"/>
      <c r="DA14" s="309"/>
      <c r="DB14" s="216"/>
      <c r="DC14" s="216"/>
      <c r="DD14" s="216"/>
      <c r="DE14" s="216"/>
      <c r="DF14" s="216"/>
      <c r="DG14" s="301" t="s">
        <v>29</v>
      </c>
      <c r="DH14" s="144" t="s">
        <v>9</v>
      </c>
      <c r="DI14" s="144" t="s">
        <v>10</v>
      </c>
      <c r="DJ14" s="144" t="s">
        <v>30</v>
      </c>
      <c r="DK14" s="144" t="s">
        <v>10</v>
      </c>
      <c r="DL14" s="144" t="s">
        <v>31</v>
      </c>
      <c r="DM14" s="144">
        <f>(DH14+0)-(DO14+0)</f>
        <v>0</v>
      </c>
      <c r="DN14" s="144" t="str">
        <f>IF(DM14&gt;0,"Sửa","- - -")</f>
        <v>- - -</v>
      </c>
      <c r="DO14" s="144" t="s">
        <v>9</v>
      </c>
      <c r="DP14" s="144" t="s">
        <v>10</v>
      </c>
      <c r="DQ14" s="144" t="s">
        <v>30</v>
      </c>
      <c r="DR14" s="144" t="s">
        <v>10</v>
      </c>
      <c r="DS14" s="144" t="s">
        <v>31</v>
      </c>
      <c r="DU14" s="144" t="e">
        <f>IF(AND(#REF!&gt;0.34,#REF!=1,OR(#REF!=6.2,#REF!=5.75)),((#REF!-DT14)-2*0.34),IF(AND(#REF!&gt;0.33,#REF!=1,OR(#REF!=4.4,#REF!=4)),((#REF!-DT14)-2*0.33),"- - -"))</f>
        <v>#REF!</v>
      </c>
      <c r="DV14" s="144" t="e">
        <f>IF(CF14="Hưu",12*(CL14-#REF!)+(CK14-#REF!),"---")</f>
        <v>#REF!</v>
      </c>
    </row>
    <row r="15" spans="1:126" s="151" customFormat="1" ht="12.75" x14ac:dyDescent="0.25">
      <c r="B15" s="348">
        <v>1</v>
      </c>
      <c r="C15" s="348"/>
      <c r="D15" s="348">
        <v>2</v>
      </c>
      <c r="E15" s="348">
        <v>3</v>
      </c>
      <c r="F15" s="348"/>
      <c r="G15" s="348"/>
      <c r="H15" s="348"/>
      <c r="I15" s="348"/>
      <c r="J15" s="348"/>
      <c r="K15" s="348"/>
      <c r="L15" s="348"/>
      <c r="M15" s="348"/>
      <c r="N15" s="367">
        <v>4</v>
      </c>
      <c r="O15" s="367"/>
      <c r="P15" s="348"/>
      <c r="Q15" s="348"/>
      <c r="R15" s="348"/>
      <c r="S15" s="367">
        <v>5</v>
      </c>
      <c r="T15" s="367"/>
      <c r="U15" s="348">
        <v>5</v>
      </c>
      <c r="V15" s="348">
        <v>6</v>
      </c>
      <c r="W15" s="348"/>
      <c r="X15" s="367">
        <v>6</v>
      </c>
      <c r="Y15" s="367"/>
      <c r="Z15" s="367"/>
      <c r="AA15" s="348">
        <v>7</v>
      </c>
      <c r="AB15" s="367">
        <v>8</v>
      </c>
      <c r="AC15" s="367"/>
      <c r="AD15" s="367"/>
      <c r="AE15" s="348">
        <v>9</v>
      </c>
      <c r="AF15" s="367">
        <v>10</v>
      </c>
      <c r="AG15" s="367"/>
      <c r="AH15" s="367"/>
      <c r="AI15" s="367"/>
      <c r="AJ15" s="367"/>
      <c r="AK15" s="348">
        <v>12</v>
      </c>
      <c r="AL15" s="348"/>
      <c r="AM15" s="348"/>
      <c r="AN15" s="348"/>
      <c r="AO15" s="348"/>
      <c r="AP15" s="348"/>
      <c r="AQ15" s="348"/>
      <c r="AR15" s="348"/>
      <c r="AS15" s="348"/>
      <c r="AT15" s="348"/>
      <c r="AU15" s="348"/>
      <c r="AV15" s="348"/>
      <c r="AW15" s="348"/>
      <c r="AX15" s="348">
        <v>12</v>
      </c>
      <c r="AY15" s="348"/>
      <c r="AZ15" s="348"/>
      <c r="BA15" s="348"/>
      <c r="BB15" s="348"/>
      <c r="BC15" s="348"/>
      <c r="BD15" s="348"/>
      <c r="BE15" s="348"/>
      <c r="BF15" s="348"/>
      <c r="BG15" s="348"/>
      <c r="BH15" s="348">
        <v>11</v>
      </c>
      <c r="BI15" s="224"/>
      <c r="BJ15" s="224"/>
      <c r="BK15" s="224"/>
      <c r="BL15" s="224"/>
      <c r="BM15" s="224"/>
      <c r="BN15" s="224"/>
      <c r="BO15" s="224"/>
      <c r="BP15" s="224"/>
      <c r="BQ15" s="224"/>
      <c r="BR15" s="224"/>
      <c r="BS15" s="224"/>
      <c r="BT15" s="224"/>
      <c r="BU15" s="224"/>
      <c r="BV15" s="224"/>
      <c r="BW15" s="224"/>
      <c r="BX15" s="224"/>
      <c r="BY15" s="224"/>
      <c r="BZ15" s="224"/>
      <c r="CA15" s="224"/>
      <c r="CB15" s="224"/>
      <c r="CC15" s="224"/>
      <c r="CD15" s="224"/>
      <c r="CE15" s="224"/>
      <c r="CF15" s="224"/>
      <c r="CG15" s="224"/>
      <c r="CH15" s="224"/>
      <c r="CI15" s="224"/>
      <c r="CJ15" s="224"/>
      <c r="CK15" s="224"/>
      <c r="CL15" s="224"/>
      <c r="CM15" s="224"/>
      <c r="CN15" s="224"/>
      <c r="CO15" s="224"/>
      <c r="CP15" s="224"/>
      <c r="CQ15" s="224"/>
      <c r="CR15" s="224"/>
      <c r="CS15" s="224"/>
      <c r="CT15" s="224"/>
      <c r="CU15" s="224"/>
      <c r="CV15" s="224"/>
      <c r="CW15" s="224"/>
      <c r="CX15" s="224"/>
      <c r="CY15" s="224"/>
      <c r="CZ15" s="224"/>
      <c r="DA15" s="224"/>
      <c r="DB15" s="224"/>
      <c r="DC15" s="224"/>
      <c r="DD15" s="224"/>
      <c r="DE15" s="224"/>
      <c r="DF15" s="224"/>
    </row>
    <row r="16" spans="1:126" s="138" customFormat="1" ht="23.25" customHeight="1" x14ac:dyDescent="0.25">
      <c r="A16" s="152">
        <v>14</v>
      </c>
      <c r="B16" s="142">
        <v>1</v>
      </c>
      <c r="C16" s="142" t="str">
        <f t="shared" ref="C16:C24" si="0">IF(E16="Nam","Ông","Bà")</f>
        <v>Ông</v>
      </c>
      <c r="D16" s="153" t="s">
        <v>121</v>
      </c>
      <c r="E16" s="142" t="s">
        <v>39</v>
      </c>
      <c r="F16" s="154" t="s">
        <v>46</v>
      </c>
      <c r="G16" s="155" t="s">
        <v>10</v>
      </c>
      <c r="H16" s="155" t="s">
        <v>9</v>
      </c>
      <c r="I16" s="155" t="s">
        <v>10</v>
      </c>
      <c r="J16" s="156">
        <v>1980</v>
      </c>
      <c r="K16" s="316"/>
      <c r="L16" s="316"/>
      <c r="M16" s="316" t="e">
        <f>VLOOKUP(L16,'[1]- DLiêu Gốc -'!$B$2:$G$121,2,0)</f>
        <v>#N/A</v>
      </c>
      <c r="N16" s="317" t="s">
        <v>122</v>
      </c>
      <c r="O16" s="297" t="s">
        <v>123</v>
      </c>
      <c r="P16" s="157" t="str">
        <f>VLOOKUP(U16,'[1]- DLiêu Gốc -'!$B$2:$G$56,5,0)</f>
        <v>A1</v>
      </c>
      <c r="Q16" s="157" t="str">
        <f>VLOOKUP(U16,'[1]- DLiêu Gốc -'!$B$2:$G$56,6,0)</f>
        <v>- - -</v>
      </c>
      <c r="R16" s="158" t="s">
        <v>41</v>
      </c>
      <c r="S16" s="298" t="str">
        <f t="shared" ref="S16:S24" si="1">IF(OR(U16="Kỹ thuật viên đánh máy",U16="Nhân viên đánh máy",U16="Nhân viên kỹ thuật",U16="Nhân viên văn thư",U16="Nhân viên phục vụ",U16="Lái xe cơ quan",U16="Nhân viên bảo vệ"),"Nhân viên",U16)</f>
        <v>Chuyên viên</v>
      </c>
      <c r="T16" s="159" t="str">
        <f t="shared" ref="T16:T24" si="2">IF(S16="Nhân viên","01.005",V16)</f>
        <v>01.003</v>
      </c>
      <c r="U16" s="160" t="s">
        <v>94</v>
      </c>
      <c r="V16" s="159" t="str">
        <f>VLOOKUP(U16,'[1]- DLiêu Gốc -'!$B$1:$G$121,2,0)</f>
        <v>01.003</v>
      </c>
      <c r="W16" s="161" t="str">
        <f t="shared" ref="W16:W24" si="3">IF(OR(AND(AN16=36,AM16=3),AND(AN16=24,AM16=2),AND(AN16=12,AM16=1)),"Đến $",IF(OR(AND(AN16&gt;36,AM16=3),AND(AN16&gt;24,AM16=2),AND(AN16&gt;12,AM16=1)),"Dừng $","Lương"))</f>
        <v>Lương</v>
      </c>
      <c r="X16" s="162">
        <v>4</v>
      </c>
      <c r="Y16" s="163" t="str">
        <f t="shared" ref="Y16:Y24" si="4">IF(Z16&gt;0,"/")</f>
        <v>/</v>
      </c>
      <c r="Z16" s="164">
        <f t="shared" ref="Z16:Z24" si="5">IF(OR(AR16=0.18,AR16=0.2),12,IF(AR16=0.31,10,IF(AR16=0.33,9,IF(AR16=0.34,8,IF(AR16=0.36,6)))))</f>
        <v>9</v>
      </c>
      <c r="AA16" s="165">
        <f t="shared" ref="AA16:AA24" si="6">AQ16+(X16-1)*AR16</f>
        <v>3.33</v>
      </c>
      <c r="AB16" s="166">
        <f t="shared" ref="AB16:AB24" si="7">X16+1</f>
        <v>5</v>
      </c>
      <c r="AC16" s="316" t="str">
        <f t="shared" ref="AC16:AC24" si="8">IF(Z16=X16,"%",IF(Z16&gt;X16,"/"))</f>
        <v>/</v>
      </c>
      <c r="AD16" s="164">
        <f t="shared" ref="AD16:AD24" si="9">IF(AND(Z16=X16,AB16=4),5,IF(AND(Z16=X16,AB16&gt;4),AB16+1,IF(Z16&gt;X16,Z16)))</f>
        <v>9</v>
      </c>
      <c r="AE16" s="318">
        <f t="shared" ref="AE16:AE24" si="10">IF(Z16=X16,"%",IF(Z16&gt;X16,AA16+AR16))</f>
        <v>3.66</v>
      </c>
      <c r="AF16" s="167" t="s">
        <v>9</v>
      </c>
      <c r="AG16" s="168" t="s">
        <v>10</v>
      </c>
      <c r="AH16" s="169" t="s">
        <v>109</v>
      </c>
      <c r="AI16" s="170" t="s">
        <v>10</v>
      </c>
      <c r="AJ16" s="171">
        <v>2016</v>
      </c>
      <c r="AK16" s="172"/>
      <c r="AL16" s="173">
        <v>4</v>
      </c>
      <c r="AM16" s="145">
        <f t="shared" ref="AM16:AM24" si="11">IF(AND(Z16&gt;X16,OR(AR16=0.18,AR16=0.2)),2,IF(AND(Z16&gt;X16,OR(AR16=0.31,AR16=0.33,AR16=0.34,AR16=0.36)),3,IF(Z16=X16,1)))</f>
        <v>3</v>
      </c>
      <c r="AN16" s="145">
        <f t="shared" ref="AN16:AN24" si="12">12*($W$2-AJ16)+($W$4-AH16)-AO16</f>
        <v>-24196</v>
      </c>
      <c r="AO16" s="139"/>
      <c r="AP16" s="174"/>
      <c r="AQ16" s="147">
        <f>VLOOKUP(U16,'[1]- DLiêu Gốc -'!$B$1:$E$56,3,0)</f>
        <v>2.34</v>
      </c>
      <c r="AR16" s="141">
        <f>VLOOKUP(U16,'[1]- DLiêu Gốc -'!$B$1:$E$56,4,0)</f>
        <v>0.33</v>
      </c>
      <c r="AS16" s="175"/>
      <c r="AT16" s="176" t="str">
        <f t="shared" ref="AT16:AT24" si="13">IF(AND(AU16&gt;3,BF16=12),"Đến %",IF(AND(AU16&gt;3,BF16&gt;12,BF16&lt;120),"Dừng %",IF(AND(AU16&gt;3,BF16&lt;12),"PCTN","o-o-o")))</f>
        <v>o-o-o</v>
      </c>
      <c r="AU16" s="177"/>
      <c r="AV16" s="177"/>
      <c r="AW16" s="141">
        <f t="shared" ref="AW16:AW24" si="14">IF(AU16&gt;3,AU16+1,0)</f>
        <v>0</v>
      </c>
      <c r="AX16" s="178"/>
      <c r="AY16" s="319"/>
      <c r="AZ16" s="144"/>
      <c r="BA16" s="144"/>
      <c r="BB16" s="144"/>
      <c r="BC16" s="144"/>
      <c r="BD16" s="144"/>
      <c r="BE16" s="144"/>
      <c r="BF16" s="146" t="str">
        <f t="shared" ref="BF16:BF24" si="15">IF(AU16&gt;3,(($AT$2-BA16)*12+($AT$4-AY16)-BC16),"- - -")</f>
        <v>- - -</v>
      </c>
      <c r="BG16" s="179" t="str">
        <f t="shared" ref="BG16:BG24" si="16">IF(AND(CF16="Hưu",AU16&gt;3),12-(12*(CL16-BA16)+(CK16-AY16))-BC16,"- - -")</f>
        <v>- - -</v>
      </c>
      <c r="BH16" s="351" t="str">
        <f t="shared" ref="BH16:BH24" si="17">IF(BK16="công chức","CC",IF(BK16="viên chức","VC",IF(BK16="người lao động","NLĐ","- - -")))</f>
        <v>NLĐ</v>
      </c>
      <c r="BI16" s="381"/>
      <c r="BJ16" s="380"/>
      <c r="BK16" s="376" t="s">
        <v>43</v>
      </c>
      <c r="BL16" s="383" t="str">
        <f t="shared" ref="BL16:BL24" si="18">IF(O16="Cơ sở Học viện Hành chính khu vực miền Trung","B",IF(O16="Phân viện Khu vực Tây Nguyên","C",IF(O16="Cơ sở Học viện Hành chính tại thành phố Hồ Chí Minh","D","A")))</f>
        <v>A</v>
      </c>
      <c r="BM16" s="376" t="str">
        <f t="shared" ref="BM16:BM24" si="19">IF(AND(AB16&gt;0,X16&lt;(Z16-1),BN16&gt;0,BN16&lt;13,OR(AND(BT16="Cùg Ng",($BM$2-BP16)&gt;AM16),BT16="- - -")),"Sớm TT","=&gt; s")</f>
        <v>=&gt; s</v>
      </c>
      <c r="BN16" s="384">
        <f t="shared" ref="BN16:BN24" si="20">IF(AM16=3,36-(12*($BM$2-AJ16)+(12-AH16)-AO16),IF(AM16=2,24-(12*($BM$2-AJ16)+(12-AH16)-AO16),"---"))</f>
        <v>24220</v>
      </c>
      <c r="BO16" s="385" t="str">
        <f t="shared" ref="BO16:BO24" si="21">IF(BP16&gt;1,"S","---")</f>
        <v>---</v>
      </c>
      <c r="BP16" s="377"/>
      <c r="BQ16" s="386"/>
      <c r="BR16" s="386"/>
      <c r="BS16" s="386"/>
      <c r="BT16" s="377" t="str">
        <f t="shared" ref="BT16:BT24" si="22">IF(T16=BQ16,"Cùg Ng","- - -")</f>
        <v>- - -</v>
      </c>
      <c r="BU16" s="385" t="str">
        <f t="shared" ref="BU16:BU24" si="23">IF(BW16&gt;2000,"NN","- - -")</f>
        <v>- - -</v>
      </c>
      <c r="BV16" s="376" t="s">
        <v>9</v>
      </c>
      <c r="BW16" s="376"/>
      <c r="BX16" s="387"/>
      <c r="BY16" s="387"/>
      <c r="BZ16" s="387" t="str">
        <f t="shared" ref="BZ16:BZ24" si="24">IF(CB16&gt;2000,"CN","- - -")</f>
        <v>- - -</v>
      </c>
      <c r="CA16" s="387"/>
      <c r="CB16" s="387"/>
      <c r="CC16" s="387"/>
      <c r="CD16" s="387"/>
      <c r="CE16" s="387" t="str">
        <f t="shared" ref="CE16:CE24" si="25">IF(AND(CF16="Hưu",X16&lt;(Z16-1),CM16&gt;0,CM16&lt;18,OR(AU16&lt;4,AND(AU16&gt;3,OR(BG16&lt;3,BG16&gt;5)))),"Lg Sớm",IF(AND(CF16="Hưu",X16&gt;(Z16-2),OR(AR16=0.33,AR16=0.34),OR(AU16&lt;4,AND(AU16&gt;3,OR(BG16&lt;3,BG16&gt;5)))),"Nâng Ngạch",IF(AND(CF16="Hưu",AM16=1,CM16&gt;2,CM16&lt;6,OR(AU16&lt;4,AND(AU16&gt;3,OR(BG16&lt;3,BG16&gt;5)))),"Nâng PcVK cùng QĐ",IF(AND(CF16="Hưu",AU16&gt;3,BG16&gt;2,BG16&lt;6,X16&lt;(Z16-1),CM16&gt;17,OR(AM16&gt;1,AND(AM16=1,OR(CM16&lt;3,CM16&gt;5)))),"Nâng PcNG cùng QĐ",IF(AND(CF16="Hưu",X16&lt;(Z16-1),CM16&gt;0,CM16&lt;18,AU16&gt;3,BG16&gt;2,BG16&lt;6),"Nâng Lg Sớm +(PcNG cùng QĐ)",IF(AND(CF16="Hưu",X16&gt;(Z16-2),OR(AR16=0.33,AR16=0.34),AU16&gt;3,BG16&gt;2,BG16&lt;6),"Nâng Ngạch +(PcNG cùng QĐ)",IF(AND(CF16="Hưu",AM16=1,CM16&gt;2,CM16&lt;6,AU16&gt;3,BG16&gt;2,BG16&lt;6),"Nâng (PcVK +PcNG) cùng QĐ",("---"))))))))</f>
        <v>---</v>
      </c>
      <c r="CF16" s="387" t="str">
        <f t="shared" ref="CF16:CF24" si="26">IF(AND(CQ16&gt;CP16,CQ16&lt;(CP16+13)),"Hưu",IF(AND(CQ16&gt;(CP16+12),CQ16&lt;1000),"Quá","/-/ /-/"))</f>
        <v>/-/ /-/</v>
      </c>
      <c r="CG16" s="387">
        <f t="shared" ref="CG16:CG24" si="27">IF((H16+0)&lt;12,(H16+0)+1,IF((H16+0)=12,1,IF((H16+0)&gt;12,(H16+0)-12)))</f>
        <v>2</v>
      </c>
      <c r="CH16" s="387">
        <f t="shared" ref="CH16:CH24" si="28">IF(OR((H16+0)=12,(H16+0)&gt;12),J16+CP16/12+1,IF(AND((H16+0)&gt;0,(H16+0)&lt;12),J16+CP16/12,"---"))</f>
        <v>2040</v>
      </c>
      <c r="CI16" s="387">
        <f t="shared" ref="CI16:CI24" si="29">IF(AND(CG16&gt;3,CG16&lt;13),CG16-3,IF(CG16&lt;4,CG16-3+12))</f>
        <v>11</v>
      </c>
      <c r="CJ16" s="387">
        <f t="shared" ref="CJ16:CJ24" si="30">IF(CI16&lt;CG16,CH16,IF(CI16&gt;CG16,CH16-1))</f>
        <v>2039</v>
      </c>
      <c r="CK16" s="387">
        <f t="shared" ref="CK16:CK24" si="31">IF(CG16&gt;6,CG16-6,IF(CG16=6,12,IF(CG16&lt;6,CG16+6)))</f>
        <v>8</v>
      </c>
      <c r="CL16" s="387">
        <f t="shared" ref="CL16:CL24" si="32">IF(CG16&gt;6,CH16,IF(CG16&lt;7,CH16-1))</f>
        <v>2039</v>
      </c>
      <c r="CM16" s="387" t="str">
        <f t="shared" ref="CM16:CM24" si="33">IF(AND(CF16="Hưu",AM16=3),36+AO16-(12*(CL16-AJ16)+(CK16-AH16)),IF(AND(CF16="Hưu",AM16=2),24+AO16-(12*(CL16-AJ16)+(CK16-AH16)),IF(AND(CF16="Hưu",AM16=1),12+AO16-(12*(CL16-AJ16)+(CK16-AH16)),"- - -")))</f>
        <v>- - -</v>
      </c>
      <c r="CN16" s="388" t="str">
        <f t="shared" ref="CN16:CN24" si="34">IF(CO16&gt;0,"K.Dài",". .")</f>
        <v>. .</v>
      </c>
      <c r="CO16" s="377"/>
      <c r="CP16" s="389">
        <f t="shared" ref="CP16:CP24" si="35">IF(E16="Nam",(60+CO16)*12,IF(E16="Nữ",(55+CO16)*12,))</f>
        <v>720</v>
      </c>
      <c r="CQ16" s="390">
        <f t="shared" ref="CQ16:CQ24" si="36">12*($CF$4-J16)+(12-H16)</f>
        <v>-23749</v>
      </c>
      <c r="CR16" s="378">
        <f t="shared" ref="CR16:CR24" si="37">$CV$4-J16</f>
        <v>-1980</v>
      </c>
      <c r="CS16" s="391" t="str">
        <f t="shared" ref="CS16:CS24" si="38">IF(AND(CR16&lt;35,E16="Nam"),"Nam dưới 35",IF(AND(CR16&lt;30,E16="Nữ"),"Nữ dưới 30",IF(AND(CR16&gt;34,CR16&lt;46,E16="Nam"),"Nam từ 35 - 45",IF(AND(CR16&gt;29,CR16&lt;41,E16="Nữ"),"Nữ từ 30 - 40",IF(AND(CR16&gt;45,CR16&lt;56,E16="Nam"),"Nam trên 45 - 55",IF(AND(CR16&gt;40,CR16&lt;51,E16="Nữ"),"Nữ trên 40 - 50",IF(AND(CR16&gt;55,E16="Nam"),"Nam trên 55","Nữ trên 50")))))))</f>
        <v>Nam dưới 35</v>
      </c>
      <c r="CT16" s="381"/>
      <c r="CU16" s="378"/>
      <c r="CV16" s="392" t="str">
        <f t="shared" ref="CV16:CV24" si="39">IF(CR16&lt;31,"Đến 30",IF(AND(CR16&gt;30,CR16&lt;46),"31 - 45",IF(AND(CR16&gt;45,CR16&lt;70),"Trên 45")))</f>
        <v>Đến 30</v>
      </c>
      <c r="CW16" s="382" t="str">
        <f t="shared" ref="CW16:CW23" si="40">IF(CX16&gt;0,"TD","--")</f>
        <v>--</v>
      </c>
      <c r="CX16" s="180"/>
      <c r="CY16" s="141"/>
      <c r="CZ16" s="352"/>
      <c r="DA16" s="353"/>
      <c r="DB16" s="144"/>
      <c r="DC16" s="144"/>
      <c r="DG16" s="138" t="s">
        <v>122</v>
      </c>
      <c r="DH16" s="138" t="s">
        <v>9</v>
      </c>
      <c r="DI16" s="138" t="s">
        <v>10</v>
      </c>
      <c r="DJ16" s="138" t="s">
        <v>109</v>
      </c>
      <c r="DK16" s="138" t="s">
        <v>10</v>
      </c>
      <c r="DL16" s="138">
        <v>2013</v>
      </c>
      <c r="DM16" s="138">
        <f t="shared" ref="DM16:DM24" si="41">(DH16+0)-(DO16+0)</f>
        <v>0</v>
      </c>
      <c r="DN16" s="138" t="str">
        <f t="shared" ref="DN16:DN24" si="42">IF(DM16&gt;0,"Sửa","- - -")</f>
        <v>- - -</v>
      </c>
      <c r="DO16" s="138" t="s">
        <v>9</v>
      </c>
      <c r="DP16" s="138" t="s">
        <v>10</v>
      </c>
      <c r="DQ16" s="138" t="s">
        <v>109</v>
      </c>
      <c r="DR16" s="138" t="s">
        <v>10</v>
      </c>
      <c r="DS16" s="138">
        <v>2013</v>
      </c>
      <c r="DU16" s="138" t="str">
        <f t="shared" ref="DU16:DU24" si="43">IF(AND(AR16&gt;0.34,AB16=1,OR(AQ16=6.2,AQ16=5.75)),((AQ16-DT16)-2*0.34),IF(AND(AR16&gt;0.33,AB16=1,OR(AQ16=4.4,AQ16=4)),((AQ16-DT16)-2*0.33),"- - -"))</f>
        <v>- - -</v>
      </c>
      <c r="DV16" s="138" t="str">
        <f t="shared" ref="DV16:DV24" si="44">IF(CF16="Hưu",12*(CL16-AJ16)+(CK16-AH16),"---")</f>
        <v>---</v>
      </c>
    </row>
    <row r="17" spans="1:126" s="138" customFormat="1" ht="21" customHeight="1" x14ac:dyDescent="0.25">
      <c r="A17" s="152">
        <v>71</v>
      </c>
      <c r="B17" s="142">
        <v>2</v>
      </c>
      <c r="C17" s="142" t="str">
        <f t="shared" si="0"/>
        <v>Ông</v>
      </c>
      <c r="D17" s="153" t="s">
        <v>124</v>
      </c>
      <c r="E17" s="142" t="s">
        <v>39</v>
      </c>
      <c r="F17" s="154" t="s">
        <v>125</v>
      </c>
      <c r="G17" s="155" t="s">
        <v>10</v>
      </c>
      <c r="H17" s="155" t="s">
        <v>88</v>
      </c>
      <c r="I17" s="155" t="s">
        <v>10</v>
      </c>
      <c r="J17" s="156">
        <v>1975</v>
      </c>
      <c r="K17" s="316" t="e">
        <f>IF(AND((M17+0)&gt;0.3,(M17+0)&lt;1.5),"CVụ","- -")</f>
        <v>#VALUE!</v>
      </c>
      <c r="L17" s="316" t="s">
        <v>126</v>
      </c>
      <c r="M17" s="316" t="str">
        <f>VLOOKUP(L17,'[1]- DLiêu Gốc -'!$B$2:$G$121,2,0)</f>
        <v>0,4</v>
      </c>
      <c r="N17" s="317" t="s">
        <v>127</v>
      </c>
      <c r="O17" s="297" t="s">
        <v>117</v>
      </c>
      <c r="P17" s="157" t="str">
        <f>VLOOKUP(U17,'[1]- DLiêu Gốc -'!$B$2:$G$56,5,0)</f>
        <v>A1</v>
      </c>
      <c r="Q17" s="157" t="str">
        <f>VLOOKUP(U17,'[1]- DLiêu Gốc -'!$B$2:$G$56,6,0)</f>
        <v>- - -</v>
      </c>
      <c r="R17" s="158" t="s">
        <v>41</v>
      </c>
      <c r="S17" s="298" t="str">
        <f t="shared" si="1"/>
        <v>Chuyên viên</v>
      </c>
      <c r="T17" s="159" t="str">
        <f t="shared" si="2"/>
        <v>01.003</v>
      </c>
      <c r="U17" s="160" t="s">
        <v>94</v>
      </c>
      <c r="V17" s="159" t="str">
        <f>VLOOKUP(U17,'[1]- DLiêu Gốc -'!$B$1:$G$121,2,0)</f>
        <v>01.003</v>
      </c>
      <c r="W17" s="161" t="str">
        <f t="shared" si="3"/>
        <v>Lương</v>
      </c>
      <c r="X17" s="162">
        <v>7</v>
      </c>
      <c r="Y17" s="163" t="str">
        <f t="shared" si="4"/>
        <v>/</v>
      </c>
      <c r="Z17" s="164">
        <f t="shared" si="5"/>
        <v>9</v>
      </c>
      <c r="AA17" s="165">
        <f t="shared" si="6"/>
        <v>4.32</v>
      </c>
      <c r="AB17" s="166">
        <f t="shared" si="7"/>
        <v>8</v>
      </c>
      <c r="AC17" s="316" t="str">
        <f t="shared" si="8"/>
        <v>/</v>
      </c>
      <c r="AD17" s="164">
        <f t="shared" si="9"/>
        <v>9</v>
      </c>
      <c r="AE17" s="318">
        <f t="shared" si="10"/>
        <v>4.6500000000000004</v>
      </c>
      <c r="AF17" s="167" t="s">
        <v>9</v>
      </c>
      <c r="AG17" s="168" t="s">
        <v>10</v>
      </c>
      <c r="AH17" s="169" t="s">
        <v>109</v>
      </c>
      <c r="AI17" s="170" t="s">
        <v>10</v>
      </c>
      <c r="AJ17" s="171">
        <v>2016</v>
      </c>
      <c r="AK17" s="172"/>
      <c r="AL17" s="173">
        <v>4</v>
      </c>
      <c r="AM17" s="145">
        <f t="shared" si="11"/>
        <v>3</v>
      </c>
      <c r="AN17" s="145">
        <f t="shared" si="12"/>
        <v>-24196</v>
      </c>
      <c r="AO17" s="139"/>
      <c r="AP17" s="174"/>
      <c r="AQ17" s="147">
        <f>VLOOKUP(U17,'[1]- DLiêu Gốc -'!$B$1:$E$56,3,0)</f>
        <v>2.34</v>
      </c>
      <c r="AR17" s="141">
        <f>VLOOKUP(U17,'[1]- DLiêu Gốc -'!$B$1:$E$56,4,0)</f>
        <v>0.33</v>
      </c>
      <c r="AS17" s="175"/>
      <c r="AT17" s="176" t="str">
        <f t="shared" si="13"/>
        <v>o-o-o</v>
      </c>
      <c r="AU17" s="177"/>
      <c r="AV17" s="177"/>
      <c r="AW17" s="141">
        <f t="shared" si="14"/>
        <v>0</v>
      </c>
      <c r="AX17" s="178"/>
      <c r="AY17" s="319"/>
      <c r="AZ17" s="144"/>
      <c r="BA17" s="144"/>
      <c r="BB17" s="144"/>
      <c r="BC17" s="144"/>
      <c r="BD17" s="144"/>
      <c r="BE17" s="144"/>
      <c r="BF17" s="146" t="str">
        <f t="shared" si="15"/>
        <v>- - -</v>
      </c>
      <c r="BG17" s="179" t="str">
        <f t="shared" si="16"/>
        <v>- - -</v>
      </c>
      <c r="BH17" s="351" t="str">
        <f t="shared" si="17"/>
        <v>VC</v>
      </c>
      <c r="BI17" s="381"/>
      <c r="BJ17" s="380"/>
      <c r="BK17" s="376" t="s">
        <v>93</v>
      </c>
      <c r="BL17" s="383" t="str">
        <f t="shared" si="18"/>
        <v>A</v>
      </c>
      <c r="BM17" s="376" t="str">
        <f t="shared" si="19"/>
        <v>=&gt; s</v>
      </c>
      <c r="BN17" s="384">
        <f t="shared" si="20"/>
        <v>24220</v>
      </c>
      <c r="BO17" s="385" t="str">
        <f t="shared" si="21"/>
        <v>S</v>
      </c>
      <c r="BP17" s="377">
        <v>2010</v>
      </c>
      <c r="BQ17" s="386" t="s">
        <v>128</v>
      </c>
      <c r="BR17" s="386"/>
      <c r="BS17" s="386"/>
      <c r="BT17" s="377" t="str">
        <f t="shared" si="22"/>
        <v>Cùg Ng</v>
      </c>
      <c r="BU17" s="385" t="str">
        <f t="shared" si="23"/>
        <v>- - -</v>
      </c>
      <c r="BV17" s="376"/>
      <c r="BW17" s="376"/>
      <c r="BX17" s="387"/>
      <c r="BY17" s="387"/>
      <c r="BZ17" s="387" t="str">
        <f t="shared" si="24"/>
        <v>- - -</v>
      </c>
      <c r="CA17" s="387"/>
      <c r="CB17" s="387"/>
      <c r="CC17" s="387"/>
      <c r="CD17" s="387"/>
      <c r="CE17" s="387" t="str">
        <f t="shared" si="25"/>
        <v>---</v>
      </c>
      <c r="CF17" s="387" t="str">
        <f t="shared" si="26"/>
        <v>/-/ /-/</v>
      </c>
      <c r="CG17" s="387">
        <f t="shared" si="27"/>
        <v>4</v>
      </c>
      <c r="CH17" s="387">
        <f t="shared" si="28"/>
        <v>2035</v>
      </c>
      <c r="CI17" s="387">
        <f t="shared" si="29"/>
        <v>1</v>
      </c>
      <c r="CJ17" s="387">
        <f t="shared" si="30"/>
        <v>2035</v>
      </c>
      <c r="CK17" s="387">
        <f t="shared" si="31"/>
        <v>10</v>
      </c>
      <c r="CL17" s="387">
        <f t="shared" si="32"/>
        <v>2034</v>
      </c>
      <c r="CM17" s="387" t="str">
        <f t="shared" si="33"/>
        <v>- - -</v>
      </c>
      <c r="CN17" s="388" t="str">
        <f t="shared" si="34"/>
        <v>. .</v>
      </c>
      <c r="CO17" s="377"/>
      <c r="CP17" s="389">
        <f t="shared" si="35"/>
        <v>720</v>
      </c>
      <c r="CQ17" s="390">
        <f t="shared" si="36"/>
        <v>-23691</v>
      </c>
      <c r="CR17" s="378">
        <f t="shared" si="37"/>
        <v>-1975</v>
      </c>
      <c r="CS17" s="391" t="str">
        <f t="shared" si="38"/>
        <v>Nam dưới 35</v>
      </c>
      <c r="CT17" s="381"/>
      <c r="CU17" s="378"/>
      <c r="CV17" s="392" t="str">
        <f t="shared" si="39"/>
        <v>Đến 30</v>
      </c>
      <c r="CW17" s="382" t="str">
        <f t="shared" si="40"/>
        <v>--</v>
      </c>
      <c r="CX17" s="180"/>
      <c r="CY17" s="141"/>
      <c r="CZ17" s="352"/>
      <c r="DA17" s="353"/>
      <c r="DB17" s="144"/>
      <c r="DC17" s="144"/>
      <c r="DG17" s="138" t="s">
        <v>127</v>
      </c>
      <c r="DH17" s="138" t="s">
        <v>9</v>
      </c>
      <c r="DI17" s="138" t="s">
        <v>10</v>
      </c>
      <c r="DJ17" s="138" t="s">
        <v>109</v>
      </c>
      <c r="DK17" s="138" t="s">
        <v>10</v>
      </c>
      <c r="DL17" s="138">
        <v>2013</v>
      </c>
      <c r="DM17" s="138">
        <f t="shared" si="41"/>
        <v>0</v>
      </c>
      <c r="DN17" s="138" t="str">
        <f t="shared" si="42"/>
        <v>- - -</v>
      </c>
      <c r="DO17" s="138" t="s">
        <v>9</v>
      </c>
      <c r="DP17" s="138" t="s">
        <v>10</v>
      </c>
      <c r="DQ17" s="138" t="s">
        <v>109</v>
      </c>
      <c r="DR17" s="138" t="s">
        <v>10</v>
      </c>
      <c r="DS17" s="138">
        <v>2013</v>
      </c>
      <c r="DU17" s="138" t="str">
        <f t="shared" si="43"/>
        <v>- - -</v>
      </c>
      <c r="DV17" s="138" t="str">
        <f t="shared" si="44"/>
        <v>---</v>
      </c>
    </row>
    <row r="18" spans="1:126" s="138" customFormat="1" ht="29.25" customHeight="1" x14ac:dyDescent="0.25">
      <c r="A18" s="152">
        <v>152</v>
      </c>
      <c r="B18" s="142">
        <v>3</v>
      </c>
      <c r="C18" s="142" t="str">
        <f t="shared" si="0"/>
        <v>Bà</v>
      </c>
      <c r="D18" s="153" t="s">
        <v>129</v>
      </c>
      <c r="E18" s="142" t="s">
        <v>32</v>
      </c>
      <c r="F18" s="154" t="s">
        <v>125</v>
      </c>
      <c r="G18" s="155" t="s">
        <v>10</v>
      </c>
      <c r="H18" s="155" t="s">
        <v>91</v>
      </c>
      <c r="I18" s="155" t="s">
        <v>10</v>
      </c>
      <c r="J18" s="156">
        <v>1983</v>
      </c>
      <c r="K18" s="316"/>
      <c r="L18" s="316"/>
      <c r="M18" s="316" t="e">
        <f>VLOOKUP(L18,'[1]- DLiêu Gốc -'!$B$2:$G$121,2,0)</f>
        <v>#N/A</v>
      </c>
      <c r="N18" s="317" t="s">
        <v>29</v>
      </c>
      <c r="O18" s="297" t="s">
        <v>99</v>
      </c>
      <c r="P18" s="157" t="str">
        <f>VLOOKUP(U18,'[1]- DLiêu Gốc -'!$B$2:$G$56,5,0)</f>
        <v>A1</v>
      </c>
      <c r="Q18" s="157" t="str">
        <f>VLOOKUP(U18,'[1]- DLiêu Gốc -'!$B$2:$G$56,6,0)</f>
        <v>- - -</v>
      </c>
      <c r="R18" s="158" t="s">
        <v>34</v>
      </c>
      <c r="S18" s="298" t="str">
        <f t="shared" si="1"/>
        <v>Giảng viên (hạng III)</v>
      </c>
      <c r="T18" s="159" t="str">
        <f t="shared" si="2"/>
        <v>V.07.01.03</v>
      </c>
      <c r="U18" s="160" t="s">
        <v>35</v>
      </c>
      <c r="V18" s="159" t="str">
        <f>VLOOKUP(U18,'[1]- DLiêu Gốc -'!$B$1:$G$121,2,0)</f>
        <v>V.07.01.03</v>
      </c>
      <c r="W18" s="161" t="str">
        <f t="shared" si="3"/>
        <v>Lương</v>
      </c>
      <c r="X18" s="162">
        <v>3</v>
      </c>
      <c r="Y18" s="163" t="str">
        <f t="shared" si="4"/>
        <v>/</v>
      </c>
      <c r="Z18" s="164">
        <f t="shared" si="5"/>
        <v>9</v>
      </c>
      <c r="AA18" s="165">
        <f t="shared" si="6"/>
        <v>3</v>
      </c>
      <c r="AB18" s="166">
        <f t="shared" si="7"/>
        <v>4</v>
      </c>
      <c r="AC18" s="316" t="str">
        <f t="shared" si="8"/>
        <v>/</v>
      </c>
      <c r="AD18" s="164">
        <f t="shared" si="9"/>
        <v>9</v>
      </c>
      <c r="AE18" s="318">
        <f t="shared" si="10"/>
        <v>3.33</v>
      </c>
      <c r="AF18" s="167" t="s">
        <v>9</v>
      </c>
      <c r="AG18" s="168" t="s">
        <v>10</v>
      </c>
      <c r="AH18" s="169" t="s">
        <v>109</v>
      </c>
      <c r="AI18" s="170" t="s">
        <v>10</v>
      </c>
      <c r="AJ18" s="171">
        <v>2016</v>
      </c>
      <c r="AK18" s="172"/>
      <c r="AL18" s="173">
        <v>4</v>
      </c>
      <c r="AM18" s="145">
        <f t="shared" si="11"/>
        <v>3</v>
      </c>
      <c r="AN18" s="145">
        <f t="shared" si="12"/>
        <v>-24196</v>
      </c>
      <c r="AO18" s="139"/>
      <c r="AP18" s="174"/>
      <c r="AQ18" s="147">
        <f>VLOOKUP(U18,'[1]- DLiêu Gốc -'!$B$1:$E$56,3,0)</f>
        <v>2.34</v>
      </c>
      <c r="AR18" s="141">
        <f>VLOOKUP(U18,'[1]- DLiêu Gốc -'!$B$1:$E$56,4,0)</f>
        <v>0.33</v>
      </c>
      <c r="AS18" s="175"/>
      <c r="AT18" s="176" t="str">
        <f t="shared" si="13"/>
        <v>o-o-o</v>
      </c>
      <c r="AU18" s="177"/>
      <c r="AV18" s="177"/>
      <c r="AW18" s="141">
        <f t="shared" si="14"/>
        <v>0</v>
      </c>
      <c r="AX18" s="178"/>
      <c r="AY18" s="319"/>
      <c r="AZ18" s="144"/>
      <c r="BA18" s="144"/>
      <c r="BB18" s="144"/>
      <c r="BC18" s="144"/>
      <c r="BD18" s="144"/>
      <c r="BE18" s="144"/>
      <c r="BF18" s="146" t="str">
        <f t="shared" si="15"/>
        <v>- - -</v>
      </c>
      <c r="BG18" s="179" t="str">
        <f t="shared" si="16"/>
        <v>- - -</v>
      </c>
      <c r="BH18" s="351" t="str">
        <f t="shared" si="17"/>
        <v>NLĐ</v>
      </c>
      <c r="BI18" s="381"/>
      <c r="BJ18" s="380"/>
      <c r="BK18" s="376" t="s">
        <v>43</v>
      </c>
      <c r="BL18" s="383" t="str">
        <f t="shared" si="18"/>
        <v>A</v>
      </c>
      <c r="BM18" s="376" t="str">
        <f t="shared" si="19"/>
        <v>=&gt; s</v>
      </c>
      <c r="BN18" s="384">
        <f t="shared" si="20"/>
        <v>24220</v>
      </c>
      <c r="BO18" s="385" t="str">
        <f t="shared" si="21"/>
        <v>---</v>
      </c>
      <c r="BP18" s="377"/>
      <c r="BQ18" s="386"/>
      <c r="BR18" s="386"/>
      <c r="BS18" s="386"/>
      <c r="BT18" s="377" t="str">
        <f t="shared" si="22"/>
        <v>- - -</v>
      </c>
      <c r="BU18" s="385" t="str">
        <f t="shared" si="23"/>
        <v>- - -</v>
      </c>
      <c r="BV18" s="376"/>
      <c r="BW18" s="376"/>
      <c r="BX18" s="387"/>
      <c r="BY18" s="387"/>
      <c r="BZ18" s="387" t="str">
        <f t="shared" si="24"/>
        <v>- - -</v>
      </c>
      <c r="CA18" s="387"/>
      <c r="CB18" s="387"/>
      <c r="CC18" s="387"/>
      <c r="CD18" s="387"/>
      <c r="CE18" s="387" t="str">
        <f t="shared" si="25"/>
        <v>---</v>
      </c>
      <c r="CF18" s="387" t="str">
        <f t="shared" si="26"/>
        <v>/-/ /-/</v>
      </c>
      <c r="CG18" s="387">
        <f t="shared" si="27"/>
        <v>10</v>
      </c>
      <c r="CH18" s="387">
        <f t="shared" si="28"/>
        <v>2038</v>
      </c>
      <c r="CI18" s="387">
        <f t="shared" si="29"/>
        <v>7</v>
      </c>
      <c r="CJ18" s="387">
        <f t="shared" si="30"/>
        <v>2038</v>
      </c>
      <c r="CK18" s="387">
        <f t="shared" si="31"/>
        <v>4</v>
      </c>
      <c r="CL18" s="387">
        <f t="shared" si="32"/>
        <v>2038</v>
      </c>
      <c r="CM18" s="387" t="str">
        <f t="shared" si="33"/>
        <v>- - -</v>
      </c>
      <c r="CN18" s="388" t="str">
        <f t="shared" si="34"/>
        <v>. .</v>
      </c>
      <c r="CO18" s="377"/>
      <c r="CP18" s="389">
        <f t="shared" si="35"/>
        <v>660</v>
      </c>
      <c r="CQ18" s="390">
        <f t="shared" si="36"/>
        <v>-23793</v>
      </c>
      <c r="CR18" s="378">
        <f t="shared" si="37"/>
        <v>-1983</v>
      </c>
      <c r="CS18" s="391" t="str">
        <f t="shared" si="38"/>
        <v>Nữ dưới 30</v>
      </c>
      <c r="CT18" s="381"/>
      <c r="CU18" s="378"/>
      <c r="CV18" s="392" t="str">
        <f t="shared" si="39"/>
        <v>Đến 30</v>
      </c>
      <c r="CW18" s="382" t="str">
        <f t="shared" si="40"/>
        <v>--</v>
      </c>
      <c r="CX18" s="180"/>
      <c r="CY18" s="141"/>
      <c r="CZ18" s="352"/>
      <c r="DA18" s="353"/>
      <c r="DB18" s="144"/>
      <c r="DC18" s="144"/>
      <c r="DE18" s="138" t="s">
        <v>120</v>
      </c>
      <c r="DF18" s="138" t="s">
        <v>130</v>
      </c>
      <c r="DG18" s="138" t="s">
        <v>29</v>
      </c>
      <c r="DH18" s="138" t="s">
        <v>9</v>
      </c>
      <c r="DI18" s="138" t="s">
        <v>10</v>
      </c>
      <c r="DJ18" s="138" t="s">
        <v>109</v>
      </c>
      <c r="DK18" s="138" t="s">
        <v>10</v>
      </c>
      <c r="DL18" s="138">
        <v>2013</v>
      </c>
      <c r="DM18" s="138">
        <f t="shared" si="41"/>
        <v>0</v>
      </c>
      <c r="DN18" s="138" t="str">
        <f t="shared" si="42"/>
        <v>- - -</v>
      </c>
      <c r="DO18" s="138" t="s">
        <v>9</v>
      </c>
      <c r="DP18" s="138" t="s">
        <v>10</v>
      </c>
      <c r="DQ18" s="138" t="s">
        <v>109</v>
      </c>
      <c r="DR18" s="138" t="s">
        <v>10</v>
      </c>
      <c r="DS18" s="138">
        <v>2013</v>
      </c>
      <c r="DU18" s="138" t="str">
        <f t="shared" si="43"/>
        <v>- - -</v>
      </c>
      <c r="DV18" s="138" t="str">
        <f t="shared" si="44"/>
        <v>---</v>
      </c>
    </row>
    <row r="19" spans="1:126" s="138" customFormat="1" ht="47.25" customHeight="1" x14ac:dyDescent="0.25">
      <c r="A19" s="152">
        <v>211</v>
      </c>
      <c r="B19" s="142">
        <v>4</v>
      </c>
      <c r="C19" s="142" t="str">
        <f t="shared" si="0"/>
        <v>Bà</v>
      </c>
      <c r="D19" s="153" t="s">
        <v>131</v>
      </c>
      <c r="E19" s="142" t="s">
        <v>32</v>
      </c>
      <c r="F19" s="154" t="s">
        <v>115</v>
      </c>
      <c r="G19" s="155" t="s">
        <v>10</v>
      </c>
      <c r="H19" s="155" t="s">
        <v>42</v>
      </c>
      <c r="I19" s="155" t="s">
        <v>10</v>
      </c>
      <c r="J19" s="156" t="s">
        <v>132</v>
      </c>
      <c r="K19" s="316"/>
      <c r="L19" s="316"/>
      <c r="M19" s="316" t="e">
        <f>VLOOKUP(L19,'[1]- DLiêu Gốc -'!$B$2:$G$121,2,0)</f>
        <v>#N/A</v>
      </c>
      <c r="N19" s="317" t="s">
        <v>133</v>
      </c>
      <c r="O19" s="297" t="s">
        <v>134</v>
      </c>
      <c r="P19" s="157" t="str">
        <f>VLOOKUP(U19,'[1]- DLiêu Gốc -'!$B$2:$G$56,5,0)</f>
        <v>A1</v>
      </c>
      <c r="Q19" s="157" t="str">
        <f>VLOOKUP(U19,'[1]- DLiêu Gốc -'!$B$2:$G$56,6,0)</f>
        <v>- - -</v>
      </c>
      <c r="R19" s="158" t="s">
        <v>41</v>
      </c>
      <c r="S19" s="298" t="str">
        <f t="shared" si="1"/>
        <v>Giáo viên trung học cơ sở chính</v>
      </c>
      <c r="T19" s="159" t="str">
        <f t="shared" si="2"/>
        <v>15a.201</v>
      </c>
      <c r="U19" s="160" t="s">
        <v>135</v>
      </c>
      <c r="V19" s="159" t="str">
        <f>VLOOKUP(U19,'[1]- DLiêu Gốc -'!$B$1:$G$121,2,0)</f>
        <v>15a.201</v>
      </c>
      <c r="W19" s="161" t="str">
        <f t="shared" si="3"/>
        <v>Lương</v>
      </c>
      <c r="X19" s="162">
        <v>2</v>
      </c>
      <c r="Y19" s="163" t="str">
        <f t="shared" si="4"/>
        <v>/</v>
      </c>
      <c r="Z19" s="164">
        <f t="shared" si="5"/>
        <v>9</v>
      </c>
      <c r="AA19" s="165">
        <f t="shared" si="6"/>
        <v>2.67</v>
      </c>
      <c r="AB19" s="166">
        <f t="shared" si="7"/>
        <v>3</v>
      </c>
      <c r="AC19" s="316" t="str">
        <f t="shared" si="8"/>
        <v>/</v>
      </c>
      <c r="AD19" s="164">
        <f t="shared" si="9"/>
        <v>9</v>
      </c>
      <c r="AE19" s="318">
        <f t="shared" si="10"/>
        <v>3</v>
      </c>
      <c r="AF19" s="167" t="s">
        <v>9</v>
      </c>
      <c r="AG19" s="168" t="s">
        <v>10</v>
      </c>
      <c r="AH19" s="169" t="s">
        <v>109</v>
      </c>
      <c r="AI19" s="170" t="s">
        <v>10</v>
      </c>
      <c r="AJ19" s="171">
        <v>2016</v>
      </c>
      <c r="AK19" s="172"/>
      <c r="AL19" s="173">
        <v>4</v>
      </c>
      <c r="AM19" s="145">
        <f t="shared" si="11"/>
        <v>3</v>
      </c>
      <c r="AN19" s="145">
        <f t="shared" si="12"/>
        <v>-24196</v>
      </c>
      <c r="AO19" s="139"/>
      <c r="AP19" s="174"/>
      <c r="AQ19" s="147">
        <f>VLOOKUP(U19,'[1]- DLiêu Gốc -'!$B$1:$E$56,3,0)</f>
        <v>2.34</v>
      </c>
      <c r="AR19" s="141">
        <f>VLOOKUP(U19,'[1]- DLiêu Gốc -'!$B$1:$E$56,4,0)</f>
        <v>0.33</v>
      </c>
      <c r="AS19" s="175"/>
      <c r="AT19" s="176" t="str">
        <f t="shared" si="13"/>
        <v>o-o-o</v>
      </c>
      <c r="AU19" s="177"/>
      <c r="AV19" s="177"/>
      <c r="AW19" s="141">
        <f t="shared" si="14"/>
        <v>0</v>
      </c>
      <c r="AX19" s="178"/>
      <c r="AY19" s="319"/>
      <c r="AZ19" s="144"/>
      <c r="BA19" s="144"/>
      <c r="BB19" s="144"/>
      <c r="BC19" s="144"/>
      <c r="BD19" s="144"/>
      <c r="BE19" s="144"/>
      <c r="BF19" s="146" t="str">
        <f t="shared" si="15"/>
        <v>- - -</v>
      </c>
      <c r="BG19" s="179" t="str">
        <f t="shared" si="16"/>
        <v>- - -</v>
      </c>
      <c r="BH19" s="351" t="str">
        <f t="shared" si="17"/>
        <v>VC</v>
      </c>
      <c r="BI19" s="381"/>
      <c r="BJ19" s="380"/>
      <c r="BK19" s="376" t="s">
        <v>93</v>
      </c>
      <c r="BL19" s="383" t="str">
        <f t="shared" si="18"/>
        <v>A</v>
      </c>
      <c r="BM19" s="376" t="str">
        <f t="shared" si="19"/>
        <v>=&gt; s</v>
      </c>
      <c r="BN19" s="384">
        <f t="shared" si="20"/>
        <v>24220</v>
      </c>
      <c r="BO19" s="385" t="str">
        <f t="shared" si="21"/>
        <v>---</v>
      </c>
      <c r="BP19" s="377"/>
      <c r="BQ19" s="386"/>
      <c r="BR19" s="386"/>
      <c r="BS19" s="386"/>
      <c r="BT19" s="377" t="str">
        <f t="shared" si="22"/>
        <v>- - -</v>
      </c>
      <c r="BU19" s="385" t="str">
        <f t="shared" si="23"/>
        <v>- - -</v>
      </c>
      <c r="BV19" s="376"/>
      <c r="BW19" s="376"/>
      <c r="BX19" s="387"/>
      <c r="BY19" s="387"/>
      <c r="BZ19" s="387" t="str">
        <f t="shared" si="24"/>
        <v>- - -</v>
      </c>
      <c r="CA19" s="387"/>
      <c r="CB19" s="387"/>
      <c r="CC19" s="387"/>
      <c r="CD19" s="387"/>
      <c r="CE19" s="387" t="str">
        <f t="shared" si="25"/>
        <v>---</v>
      </c>
      <c r="CF19" s="387" t="str">
        <f t="shared" si="26"/>
        <v>/-/ /-/</v>
      </c>
      <c r="CG19" s="387">
        <f t="shared" si="27"/>
        <v>1</v>
      </c>
      <c r="CH19" s="387">
        <f t="shared" si="28"/>
        <v>2043</v>
      </c>
      <c r="CI19" s="387">
        <f t="shared" si="29"/>
        <v>10</v>
      </c>
      <c r="CJ19" s="387">
        <f t="shared" si="30"/>
        <v>2042</v>
      </c>
      <c r="CK19" s="387">
        <f t="shared" si="31"/>
        <v>7</v>
      </c>
      <c r="CL19" s="387">
        <f t="shared" si="32"/>
        <v>2042</v>
      </c>
      <c r="CM19" s="387" t="str">
        <f t="shared" si="33"/>
        <v>- - -</v>
      </c>
      <c r="CN19" s="388" t="str">
        <f t="shared" si="34"/>
        <v>. .</v>
      </c>
      <c r="CO19" s="377"/>
      <c r="CP19" s="389">
        <f t="shared" si="35"/>
        <v>660</v>
      </c>
      <c r="CQ19" s="390">
        <f t="shared" si="36"/>
        <v>-23844</v>
      </c>
      <c r="CR19" s="378">
        <f t="shared" si="37"/>
        <v>-1987</v>
      </c>
      <c r="CS19" s="391" t="str">
        <f t="shared" si="38"/>
        <v>Nữ dưới 30</v>
      </c>
      <c r="CT19" s="381"/>
      <c r="CU19" s="378"/>
      <c r="CV19" s="392" t="str">
        <f t="shared" si="39"/>
        <v>Đến 30</v>
      </c>
      <c r="CW19" s="382" t="str">
        <f t="shared" si="40"/>
        <v>--</v>
      </c>
      <c r="CX19" s="180"/>
      <c r="CY19" s="141"/>
      <c r="CZ19" s="352"/>
      <c r="DA19" s="353"/>
      <c r="DB19" s="144"/>
      <c r="DC19" s="144"/>
      <c r="DG19" s="138" t="s">
        <v>133</v>
      </c>
      <c r="DH19" s="138" t="s">
        <v>9</v>
      </c>
      <c r="DI19" s="138" t="s">
        <v>10</v>
      </c>
      <c r="DJ19" s="138" t="s">
        <v>109</v>
      </c>
      <c r="DK19" s="138" t="s">
        <v>10</v>
      </c>
      <c r="DL19" s="138">
        <v>2013</v>
      </c>
      <c r="DM19" s="138">
        <f t="shared" si="41"/>
        <v>0</v>
      </c>
      <c r="DN19" s="138" t="str">
        <f t="shared" si="42"/>
        <v>- - -</v>
      </c>
      <c r="DO19" s="138" t="s">
        <v>9</v>
      </c>
      <c r="DP19" s="138" t="s">
        <v>10</v>
      </c>
      <c r="DQ19" s="138" t="s">
        <v>109</v>
      </c>
      <c r="DR19" s="138" t="s">
        <v>10</v>
      </c>
      <c r="DS19" s="138">
        <v>2013</v>
      </c>
      <c r="DU19" s="138" t="str">
        <f t="shared" si="43"/>
        <v>- - -</v>
      </c>
      <c r="DV19" s="138" t="str">
        <f t="shared" si="44"/>
        <v>---</v>
      </c>
    </row>
    <row r="20" spans="1:126" s="138" customFormat="1" ht="30" customHeight="1" x14ac:dyDescent="0.25">
      <c r="A20" s="152">
        <v>256</v>
      </c>
      <c r="B20" s="142">
        <v>5</v>
      </c>
      <c r="C20" s="142" t="str">
        <f t="shared" si="0"/>
        <v>Bà</v>
      </c>
      <c r="D20" s="153" t="s">
        <v>136</v>
      </c>
      <c r="E20" s="142" t="s">
        <v>32</v>
      </c>
      <c r="F20" s="154" t="s">
        <v>137</v>
      </c>
      <c r="G20" s="155" t="s">
        <v>10</v>
      </c>
      <c r="H20" s="155" t="s">
        <v>95</v>
      </c>
      <c r="I20" s="155" t="s">
        <v>10</v>
      </c>
      <c r="J20" s="156" t="s">
        <v>138</v>
      </c>
      <c r="K20" s="316" t="e">
        <f>IF(AND((M20+0)&gt;0.3,(M20+0)&lt;1.5),"CVụ","- -")</f>
        <v>#VALUE!</v>
      </c>
      <c r="L20" s="316" t="s">
        <v>98</v>
      </c>
      <c r="M20" s="316" t="str">
        <f>VLOOKUP(L20,'[1]- DLiêu Gốc -'!$B$2:$G$121,2,0)</f>
        <v>0,6</v>
      </c>
      <c r="N20" s="317" t="s">
        <v>119</v>
      </c>
      <c r="O20" s="297" t="s">
        <v>101</v>
      </c>
      <c r="P20" s="157" t="str">
        <f>VLOOKUP(U20,'[1]- DLiêu Gốc -'!$B$2:$G$56,5,0)</f>
        <v>A2</v>
      </c>
      <c r="Q20" s="157" t="str">
        <f>VLOOKUP(U20,'[1]- DLiêu Gốc -'!$B$2:$G$56,6,0)</f>
        <v>A2.1</v>
      </c>
      <c r="R20" s="158" t="s">
        <v>34</v>
      </c>
      <c r="S20" s="298" t="str">
        <f t="shared" si="1"/>
        <v>Giảng viên chính (hạng II)</v>
      </c>
      <c r="T20" s="159" t="str">
        <f t="shared" si="2"/>
        <v>V.07.01.02</v>
      </c>
      <c r="U20" s="160" t="s">
        <v>45</v>
      </c>
      <c r="V20" s="159" t="str">
        <f>VLOOKUP(U20,'[1]- DLiêu Gốc -'!$B$1:$G$121,2,0)</f>
        <v>V.07.01.02</v>
      </c>
      <c r="W20" s="161" t="str">
        <f t="shared" si="3"/>
        <v>Lương</v>
      </c>
      <c r="X20" s="162">
        <v>2</v>
      </c>
      <c r="Y20" s="163" t="str">
        <f t="shared" si="4"/>
        <v>/</v>
      </c>
      <c r="Z20" s="164">
        <f t="shared" si="5"/>
        <v>8</v>
      </c>
      <c r="AA20" s="165">
        <f t="shared" si="6"/>
        <v>4.74</v>
      </c>
      <c r="AB20" s="166">
        <f t="shared" si="7"/>
        <v>3</v>
      </c>
      <c r="AC20" s="316" t="str">
        <f t="shared" si="8"/>
        <v>/</v>
      </c>
      <c r="AD20" s="164">
        <f t="shared" si="9"/>
        <v>8</v>
      </c>
      <c r="AE20" s="318">
        <f t="shared" si="10"/>
        <v>5.08</v>
      </c>
      <c r="AF20" s="167" t="s">
        <v>9</v>
      </c>
      <c r="AG20" s="168" t="s">
        <v>10</v>
      </c>
      <c r="AH20" s="169">
        <v>4</v>
      </c>
      <c r="AI20" s="170" t="s">
        <v>10</v>
      </c>
      <c r="AJ20" s="171">
        <v>2016</v>
      </c>
      <c r="AK20" s="172"/>
      <c r="AL20" s="173">
        <v>4</v>
      </c>
      <c r="AM20" s="145">
        <f t="shared" si="11"/>
        <v>3</v>
      </c>
      <c r="AN20" s="145">
        <f t="shared" si="12"/>
        <v>-24196</v>
      </c>
      <c r="AO20" s="139"/>
      <c r="AP20" s="174"/>
      <c r="AQ20" s="147">
        <f>VLOOKUP(U20,'[1]- DLiêu Gốc -'!$B$1:$E$56,3,0)</f>
        <v>4.4000000000000004</v>
      </c>
      <c r="AR20" s="141">
        <f>VLOOKUP(U20,'[1]- DLiêu Gốc -'!$B$1:$E$56,4,0)</f>
        <v>0.34</v>
      </c>
      <c r="AS20" s="175"/>
      <c r="AT20" s="176" t="str">
        <f t="shared" si="13"/>
        <v>PCTN</v>
      </c>
      <c r="AU20" s="177">
        <v>16</v>
      </c>
      <c r="AV20" s="177" t="s">
        <v>38</v>
      </c>
      <c r="AW20" s="141">
        <f t="shared" si="14"/>
        <v>17</v>
      </c>
      <c r="AX20" s="178" t="s">
        <v>38</v>
      </c>
      <c r="AY20" s="319">
        <v>12</v>
      </c>
      <c r="AZ20" s="144" t="s">
        <v>10</v>
      </c>
      <c r="BA20" s="144">
        <v>2015</v>
      </c>
      <c r="BB20" s="144"/>
      <c r="BC20" s="144"/>
      <c r="BD20" s="144"/>
      <c r="BE20" s="144">
        <v>12</v>
      </c>
      <c r="BF20" s="146">
        <f t="shared" si="15"/>
        <v>-24192</v>
      </c>
      <c r="BG20" s="179" t="str">
        <f t="shared" si="16"/>
        <v>- - -</v>
      </c>
      <c r="BH20" s="351" t="str">
        <f t="shared" si="17"/>
        <v>VC</v>
      </c>
      <c r="BI20" s="381"/>
      <c r="BJ20" s="380"/>
      <c r="BK20" s="376" t="s">
        <v>93</v>
      </c>
      <c r="BL20" s="383" t="str">
        <f t="shared" si="18"/>
        <v>A</v>
      </c>
      <c r="BM20" s="376" t="str">
        <f t="shared" si="19"/>
        <v>=&gt; s</v>
      </c>
      <c r="BN20" s="384">
        <f t="shared" si="20"/>
        <v>24220</v>
      </c>
      <c r="BO20" s="385" t="str">
        <f t="shared" si="21"/>
        <v>S</v>
      </c>
      <c r="BP20" s="377">
        <v>2013</v>
      </c>
      <c r="BQ20" s="386" t="s">
        <v>97</v>
      </c>
      <c r="BR20" s="386"/>
      <c r="BS20" s="386"/>
      <c r="BT20" s="377" t="str">
        <f t="shared" si="22"/>
        <v>Cùg Ng</v>
      </c>
      <c r="BU20" s="385" t="str">
        <f t="shared" si="23"/>
        <v>NN</v>
      </c>
      <c r="BV20" s="376">
        <v>1</v>
      </c>
      <c r="BW20" s="376" t="s">
        <v>31</v>
      </c>
      <c r="BX20" s="387"/>
      <c r="BY20" s="387"/>
      <c r="BZ20" s="387" t="str">
        <f t="shared" si="24"/>
        <v>- - -</v>
      </c>
      <c r="CA20" s="387"/>
      <c r="CB20" s="387"/>
      <c r="CC20" s="387"/>
      <c r="CD20" s="387"/>
      <c r="CE20" s="387" t="str">
        <f t="shared" si="25"/>
        <v>---</v>
      </c>
      <c r="CF20" s="387" t="str">
        <f t="shared" si="26"/>
        <v>/-/ /-/</v>
      </c>
      <c r="CG20" s="387">
        <f t="shared" si="27"/>
        <v>6</v>
      </c>
      <c r="CH20" s="387">
        <f t="shared" si="28"/>
        <v>2027</v>
      </c>
      <c r="CI20" s="387">
        <f t="shared" si="29"/>
        <v>3</v>
      </c>
      <c r="CJ20" s="387">
        <f t="shared" si="30"/>
        <v>2027</v>
      </c>
      <c r="CK20" s="387">
        <f t="shared" si="31"/>
        <v>12</v>
      </c>
      <c r="CL20" s="387">
        <f t="shared" si="32"/>
        <v>2026</v>
      </c>
      <c r="CM20" s="387" t="str">
        <f t="shared" si="33"/>
        <v>- - -</v>
      </c>
      <c r="CN20" s="388" t="str">
        <f t="shared" si="34"/>
        <v>. .</v>
      </c>
      <c r="CO20" s="377"/>
      <c r="CP20" s="389">
        <f t="shared" si="35"/>
        <v>660</v>
      </c>
      <c r="CQ20" s="390">
        <f t="shared" si="36"/>
        <v>-23657</v>
      </c>
      <c r="CR20" s="378">
        <f t="shared" si="37"/>
        <v>-1972</v>
      </c>
      <c r="CS20" s="391" t="str">
        <f t="shared" si="38"/>
        <v>Nữ dưới 30</v>
      </c>
      <c r="CT20" s="381"/>
      <c r="CU20" s="378"/>
      <c r="CV20" s="392" t="str">
        <f t="shared" si="39"/>
        <v>Đến 30</v>
      </c>
      <c r="CW20" s="382" t="str">
        <f t="shared" si="40"/>
        <v>--</v>
      </c>
      <c r="CX20" s="180"/>
      <c r="CY20" s="141"/>
      <c r="CZ20" s="352"/>
      <c r="DA20" s="353"/>
      <c r="DB20" s="144"/>
      <c r="DC20" s="144"/>
      <c r="DG20" s="138" t="s">
        <v>119</v>
      </c>
      <c r="DH20" s="138" t="s">
        <v>9</v>
      </c>
      <c r="DI20" s="138" t="s">
        <v>10</v>
      </c>
      <c r="DJ20" s="138">
        <v>4</v>
      </c>
      <c r="DK20" s="138" t="s">
        <v>10</v>
      </c>
      <c r="DL20" s="138">
        <v>2013</v>
      </c>
      <c r="DM20" s="138">
        <f t="shared" si="41"/>
        <v>0</v>
      </c>
      <c r="DN20" s="138" t="str">
        <f t="shared" si="42"/>
        <v>- - -</v>
      </c>
      <c r="DO20" s="138" t="s">
        <v>9</v>
      </c>
      <c r="DP20" s="138" t="s">
        <v>10</v>
      </c>
      <c r="DQ20" s="138">
        <v>4</v>
      </c>
      <c r="DR20" s="138" t="s">
        <v>10</v>
      </c>
      <c r="DS20" s="138">
        <v>2013</v>
      </c>
      <c r="DT20" s="138">
        <v>3.66</v>
      </c>
      <c r="DU20" s="138" t="str">
        <f t="shared" si="43"/>
        <v>- - -</v>
      </c>
      <c r="DV20" s="138" t="str">
        <f t="shared" si="44"/>
        <v>---</v>
      </c>
    </row>
    <row r="21" spans="1:126" s="138" customFormat="1" ht="30" customHeight="1" x14ac:dyDescent="0.25">
      <c r="A21" s="152">
        <v>274</v>
      </c>
      <c r="B21" s="142">
        <v>6</v>
      </c>
      <c r="C21" s="142" t="str">
        <f t="shared" si="0"/>
        <v>Bà</v>
      </c>
      <c r="D21" s="153" t="s">
        <v>139</v>
      </c>
      <c r="E21" s="142" t="s">
        <v>32</v>
      </c>
      <c r="F21" s="154" t="s">
        <v>140</v>
      </c>
      <c r="G21" s="155" t="s">
        <v>10</v>
      </c>
      <c r="H21" s="155" t="s">
        <v>91</v>
      </c>
      <c r="I21" s="155" t="s">
        <v>10</v>
      </c>
      <c r="J21" s="156" t="s">
        <v>114</v>
      </c>
      <c r="K21" s="316" t="e">
        <f>IF(AND((M21+0)&gt;0.3,(M21+0)&lt;1.5),"CVụ","- -")</f>
        <v>#VALUE!</v>
      </c>
      <c r="L21" s="316" t="s">
        <v>98</v>
      </c>
      <c r="M21" s="316" t="str">
        <f>VLOOKUP(L21,'[1]- DLiêu Gốc -'!$B$2:$G$121,2,0)</f>
        <v>0,6</v>
      </c>
      <c r="N21" s="317" t="s">
        <v>141</v>
      </c>
      <c r="O21" s="297" t="s">
        <v>142</v>
      </c>
      <c r="P21" s="157" t="str">
        <f>VLOOKUP(U21,'[1]- DLiêu Gốc -'!$B$2:$G$56,5,0)</f>
        <v>A2</v>
      </c>
      <c r="Q21" s="157" t="str">
        <f>VLOOKUP(U21,'[1]- DLiêu Gốc -'!$B$2:$G$56,6,0)</f>
        <v>A2.1</v>
      </c>
      <c r="R21" s="158" t="s">
        <v>34</v>
      </c>
      <c r="S21" s="298" t="str">
        <f t="shared" si="1"/>
        <v>Giảng viên chính (hạng II)</v>
      </c>
      <c r="T21" s="159" t="str">
        <f t="shared" si="2"/>
        <v>V.07.01.02</v>
      </c>
      <c r="U21" s="160" t="s">
        <v>45</v>
      </c>
      <c r="V21" s="159" t="str">
        <f>VLOOKUP(U21,'[1]- DLiêu Gốc -'!$B$1:$G$121,2,0)</f>
        <v>V.07.01.02</v>
      </c>
      <c r="W21" s="161" t="str">
        <f t="shared" si="3"/>
        <v>Lương</v>
      </c>
      <c r="X21" s="162">
        <v>2</v>
      </c>
      <c r="Y21" s="163" t="str">
        <f t="shared" si="4"/>
        <v>/</v>
      </c>
      <c r="Z21" s="164">
        <f t="shared" si="5"/>
        <v>8</v>
      </c>
      <c r="AA21" s="165">
        <f t="shared" si="6"/>
        <v>4.74</v>
      </c>
      <c r="AB21" s="166">
        <f t="shared" si="7"/>
        <v>3</v>
      </c>
      <c r="AC21" s="316" t="str">
        <f t="shared" si="8"/>
        <v>/</v>
      </c>
      <c r="AD21" s="164">
        <f t="shared" si="9"/>
        <v>8</v>
      </c>
      <c r="AE21" s="318">
        <f t="shared" si="10"/>
        <v>5.08</v>
      </c>
      <c r="AF21" s="167" t="s">
        <v>9</v>
      </c>
      <c r="AG21" s="168" t="s">
        <v>10</v>
      </c>
      <c r="AH21" s="169">
        <v>4</v>
      </c>
      <c r="AI21" s="170" t="s">
        <v>10</v>
      </c>
      <c r="AJ21" s="171">
        <v>2016</v>
      </c>
      <c r="AK21" s="172"/>
      <c r="AL21" s="173">
        <v>4</v>
      </c>
      <c r="AM21" s="145">
        <f t="shared" si="11"/>
        <v>3</v>
      </c>
      <c r="AN21" s="145">
        <f t="shared" si="12"/>
        <v>-24196</v>
      </c>
      <c r="AO21" s="139"/>
      <c r="AP21" s="174"/>
      <c r="AQ21" s="147">
        <f>VLOOKUP(U21,'[1]- DLiêu Gốc -'!$B$1:$E$56,3,0)</f>
        <v>4.4000000000000004</v>
      </c>
      <c r="AR21" s="141">
        <f>VLOOKUP(U21,'[1]- DLiêu Gốc -'!$B$1:$E$56,4,0)</f>
        <v>0.34</v>
      </c>
      <c r="AS21" s="175"/>
      <c r="AT21" s="176" t="str">
        <f t="shared" si="13"/>
        <v>PCTN</v>
      </c>
      <c r="AU21" s="177">
        <v>18</v>
      </c>
      <c r="AV21" s="177" t="s">
        <v>38</v>
      </c>
      <c r="AW21" s="141">
        <f t="shared" si="14"/>
        <v>19</v>
      </c>
      <c r="AX21" s="178" t="s">
        <v>38</v>
      </c>
      <c r="AY21" s="319" t="s">
        <v>37</v>
      </c>
      <c r="AZ21" s="144" t="s">
        <v>10</v>
      </c>
      <c r="BA21" s="144">
        <v>2016</v>
      </c>
      <c r="BB21" s="144"/>
      <c r="BC21" s="144"/>
      <c r="BD21" s="144"/>
      <c r="BE21" s="144">
        <v>2</v>
      </c>
      <c r="BF21" s="146">
        <f t="shared" si="15"/>
        <v>-24194</v>
      </c>
      <c r="BG21" s="179" t="str">
        <f t="shared" si="16"/>
        <v>- - -</v>
      </c>
      <c r="BH21" s="351" t="str">
        <f t="shared" si="17"/>
        <v>VC</v>
      </c>
      <c r="BI21" s="381"/>
      <c r="BJ21" s="380"/>
      <c r="BK21" s="376" t="s">
        <v>93</v>
      </c>
      <c r="BL21" s="383" t="str">
        <f t="shared" si="18"/>
        <v>A</v>
      </c>
      <c r="BM21" s="376" t="str">
        <f t="shared" si="19"/>
        <v>=&gt; s</v>
      </c>
      <c r="BN21" s="384">
        <f t="shared" si="20"/>
        <v>24220</v>
      </c>
      <c r="BO21" s="385" t="str">
        <f t="shared" si="21"/>
        <v>S</v>
      </c>
      <c r="BP21" s="377">
        <v>2013</v>
      </c>
      <c r="BQ21" s="386" t="s">
        <v>97</v>
      </c>
      <c r="BR21" s="386"/>
      <c r="BS21" s="386"/>
      <c r="BT21" s="377" t="str">
        <f t="shared" si="22"/>
        <v>Cùg Ng</v>
      </c>
      <c r="BU21" s="385" t="str">
        <f t="shared" si="23"/>
        <v>NN</v>
      </c>
      <c r="BV21" s="376">
        <v>1</v>
      </c>
      <c r="BW21" s="376" t="s">
        <v>31</v>
      </c>
      <c r="BX21" s="387"/>
      <c r="BY21" s="387"/>
      <c r="BZ21" s="387" t="str">
        <f t="shared" si="24"/>
        <v>- - -</v>
      </c>
      <c r="CA21" s="387"/>
      <c r="CB21" s="387"/>
      <c r="CC21" s="387"/>
      <c r="CD21" s="387"/>
      <c r="CE21" s="387" t="str">
        <f t="shared" si="25"/>
        <v>---</v>
      </c>
      <c r="CF21" s="387" t="str">
        <f t="shared" si="26"/>
        <v>/-/ /-/</v>
      </c>
      <c r="CG21" s="387">
        <f t="shared" si="27"/>
        <v>10</v>
      </c>
      <c r="CH21" s="387">
        <f t="shared" si="28"/>
        <v>2024</v>
      </c>
      <c r="CI21" s="387">
        <f t="shared" si="29"/>
        <v>7</v>
      </c>
      <c r="CJ21" s="387">
        <f t="shared" si="30"/>
        <v>2024</v>
      </c>
      <c r="CK21" s="387">
        <f t="shared" si="31"/>
        <v>4</v>
      </c>
      <c r="CL21" s="387">
        <f t="shared" si="32"/>
        <v>2024</v>
      </c>
      <c r="CM21" s="387" t="str">
        <f t="shared" si="33"/>
        <v>- - -</v>
      </c>
      <c r="CN21" s="388" t="str">
        <f t="shared" si="34"/>
        <v>. .</v>
      </c>
      <c r="CO21" s="377"/>
      <c r="CP21" s="389">
        <f t="shared" si="35"/>
        <v>660</v>
      </c>
      <c r="CQ21" s="390">
        <f t="shared" si="36"/>
        <v>-23625</v>
      </c>
      <c r="CR21" s="378">
        <f t="shared" si="37"/>
        <v>-1969</v>
      </c>
      <c r="CS21" s="391" t="str">
        <f t="shared" si="38"/>
        <v>Nữ dưới 30</v>
      </c>
      <c r="CT21" s="381"/>
      <c r="CU21" s="378"/>
      <c r="CV21" s="392" t="str">
        <f t="shared" si="39"/>
        <v>Đến 30</v>
      </c>
      <c r="CW21" s="382" t="str">
        <f t="shared" si="40"/>
        <v>--</v>
      </c>
      <c r="CX21" s="180"/>
      <c r="CY21" s="141"/>
      <c r="CZ21" s="352"/>
      <c r="DA21" s="353"/>
      <c r="DB21" s="144"/>
      <c r="DC21" s="144"/>
      <c r="DG21" s="138" t="s">
        <v>141</v>
      </c>
      <c r="DH21" s="138" t="s">
        <v>9</v>
      </c>
      <c r="DI21" s="138" t="s">
        <v>10</v>
      </c>
      <c r="DJ21" s="138">
        <v>4</v>
      </c>
      <c r="DK21" s="138" t="s">
        <v>10</v>
      </c>
      <c r="DL21" s="138">
        <v>2013</v>
      </c>
      <c r="DM21" s="138">
        <f t="shared" si="41"/>
        <v>0</v>
      </c>
      <c r="DN21" s="138" t="str">
        <f t="shared" si="42"/>
        <v>- - -</v>
      </c>
      <c r="DO21" s="138" t="s">
        <v>9</v>
      </c>
      <c r="DP21" s="138" t="s">
        <v>10</v>
      </c>
      <c r="DQ21" s="138">
        <v>4</v>
      </c>
      <c r="DR21" s="138" t="s">
        <v>10</v>
      </c>
      <c r="DS21" s="138">
        <v>2013</v>
      </c>
      <c r="DT21" s="138">
        <v>3.66</v>
      </c>
      <c r="DU21" s="138" t="str">
        <f t="shared" si="43"/>
        <v>- - -</v>
      </c>
      <c r="DV21" s="138" t="str">
        <f t="shared" si="44"/>
        <v>---</v>
      </c>
    </row>
    <row r="22" spans="1:126" s="138" customFormat="1" ht="30" customHeight="1" x14ac:dyDescent="0.25">
      <c r="A22" s="152">
        <v>345</v>
      </c>
      <c r="B22" s="142">
        <v>7</v>
      </c>
      <c r="C22" s="142" t="str">
        <f t="shared" si="0"/>
        <v>Bà</v>
      </c>
      <c r="D22" s="153" t="s">
        <v>143</v>
      </c>
      <c r="E22" s="142" t="s">
        <v>32</v>
      </c>
      <c r="F22" s="154" t="s">
        <v>140</v>
      </c>
      <c r="G22" s="155" t="s">
        <v>10</v>
      </c>
      <c r="H22" s="155" t="s">
        <v>40</v>
      </c>
      <c r="I22" s="155" t="s">
        <v>10</v>
      </c>
      <c r="J22" s="156">
        <v>1970</v>
      </c>
      <c r="K22" s="316" t="e">
        <f>IF(AND((M22+0)&gt;0.3,(M22+0)&lt;1.5),"CVụ","- -")</f>
        <v>#VALUE!</v>
      </c>
      <c r="L22" s="316" t="s">
        <v>98</v>
      </c>
      <c r="M22" s="316" t="str">
        <f>VLOOKUP(L22,'[1]- DLiêu Gốc -'!$B$2:$G$121,2,0)</f>
        <v>0,6</v>
      </c>
      <c r="N22" s="317" t="s">
        <v>116</v>
      </c>
      <c r="O22" s="297" t="s">
        <v>103</v>
      </c>
      <c r="P22" s="157" t="str">
        <f>VLOOKUP(U22,'[1]- DLiêu Gốc -'!$B$2:$G$56,5,0)</f>
        <v>A2</v>
      </c>
      <c r="Q22" s="157" t="str">
        <f>VLOOKUP(U22,'[1]- DLiêu Gốc -'!$B$2:$G$56,6,0)</f>
        <v>A2.1</v>
      </c>
      <c r="R22" s="158" t="s">
        <v>34</v>
      </c>
      <c r="S22" s="298" t="str">
        <f t="shared" si="1"/>
        <v>Giảng viên chính (hạng II)</v>
      </c>
      <c r="T22" s="159" t="str">
        <f t="shared" si="2"/>
        <v>V.07.01.02</v>
      </c>
      <c r="U22" s="160" t="s">
        <v>45</v>
      </c>
      <c r="V22" s="159" t="str">
        <f>VLOOKUP(U22,'[1]- DLiêu Gốc -'!$B$1:$G$121,2,0)</f>
        <v>V.07.01.02</v>
      </c>
      <c r="W22" s="161" t="str">
        <f t="shared" si="3"/>
        <v>Lương</v>
      </c>
      <c r="X22" s="162">
        <v>2</v>
      </c>
      <c r="Y22" s="163" t="str">
        <f t="shared" si="4"/>
        <v>/</v>
      </c>
      <c r="Z22" s="164">
        <f t="shared" si="5"/>
        <v>8</v>
      </c>
      <c r="AA22" s="165">
        <f t="shared" si="6"/>
        <v>4.74</v>
      </c>
      <c r="AB22" s="166">
        <f t="shared" si="7"/>
        <v>3</v>
      </c>
      <c r="AC22" s="316" t="str">
        <f t="shared" si="8"/>
        <v>/</v>
      </c>
      <c r="AD22" s="164">
        <f t="shared" si="9"/>
        <v>8</v>
      </c>
      <c r="AE22" s="318">
        <f t="shared" si="10"/>
        <v>5.08</v>
      </c>
      <c r="AF22" s="167" t="s">
        <v>9</v>
      </c>
      <c r="AG22" s="168" t="s">
        <v>10</v>
      </c>
      <c r="AH22" s="169">
        <v>4</v>
      </c>
      <c r="AI22" s="170" t="s">
        <v>10</v>
      </c>
      <c r="AJ22" s="171">
        <v>2016</v>
      </c>
      <c r="AK22" s="172"/>
      <c r="AL22" s="173">
        <v>4</v>
      </c>
      <c r="AM22" s="145">
        <f t="shared" si="11"/>
        <v>3</v>
      </c>
      <c r="AN22" s="145">
        <f t="shared" si="12"/>
        <v>-24196</v>
      </c>
      <c r="AO22" s="139"/>
      <c r="AP22" s="174"/>
      <c r="AQ22" s="147">
        <f>VLOOKUP(U22,'[1]- DLiêu Gốc -'!$B$1:$E$56,3,0)</f>
        <v>4.4000000000000004</v>
      </c>
      <c r="AR22" s="141">
        <f>VLOOKUP(U22,'[1]- DLiêu Gốc -'!$B$1:$E$56,4,0)</f>
        <v>0.34</v>
      </c>
      <c r="AS22" s="175"/>
      <c r="AT22" s="176" t="str">
        <f t="shared" si="13"/>
        <v>PCTN</v>
      </c>
      <c r="AU22" s="177">
        <v>17</v>
      </c>
      <c r="AV22" s="177" t="s">
        <v>38</v>
      </c>
      <c r="AW22" s="141">
        <f t="shared" si="14"/>
        <v>18</v>
      </c>
      <c r="AX22" s="178" t="s">
        <v>38</v>
      </c>
      <c r="AY22" s="319">
        <v>6</v>
      </c>
      <c r="AZ22" s="144" t="s">
        <v>10</v>
      </c>
      <c r="BA22" s="144">
        <v>2015</v>
      </c>
      <c r="BB22" s="144"/>
      <c r="BC22" s="144">
        <v>6</v>
      </c>
      <c r="BD22" s="144"/>
      <c r="BE22" s="144"/>
      <c r="BF22" s="146">
        <f t="shared" si="15"/>
        <v>-24192</v>
      </c>
      <c r="BG22" s="179" t="str">
        <f t="shared" si="16"/>
        <v>- - -</v>
      </c>
      <c r="BH22" s="351" t="str">
        <f t="shared" si="17"/>
        <v>VC</v>
      </c>
      <c r="BI22" s="381"/>
      <c r="BJ22" s="380"/>
      <c r="BK22" s="376" t="s">
        <v>93</v>
      </c>
      <c r="BL22" s="383" t="str">
        <f t="shared" si="18"/>
        <v>A</v>
      </c>
      <c r="BM22" s="376" t="str">
        <f t="shared" si="19"/>
        <v>=&gt; s</v>
      </c>
      <c r="BN22" s="384">
        <f t="shared" si="20"/>
        <v>24220</v>
      </c>
      <c r="BO22" s="385" t="str">
        <f t="shared" si="21"/>
        <v>S</v>
      </c>
      <c r="BP22" s="377">
        <v>2013</v>
      </c>
      <c r="BQ22" s="386" t="s">
        <v>97</v>
      </c>
      <c r="BR22" s="386"/>
      <c r="BS22" s="386"/>
      <c r="BT22" s="377" t="str">
        <f t="shared" si="22"/>
        <v>Cùg Ng</v>
      </c>
      <c r="BU22" s="385" t="str">
        <f t="shared" si="23"/>
        <v>NN</v>
      </c>
      <c r="BV22" s="376">
        <v>1</v>
      </c>
      <c r="BW22" s="376" t="s">
        <v>31</v>
      </c>
      <c r="BX22" s="387"/>
      <c r="BY22" s="387"/>
      <c r="BZ22" s="387" t="str">
        <f t="shared" si="24"/>
        <v>- - -</v>
      </c>
      <c r="CA22" s="387"/>
      <c r="CB22" s="387"/>
      <c r="CC22" s="387"/>
      <c r="CD22" s="387"/>
      <c r="CE22" s="387" t="str">
        <f t="shared" si="25"/>
        <v>---</v>
      </c>
      <c r="CF22" s="387" t="str">
        <f t="shared" si="26"/>
        <v>/-/ /-/</v>
      </c>
      <c r="CG22" s="387">
        <f t="shared" si="27"/>
        <v>12</v>
      </c>
      <c r="CH22" s="387">
        <f t="shared" si="28"/>
        <v>2025</v>
      </c>
      <c r="CI22" s="387">
        <f t="shared" si="29"/>
        <v>9</v>
      </c>
      <c r="CJ22" s="387">
        <f t="shared" si="30"/>
        <v>2025</v>
      </c>
      <c r="CK22" s="387">
        <f t="shared" si="31"/>
        <v>6</v>
      </c>
      <c r="CL22" s="387">
        <f t="shared" si="32"/>
        <v>2025</v>
      </c>
      <c r="CM22" s="387" t="str">
        <f t="shared" si="33"/>
        <v>- - -</v>
      </c>
      <c r="CN22" s="388" t="str">
        <f t="shared" si="34"/>
        <v>. .</v>
      </c>
      <c r="CO22" s="377"/>
      <c r="CP22" s="389">
        <f t="shared" si="35"/>
        <v>660</v>
      </c>
      <c r="CQ22" s="390">
        <f t="shared" si="36"/>
        <v>-23639</v>
      </c>
      <c r="CR22" s="378">
        <f t="shared" si="37"/>
        <v>-1970</v>
      </c>
      <c r="CS22" s="391" t="str">
        <f t="shared" si="38"/>
        <v>Nữ dưới 30</v>
      </c>
      <c r="CT22" s="381"/>
      <c r="CU22" s="378"/>
      <c r="CV22" s="392" t="str">
        <f t="shared" si="39"/>
        <v>Đến 30</v>
      </c>
      <c r="CW22" s="382" t="str">
        <f t="shared" si="40"/>
        <v>--</v>
      </c>
      <c r="CX22" s="180"/>
      <c r="CY22" s="141"/>
      <c r="CZ22" s="352"/>
      <c r="DA22" s="353"/>
      <c r="DB22" s="144"/>
      <c r="DC22" s="144"/>
      <c r="DG22" s="138" t="s">
        <v>116</v>
      </c>
      <c r="DH22" s="138" t="s">
        <v>9</v>
      </c>
      <c r="DI22" s="138" t="s">
        <v>10</v>
      </c>
      <c r="DJ22" s="138">
        <v>4</v>
      </c>
      <c r="DK22" s="138" t="s">
        <v>10</v>
      </c>
      <c r="DL22" s="138">
        <v>2013</v>
      </c>
      <c r="DM22" s="138">
        <f t="shared" si="41"/>
        <v>0</v>
      </c>
      <c r="DN22" s="138" t="str">
        <f t="shared" si="42"/>
        <v>- - -</v>
      </c>
      <c r="DO22" s="138" t="s">
        <v>9</v>
      </c>
      <c r="DP22" s="138" t="s">
        <v>10</v>
      </c>
      <c r="DQ22" s="138">
        <v>4</v>
      </c>
      <c r="DR22" s="138" t="s">
        <v>10</v>
      </c>
      <c r="DS22" s="138">
        <v>2013</v>
      </c>
      <c r="DT22" s="138">
        <v>3.66</v>
      </c>
      <c r="DU22" s="138" t="str">
        <f t="shared" si="43"/>
        <v>- - -</v>
      </c>
      <c r="DV22" s="138" t="str">
        <f t="shared" si="44"/>
        <v>---</v>
      </c>
    </row>
    <row r="23" spans="1:126" s="138" customFormat="1" ht="34.5" customHeight="1" x14ac:dyDescent="0.25">
      <c r="A23" s="152">
        <v>424</v>
      </c>
      <c r="B23" s="142">
        <v>8</v>
      </c>
      <c r="C23" s="142" t="str">
        <f t="shared" si="0"/>
        <v>Bà</v>
      </c>
      <c r="D23" s="153" t="s">
        <v>144</v>
      </c>
      <c r="E23" s="142" t="s">
        <v>32</v>
      </c>
      <c r="F23" s="154" t="s">
        <v>115</v>
      </c>
      <c r="G23" s="155" t="s">
        <v>10</v>
      </c>
      <c r="H23" s="155" t="s">
        <v>46</v>
      </c>
      <c r="I23" s="155" t="s">
        <v>10</v>
      </c>
      <c r="J23" s="156">
        <v>1976</v>
      </c>
      <c r="K23" s="316"/>
      <c r="L23" s="316"/>
      <c r="M23" s="316" t="e">
        <f>VLOOKUP(L23,'[1]- DLiêu Gốc -'!$B$2:$G$121,2,0)</f>
        <v>#N/A</v>
      </c>
      <c r="N23" s="317" t="s">
        <v>145</v>
      </c>
      <c r="O23" s="297" t="s">
        <v>146</v>
      </c>
      <c r="P23" s="157" t="str">
        <f>VLOOKUP(U23,'[1]- DLiêu Gốc -'!$B$2:$G$56,5,0)</f>
        <v>A1</v>
      </c>
      <c r="Q23" s="157" t="str">
        <f>VLOOKUP(U23,'[1]- DLiêu Gốc -'!$B$2:$G$56,6,0)</f>
        <v>- - -</v>
      </c>
      <c r="R23" s="158" t="s">
        <v>41</v>
      </c>
      <c r="S23" s="298" t="str">
        <f t="shared" si="1"/>
        <v>Thư viện viên</v>
      </c>
      <c r="T23" s="159" t="str">
        <f t="shared" si="2"/>
        <v>17.170</v>
      </c>
      <c r="U23" s="160" t="s">
        <v>147</v>
      </c>
      <c r="V23" s="159" t="str">
        <f>VLOOKUP(U23,'[1]- DLiêu Gốc -'!$B$1:$G$121,2,0)</f>
        <v>17.170</v>
      </c>
      <c r="W23" s="161" t="str">
        <f t="shared" si="3"/>
        <v>Lương</v>
      </c>
      <c r="X23" s="162">
        <v>4</v>
      </c>
      <c r="Y23" s="163" t="str">
        <f t="shared" si="4"/>
        <v>/</v>
      </c>
      <c r="Z23" s="164">
        <f t="shared" si="5"/>
        <v>9</v>
      </c>
      <c r="AA23" s="165">
        <f t="shared" si="6"/>
        <v>3.33</v>
      </c>
      <c r="AB23" s="166">
        <f t="shared" si="7"/>
        <v>5</v>
      </c>
      <c r="AC23" s="316" t="str">
        <f t="shared" si="8"/>
        <v>/</v>
      </c>
      <c r="AD23" s="164">
        <f t="shared" si="9"/>
        <v>9</v>
      </c>
      <c r="AE23" s="318">
        <f t="shared" si="10"/>
        <v>3.66</v>
      </c>
      <c r="AF23" s="167" t="s">
        <v>9</v>
      </c>
      <c r="AG23" s="168" t="s">
        <v>10</v>
      </c>
      <c r="AH23" s="169" t="s">
        <v>109</v>
      </c>
      <c r="AI23" s="170" t="s">
        <v>10</v>
      </c>
      <c r="AJ23" s="171">
        <v>2016</v>
      </c>
      <c r="AK23" s="172"/>
      <c r="AL23" s="173">
        <v>4</v>
      </c>
      <c r="AM23" s="145">
        <f t="shared" si="11"/>
        <v>3</v>
      </c>
      <c r="AN23" s="145">
        <f t="shared" si="12"/>
        <v>-24196</v>
      </c>
      <c r="AO23" s="139"/>
      <c r="AP23" s="174"/>
      <c r="AQ23" s="147">
        <f>VLOOKUP(U23,'[1]- DLiêu Gốc -'!$B$1:$E$56,3,0)</f>
        <v>2.34</v>
      </c>
      <c r="AR23" s="141">
        <f>VLOOKUP(U23,'[1]- DLiêu Gốc -'!$B$1:$E$56,4,0)</f>
        <v>0.33</v>
      </c>
      <c r="AS23" s="175"/>
      <c r="AT23" s="176" t="str">
        <f t="shared" si="13"/>
        <v>o-o-o</v>
      </c>
      <c r="AU23" s="177"/>
      <c r="AV23" s="177"/>
      <c r="AW23" s="141">
        <f t="shared" si="14"/>
        <v>0</v>
      </c>
      <c r="AX23" s="178"/>
      <c r="AY23" s="319"/>
      <c r="AZ23" s="144"/>
      <c r="BA23" s="144"/>
      <c r="BB23" s="144"/>
      <c r="BC23" s="144"/>
      <c r="BD23" s="144"/>
      <c r="BE23" s="144"/>
      <c r="BF23" s="146" t="str">
        <f t="shared" si="15"/>
        <v>- - -</v>
      </c>
      <c r="BG23" s="179" t="str">
        <f t="shared" si="16"/>
        <v>- - -</v>
      </c>
      <c r="BH23" s="351" t="str">
        <f t="shared" si="17"/>
        <v>NLĐ</v>
      </c>
      <c r="BI23" s="381"/>
      <c r="BJ23" s="380"/>
      <c r="BK23" s="376" t="s">
        <v>43</v>
      </c>
      <c r="BL23" s="383" t="str">
        <f t="shared" si="18"/>
        <v>A</v>
      </c>
      <c r="BM23" s="376" t="str">
        <f t="shared" si="19"/>
        <v>=&gt; s</v>
      </c>
      <c r="BN23" s="384">
        <f t="shared" si="20"/>
        <v>24220</v>
      </c>
      <c r="BO23" s="385" t="str">
        <f t="shared" si="21"/>
        <v>---</v>
      </c>
      <c r="BP23" s="377"/>
      <c r="BQ23" s="386"/>
      <c r="BR23" s="386"/>
      <c r="BS23" s="386"/>
      <c r="BT23" s="377" t="str">
        <f t="shared" si="22"/>
        <v>- - -</v>
      </c>
      <c r="BU23" s="385" t="str">
        <f t="shared" si="23"/>
        <v>- - -</v>
      </c>
      <c r="BV23" s="376"/>
      <c r="BW23" s="376"/>
      <c r="BX23" s="387"/>
      <c r="BY23" s="387"/>
      <c r="BZ23" s="387" t="str">
        <f t="shared" si="24"/>
        <v>- - -</v>
      </c>
      <c r="CA23" s="387"/>
      <c r="CB23" s="387"/>
      <c r="CC23" s="387"/>
      <c r="CD23" s="387"/>
      <c r="CE23" s="387" t="str">
        <f t="shared" si="25"/>
        <v>---</v>
      </c>
      <c r="CF23" s="387" t="str">
        <f t="shared" si="26"/>
        <v>/-/ /-/</v>
      </c>
      <c r="CG23" s="387">
        <f t="shared" si="27"/>
        <v>11</v>
      </c>
      <c r="CH23" s="387">
        <f t="shared" si="28"/>
        <v>2031</v>
      </c>
      <c r="CI23" s="387">
        <f t="shared" si="29"/>
        <v>8</v>
      </c>
      <c r="CJ23" s="387">
        <f t="shared" si="30"/>
        <v>2031</v>
      </c>
      <c r="CK23" s="387">
        <f t="shared" si="31"/>
        <v>5</v>
      </c>
      <c r="CL23" s="387">
        <f t="shared" si="32"/>
        <v>2031</v>
      </c>
      <c r="CM23" s="387" t="str">
        <f t="shared" si="33"/>
        <v>- - -</v>
      </c>
      <c r="CN23" s="388" t="str">
        <f t="shared" si="34"/>
        <v>. .</v>
      </c>
      <c r="CO23" s="377"/>
      <c r="CP23" s="389">
        <f t="shared" si="35"/>
        <v>660</v>
      </c>
      <c r="CQ23" s="390">
        <f t="shared" si="36"/>
        <v>-23710</v>
      </c>
      <c r="CR23" s="378">
        <f t="shared" si="37"/>
        <v>-1976</v>
      </c>
      <c r="CS23" s="391" t="str">
        <f t="shared" si="38"/>
        <v>Nữ dưới 30</v>
      </c>
      <c r="CT23" s="381"/>
      <c r="CU23" s="378"/>
      <c r="CV23" s="392" t="str">
        <f t="shared" si="39"/>
        <v>Đến 30</v>
      </c>
      <c r="CW23" s="382" t="str">
        <f t="shared" si="40"/>
        <v>--</v>
      </c>
      <c r="CX23" s="180"/>
      <c r="CY23" s="141"/>
      <c r="CZ23" s="352"/>
      <c r="DA23" s="353"/>
      <c r="DB23" s="144"/>
      <c r="DC23" s="144"/>
      <c r="DG23" s="138" t="s">
        <v>145</v>
      </c>
      <c r="DH23" s="138" t="s">
        <v>9</v>
      </c>
      <c r="DI23" s="138" t="s">
        <v>10</v>
      </c>
      <c r="DJ23" s="138" t="s">
        <v>109</v>
      </c>
      <c r="DK23" s="138" t="s">
        <v>10</v>
      </c>
      <c r="DL23" s="138">
        <v>2013</v>
      </c>
      <c r="DM23" s="138">
        <f t="shared" si="41"/>
        <v>0</v>
      </c>
      <c r="DN23" s="138" t="str">
        <f t="shared" si="42"/>
        <v>- - -</v>
      </c>
      <c r="DO23" s="138" t="s">
        <v>9</v>
      </c>
      <c r="DP23" s="138" t="s">
        <v>10</v>
      </c>
      <c r="DQ23" s="138" t="s">
        <v>109</v>
      </c>
      <c r="DR23" s="138" t="s">
        <v>10</v>
      </c>
      <c r="DS23" s="138">
        <v>2013</v>
      </c>
      <c r="DU23" s="138" t="str">
        <f t="shared" si="43"/>
        <v>- - -</v>
      </c>
      <c r="DV23" s="138" t="str">
        <f t="shared" si="44"/>
        <v>---</v>
      </c>
    </row>
    <row r="24" spans="1:126" s="138" customFormat="1" ht="32.25" customHeight="1" x14ac:dyDescent="0.25">
      <c r="A24" s="152">
        <v>443</v>
      </c>
      <c r="B24" s="142">
        <v>9</v>
      </c>
      <c r="C24" s="142" t="str">
        <f t="shared" si="0"/>
        <v>Bà</v>
      </c>
      <c r="D24" s="153" t="s">
        <v>148</v>
      </c>
      <c r="E24" s="142" t="s">
        <v>32</v>
      </c>
      <c r="F24" s="154" t="s">
        <v>149</v>
      </c>
      <c r="G24" s="155" t="s">
        <v>10</v>
      </c>
      <c r="H24" s="155" t="s">
        <v>46</v>
      </c>
      <c r="I24" s="155" t="s">
        <v>10</v>
      </c>
      <c r="J24" s="156" t="s">
        <v>96</v>
      </c>
      <c r="K24" s="316"/>
      <c r="L24" s="316"/>
      <c r="M24" s="316" t="e">
        <f>VLOOKUP(L24,'[1]- DLiêu Gốc -'!$B$2:$G$121,2,0)</f>
        <v>#N/A</v>
      </c>
      <c r="N24" s="320"/>
      <c r="O24" s="297" t="s">
        <v>150</v>
      </c>
      <c r="P24" s="157" t="str">
        <f>VLOOKUP(U24,'[1]- DLiêu Gốc -'!$B$2:$G$56,5,0)</f>
        <v>A1</v>
      </c>
      <c r="Q24" s="157" t="str">
        <f>VLOOKUP(U24,'[1]- DLiêu Gốc -'!$B$2:$G$56,6,0)</f>
        <v>- - -</v>
      </c>
      <c r="R24" s="158" t="s">
        <v>34</v>
      </c>
      <c r="S24" s="298" t="str">
        <f t="shared" si="1"/>
        <v>Giảng viên (hạng III)</v>
      </c>
      <c r="T24" s="159" t="str">
        <f t="shared" si="2"/>
        <v>V.07.01.03</v>
      </c>
      <c r="U24" s="160" t="s">
        <v>35</v>
      </c>
      <c r="V24" s="159" t="str">
        <f>VLOOKUP(U24,'[1]- DLiêu Gốc -'!$B$1:$G$121,2,0)</f>
        <v>V.07.01.03</v>
      </c>
      <c r="W24" s="161" t="str">
        <f t="shared" si="3"/>
        <v>Lương</v>
      </c>
      <c r="X24" s="162">
        <v>4</v>
      </c>
      <c r="Y24" s="163" t="str">
        <f t="shared" si="4"/>
        <v>/</v>
      </c>
      <c r="Z24" s="164">
        <f t="shared" si="5"/>
        <v>9</v>
      </c>
      <c r="AA24" s="165">
        <f t="shared" si="6"/>
        <v>3.33</v>
      </c>
      <c r="AB24" s="166">
        <f t="shared" si="7"/>
        <v>5</v>
      </c>
      <c r="AC24" s="316" t="str">
        <f t="shared" si="8"/>
        <v>/</v>
      </c>
      <c r="AD24" s="164">
        <f t="shared" si="9"/>
        <v>9</v>
      </c>
      <c r="AE24" s="318">
        <f t="shared" si="10"/>
        <v>3.66</v>
      </c>
      <c r="AF24" s="167" t="s">
        <v>9</v>
      </c>
      <c r="AG24" s="168" t="s">
        <v>10</v>
      </c>
      <c r="AH24" s="169" t="s">
        <v>109</v>
      </c>
      <c r="AI24" s="170" t="s">
        <v>10</v>
      </c>
      <c r="AJ24" s="171">
        <v>2016</v>
      </c>
      <c r="AK24" s="172"/>
      <c r="AL24" s="173">
        <v>4</v>
      </c>
      <c r="AM24" s="145">
        <f t="shared" si="11"/>
        <v>3</v>
      </c>
      <c r="AN24" s="145">
        <f t="shared" si="12"/>
        <v>-24196</v>
      </c>
      <c r="AO24" s="139"/>
      <c r="AP24" s="174"/>
      <c r="AQ24" s="147">
        <f>VLOOKUP(U24,'[1]- DLiêu Gốc -'!$B$1:$E$56,3,0)</f>
        <v>2.34</v>
      </c>
      <c r="AR24" s="141">
        <f>VLOOKUP(U24,'[1]- DLiêu Gốc -'!$B$1:$E$56,4,0)</f>
        <v>0.33</v>
      </c>
      <c r="AS24" s="175"/>
      <c r="AT24" s="176" t="str">
        <f t="shared" si="13"/>
        <v>PCTN</v>
      </c>
      <c r="AU24" s="177">
        <v>9</v>
      </c>
      <c r="AV24" s="177" t="s">
        <v>38</v>
      </c>
      <c r="AW24" s="141">
        <f t="shared" si="14"/>
        <v>10</v>
      </c>
      <c r="AX24" s="178" t="s">
        <v>38</v>
      </c>
      <c r="AY24" s="319">
        <v>9</v>
      </c>
      <c r="AZ24" s="144" t="s">
        <v>10</v>
      </c>
      <c r="BA24" s="144">
        <v>2015</v>
      </c>
      <c r="BB24" s="144" t="s">
        <v>151</v>
      </c>
      <c r="BC24" s="144"/>
      <c r="BD24" s="144"/>
      <c r="BE24" s="144">
        <v>9</v>
      </c>
      <c r="BF24" s="146">
        <f t="shared" si="15"/>
        <v>-24189</v>
      </c>
      <c r="BG24" s="179" t="str">
        <f t="shared" si="16"/>
        <v>- - -</v>
      </c>
      <c r="BH24" s="351" t="str">
        <f t="shared" si="17"/>
        <v>VC</v>
      </c>
      <c r="BI24" s="381"/>
      <c r="BJ24" s="380"/>
      <c r="BK24" s="376" t="s">
        <v>93</v>
      </c>
      <c r="BL24" s="383" t="str">
        <f t="shared" si="18"/>
        <v>A</v>
      </c>
      <c r="BM24" s="376" t="str">
        <f t="shared" si="19"/>
        <v>=&gt; s</v>
      </c>
      <c r="BN24" s="384">
        <f t="shared" si="20"/>
        <v>24220</v>
      </c>
      <c r="BO24" s="385" t="str">
        <f t="shared" si="21"/>
        <v>---</v>
      </c>
      <c r="BP24" s="377"/>
      <c r="BQ24" s="386"/>
      <c r="BR24" s="386"/>
      <c r="BS24" s="386"/>
      <c r="BT24" s="377" t="str">
        <f t="shared" si="22"/>
        <v>- - -</v>
      </c>
      <c r="BU24" s="385" t="str">
        <f t="shared" si="23"/>
        <v>- - -</v>
      </c>
      <c r="BV24" s="376" t="str">
        <f>IF(DT24&gt;0,"NN","---")</f>
        <v>---</v>
      </c>
      <c r="BW24" s="376"/>
      <c r="BX24" s="387"/>
      <c r="BY24" s="387"/>
      <c r="BZ24" s="387" t="str">
        <f t="shared" si="24"/>
        <v>- - -</v>
      </c>
      <c r="CA24" s="387"/>
      <c r="CB24" s="387"/>
      <c r="CC24" s="387"/>
      <c r="CD24" s="387"/>
      <c r="CE24" s="387" t="str">
        <f t="shared" si="25"/>
        <v>---</v>
      </c>
      <c r="CF24" s="387" t="str">
        <f t="shared" si="26"/>
        <v>/-/ /-/</v>
      </c>
      <c r="CG24" s="387">
        <f t="shared" si="27"/>
        <v>11</v>
      </c>
      <c r="CH24" s="387">
        <f t="shared" si="28"/>
        <v>2031</v>
      </c>
      <c r="CI24" s="387">
        <f t="shared" si="29"/>
        <v>8</v>
      </c>
      <c r="CJ24" s="387">
        <f t="shared" si="30"/>
        <v>2031</v>
      </c>
      <c r="CK24" s="387">
        <f t="shared" si="31"/>
        <v>5</v>
      </c>
      <c r="CL24" s="387">
        <f t="shared" si="32"/>
        <v>2031</v>
      </c>
      <c r="CM24" s="387" t="str">
        <f t="shared" si="33"/>
        <v>- - -</v>
      </c>
      <c r="CN24" s="388" t="str">
        <f t="shared" si="34"/>
        <v>. .</v>
      </c>
      <c r="CO24" s="377"/>
      <c r="CP24" s="389">
        <f t="shared" si="35"/>
        <v>660</v>
      </c>
      <c r="CQ24" s="390">
        <f t="shared" si="36"/>
        <v>-23710</v>
      </c>
      <c r="CR24" s="378">
        <f t="shared" si="37"/>
        <v>-1976</v>
      </c>
      <c r="CS24" s="391" t="str">
        <f t="shared" si="38"/>
        <v>Nữ dưới 30</v>
      </c>
      <c r="CT24" s="381"/>
      <c r="CU24" s="378"/>
      <c r="CV24" s="392" t="str">
        <f t="shared" si="39"/>
        <v>Đến 30</v>
      </c>
      <c r="CW24" s="382"/>
      <c r="CX24" s="180" t="str">
        <f>IF(BU24&gt;0,"TD","--")</f>
        <v>TD</v>
      </c>
      <c r="CY24" s="141"/>
      <c r="CZ24" s="352"/>
      <c r="DA24" s="353"/>
      <c r="DB24" s="144"/>
      <c r="DC24" s="144"/>
      <c r="DH24" s="138" t="s">
        <v>9</v>
      </c>
      <c r="DI24" s="138" t="s">
        <v>10</v>
      </c>
      <c r="DJ24" s="138" t="s">
        <v>109</v>
      </c>
      <c r="DK24" s="138" t="s">
        <v>10</v>
      </c>
      <c r="DL24" s="138">
        <v>2013</v>
      </c>
      <c r="DM24" s="138">
        <f t="shared" si="41"/>
        <v>0</v>
      </c>
      <c r="DN24" s="138" t="str">
        <f t="shared" si="42"/>
        <v>- - -</v>
      </c>
      <c r="DO24" s="138" t="s">
        <v>9</v>
      </c>
      <c r="DP24" s="138" t="s">
        <v>10</v>
      </c>
      <c r="DQ24" s="138" t="s">
        <v>109</v>
      </c>
      <c r="DR24" s="138" t="s">
        <v>10</v>
      </c>
      <c r="DS24" s="138">
        <v>2013</v>
      </c>
      <c r="DU24" s="138" t="str">
        <f t="shared" si="43"/>
        <v>- - -</v>
      </c>
      <c r="DV24" s="138" t="str">
        <f t="shared" si="44"/>
        <v>---</v>
      </c>
    </row>
    <row r="25" spans="1:126" s="187" customFormat="1" ht="21" customHeight="1" x14ac:dyDescent="0.3">
      <c r="A25" s="181"/>
      <c r="B25" s="182" t="s">
        <v>47</v>
      </c>
      <c r="C25" s="183"/>
      <c r="D25" s="183"/>
      <c r="E25" s="183"/>
      <c r="F25" s="183"/>
      <c r="G25" s="183"/>
      <c r="H25" s="183"/>
      <c r="I25" s="183"/>
      <c r="J25" s="183"/>
      <c r="K25" s="183"/>
      <c r="L25" s="183"/>
      <c r="M25" s="183"/>
      <c r="N25" s="183"/>
      <c r="O25" s="183"/>
      <c r="P25" s="184"/>
      <c r="Q25" s="184"/>
      <c r="R25" s="184"/>
      <c r="S25" s="185"/>
      <c r="T25" s="186"/>
      <c r="U25" s="185"/>
      <c r="V25" s="127"/>
      <c r="W25" s="127"/>
      <c r="X25" s="364" t="s">
        <v>48</v>
      </c>
      <c r="Y25" s="364"/>
      <c r="Z25" s="364"/>
      <c r="AA25" s="364"/>
      <c r="AB25" s="364"/>
      <c r="AC25" s="364"/>
      <c r="AD25" s="364"/>
      <c r="AE25" s="364"/>
      <c r="AF25" s="364"/>
      <c r="AG25" s="364"/>
      <c r="AH25" s="364"/>
      <c r="AI25" s="364"/>
      <c r="AJ25" s="364"/>
      <c r="AK25" s="364"/>
      <c r="AL25" s="364"/>
      <c r="AM25" s="364"/>
      <c r="AN25" s="364"/>
      <c r="AO25" s="364"/>
      <c r="AP25" s="364"/>
      <c r="AQ25" s="364"/>
      <c r="AR25" s="364"/>
      <c r="AS25" s="364"/>
      <c r="AT25" s="364"/>
      <c r="AU25" s="364"/>
      <c r="AV25" s="364"/>
      <c r="AW25" s="364"/>
      <c r="AX25" s="364"/>
      <c r="AY25" s="364"/>
      <c r="AZ25" s="364"/>
      <c r="BA25" s="364"/>
      <c r="BB25" s="364"/>
      <c r="BC25" s="364"/>
      <c r="BD25" s="364"/>
      <c r="BE25" s="364"/>
      <c r="BF25" s="364"/>
      <c r="BG25" s="364"/>
      <c r="BH25" s="364"/>
      <c r="BI25" s="322"/>
      <c r="BJ25" s="322"/>
      <c r="BK25" s="322"/>
      <c r="BL25" s="322"/>
      <c r="BM25" s="322"/>
      <c r="BN25" s="322"/>
      <c r="BO25" s="322"/>
      <c r="BP25" s="322"/>
      <c r="BQ25" s="322"/>
      <c r="BR25" s="322"/>
      <c r="BS25" s="322"/>
      <c r="BT25" s="322"/>
      <c r="BU25" s="322"/>
      <c r="BV25" s="322"/>
      <c r="BW25" s="322"/>
      <c r="BX25" s="322"/>
      <c r="BY25" s="322"/>
      <c r="BZ25" s="322"/>
      <c r="CA25" s="322"/>
      <c r="CB25" s="322"/>
      <c r="CC25" s="322"/>
      <c r="CD25" s="322"/>
      <c r="CE25" s="322"/>
      <c r="CF25" s="322"/>
      <c r="CG25" s="322"/>
      <c r="CH25" s="322"/>
      <c r="CI25" s="322"/>
      <c r="CJ25" s="322"/>
      <c r="CK25" s="322"/>
      <c r="CL25" s="322"/>
      <c r="CM25" s="322"/>
      <c r="CN25" s="322"/>
      <c r="CO25" s="322"/>
      <c r="CP25" s="322"/>
      <c r="CQ25" s="322"/>
      <c r="CR25" s="322"/>
      <c r="CS25" s="322"/>
      <c r="CT25" s="322"/>
      <c r="CU25" s="322"/>
      <c r="CV25" s="322"/>
      <c r="CW25" s="322"/>
      <c r="CX25" s="322"/>
      <c r="CY25" s="322"/>
      <c r="CZ25" s="341"/>
      <c r="DA25" s="341"/>
      <c r="DB25" s="341"/>
      <c r="DC25" s="341"/>
      <c r="DD25" s="341"/>
      <c r="DE25" s="341"/>
      <c r="DF25" s="341"/>
      <c r="DG25" s="341"/>
      <c r="DH25" s="341"/>
      <c r="DI25" s="341"/>
      <c r="DJ25" s="341"/>
      <c r="DK25" s="341"/>
      <c r="DL25" s="341"/>
      <c r="DM25" s="341"/>
      <c r="DN25" s="341"/>
      <c r="DO25" s="341"/>
      <c r="DP25" s="341"/>
      <c r="DQ25" s="341"/>
      <c r="DR25" s="341"/>
      <c r="DS25" s="341"/>
    </row>
    <row r="26" spans="1:126" s="195" customFormat="1" ht="15.75" x14ac:dyDescent="0.25">
      <c r="A26" s="188"/>
      <c r="B26" s="197" t="s">
        <v>51</v>
      </c>
      <c r="C26" s="189"/>
      <c r="D26" s="187"/>
      <c r="E26" s="190"/>
      <c r="F26" s="189"/>
      <c r="G26" s="191"/>
      <c r="H26" s="187"/>
      <c r="I26" s="192"/>
      <c r="J26" s="192"/>
      <c r="K26" s="192"/>
      <c r="L26" s="192"/>
      <c r="M26" s="192"/>
      <c r="N26" s="193"/>
      <c r="O26" s="193"/>
      <c r="P26" s="192"/>
      <c r="Q26" s="192"/>
      <c r="R26" s="192"/>
      <c r="S26" s="193"/>
      <c r="T26" s="190"/>
      <c r="U26" s="193"/>
      <c r="V26" s="194"/>
      <c r="W26" s="194"/>
      <c r="X26" s="364" t="s">
        <v>50</v>
      </c>
      <c r="Y26" s="364"/>
      <c r="Z26" s="364"/>
      <c r="AA26" s="364"/>
      <c r="AB26" s="364"/>
      <c r="AC26" s="364"/>
      <c r="AD26" s="364"/>
      <c r="AE26" s="364"/>
      <c r="AF26" s="364"/>
      <c r="AG26" s="364"/>
      <c r="AH26" s="364"/>
      <c r="AI26" s="364"/>
      <c r="AJ26" s="364"/>
      <c r="AK26" s="364"/>
      <c r="AL26" s="364"/>
      <c r="AM26" s="364"/>
      <c r="AN26" s="364"/>
      <c r="AO26" s="364"/>
      <c r="AP26" s="364"/>
      <c r="AQ26" s="364"/>
      <c r="AR26" s="364"/>
      <c r="AS26" s="364"/>
      <c r="AT26" s="364"/>
      <c r="AU26" s="364"/>
      <c r="AV26" s="364"/>
      <c r="AW26" s="364"/>
      <c r="AX26" s="364"/>
      <c r="AY26" s="364"/>
      <c r="AZ26" s="364"/>
      <c r="BA26" s="364"/>
      <c r="BB26" s="364"/>
      <c r="BC26" s="364"/>
      <c r="BD26" s="364"/>
      <c r="BE26" s="364"/>
      <c r="BF26" s="364"/>
      <c r="BG26" s="364"/>
      <c r="BH26" s="364"/>
      <c r="BI26" s="323"/>
      <c r="BJ26" s="323"/>
      <c r="BK26" s="323"/>
      <c r="BL26" s="323"/>
      <c r="BM26" s="323"/>
      <c r="BN26" s="323"/>
      <c r="BO26" s="323"/>
      <c r="BP26" s="323"/>
      <c r="BQ26" s="323"/>
      <c r="BR26" s="323"/>
      <c r="BS26" s="323"/>
      <c r="BT26" s="323"/>
      <c r="BU26" s="323"/>
      <c r="BV26" s="323"/>
      <c r="BW26" s="323"/>
      <c r="BX26" s="323"/>
      <c r="BY26" s="323"/>
      <c r="BZ26" s="323"/>
      <c r="CA26" s="323"/>
      <c r="CB26" s="323"/>
      <c r="CC26" s="323"/>
      <c r="CD26" s="323"/>
      <c r="CE26" s="323"/>
      <c r="CF26" s="323"/>
      <c r="CG26" s="323"/>
      <c r="CH26" s="323"/>
      <c r="CI26" s="323"/>
      <c r="CJ26" s="323"/>
      <c r="CK26" s="323"/>
      <c r="CL26" s="323"/>
      <c r="CM26" s="323"/>
      <c r="CN26" s="323"/>
      <c r="CO26" s="323"/>
      <c r="CP26" s="323"/>
      <c r="CQ26" s="323"/>
      <c r="CR26" s="323"/>
      <c r="CS26" s="323"/>
      <c r="CT26" s="323"/>
      <c r="CU26" s="323"/>
      <c r="CV26" s="323"/>
      <c r="CW26" s="323"/>
      <c r="CX26" s="323"/>
      <c r="CY26" s="323"/>
      <c r="CZ26" s="342"/>
      <c r="DA26" s="342"/>
      <c r="DB26" s="342"/>
      <c r="DC26" s="342"/>
      <c r="DD26" s="342"/>
      <c r="DE26" s="342"/>
      <c r="DF26" s="342"/>
      <c r="DG26" s="342"/>
      <c r="DH26" s="342"/>
      <c r="DI26" s="342"/>
      <c r="DJ26" s="342"/>
      <c r="DK26" s="342"/>
      <c r="DL26" s="342"/>
      <c r="DM26" s="342"/>
      <c r="DN26" s="342"/>
      <c r="DO26" s="342"/>
      <c r="DP26" s="342"/>
      <c r="DQ26" s="342"/>
      <c r="DR26" s="342"/>
      <c r="DS26" s="342"/>
    </row>
    <row r="27" spans="1:126" s="202" customFormat="1" ht="15.75" x14ac:dyDescent="0.25">
      <c r="A27" s="196">
        <v>690</v>
      </c>
      <c r="B27" s="197" t="s">
        <v>53</v>
      </c>
      <c r="C27" s="189"/>
      <c r="D27" s="187"/>
      <c r="E27" s="190"/>
      <c r="F27" s="189"/>
      <c r="G27" s="191"/>
      <c r="H27" s="187"/>
      <c r="I27" s="192"/>
      <c r="J27" s="192"/>
      <c r="K27" s="192"/>
      <c r="L27" s="192"/>
      <c r="M27" s="192"/>
      <c r="N27" s="193"/>
      <c r="O27" s="193"/>
      <c r="P27" s="192"/>
      <c r="Q27" s="192"/>
      <c r="R27" s="192"/>
      <c r="S27" s="193"/>
      <c r="T27" s="190"/>
      <c r="U27" s="193"/>
      <c r="V27" s="194"/>
      <c r="W27" s="194"/>
      <c r="X27" s="198"/>
      <c r="Y27" s="198"/>
      <c r="Z27" s="198"/>
      <c r="AA27" s="198"/>
      <c r="AB27" s="198"/>
      <c r="AC27" s="198"/>
      <c r="AD27" s="198"/>
      <c r="AE27" s="198"/>
      <c r="AF27" s="198"/>
      <c r="AG27" s="198"/>
      <c r="AH27" s="198"/>
      <c r="AI27" s="198"/>
      <c r="AJ27" s="198"/>
      <c r="AK27" s="199"/>
      <c r="AL27" s="200"/>
      <c r="AM27" s="200"/>
      <c r="AN27" s="200"/>
      <c r="AO27" s="200"/>
      <c r="AP27" s="200"/>
      <c r="AQ27" s="200"/>
      <c r="AR27" s="200"/>
      <c r="AS27" s="200"/>
      <c r="AT27" s="200"/>
      <c r="AU27" s="201"/>
      <c r="AV27" s="201"/>
      <c r="AW27" s="200"/>
      <c r="AX27" s="200"/>
      <c r="AY27" s="200"/>
      <c r="AZ27" s="200"/>
      <c r="BA27" s="200"/>
      <c r="BB27" s="200"/>
      <c r="BC27" s="200"/>
      <c r="BD27" s="200"/>
      <c r="BE27" s="200"/>
      <c r="BF27" s="200"/>
      <c r="BG27" s="200"/>
      <c r="BH27" s="200"/>
      <c r="BI27" s="321"/>
      <c r="BJ27" s="225"/>
      <c r="BK27" s="226"/>
      <c r="BL27" s="227"/>
      <c r="BM27" s="226"/>
      <c r="BN27" s="324"/>
      <c r="BO27" s="325"/>
      <c r="BP27" s="326"/>
      <c r="BQ27" s="327"/>
      <c r="BR27" s="327"/>
      <c r="BS27" s="327"/>
      <c r="BT27" s="326"/>
      <c r="BU27" s="325"/>
      <c r="BV27" s="226"/>
      <c r="BW27" s="226"/>
      <c r="BX27" s="328"/>
      <c r="BY27" s="328"/>
      <c r="BZ27" s="328"/>
      <c r="CA27" s="328"/>
      <c r="CB27" s="328"/>
      <c r="CC27" s="328"/>
      <c r="CD27" s="328"/>
      <c r="CE27" s="328"/>
      <c r="CF27" s="328"/>
      <c r="CG27" s="328"/>
      <c r="CH27" s="328"/>
      <c r="CI27" s="328"/>
      <c r="CJ27" s="328"/>
      <c r="CK27" s="328"/>
      <c r="CL27" s="328"/>
      <c r="CM27" s="328"/>
      <c r="CN27" s="329"/>
      <c r="CO27" s="334"/>
      <c r="CP27" s="335"/>
      <c r="CQ27" s="336"/>
      <c r="CR27" s="337"/>
      <c r="CS27" s="338"/>
      <c r="CT27" s="321"/>
      <c r="CU27" s="337"/>
      <c r="CV27" s="339"/>
      <c r="CW27" s="340"/>
      <c r="CX27" s="340"/>
      <c r="CY27" s="321"/>
      <c r="CZ27" s="343"/>
      <c r="DA27" s="344"/>
      <c r="DB27" s="330"/>
      <c r="DC27" s="330"/>
      <c r="DD27" s="345"/>
      <c r="DE27" s="345"/>
      <c r="DF27" s="345"/>
      <c r="DG27" s="345"/>
      <c r="DH27" s="345"/>
      <c r="DI27" s="345"/>
      <c r="DJ27" s="345"/>
      <c r="DK27" s="345"/>
      <c r="DL27" s="345"/>
      <c r="DM27" s="345"/>
      <c r="DN27" s="345"/>
      <c r="DO27" s="345"/>
      <c r="DP27" s="345"/>
      <c r="DQ27" s="345"/>
      <c r="DR27" s="345"/>
      <c r="DS27" s="345"/>
    </row>
    <row r="28" spans="1:126" s="202" customFormat="1" ht="15.75" x14ac:dyDescent="0.25">
      <c r="A28" s="196">
        <v>721</v>
      </c>
      <c r="B28" s="197"/>
      <c r="C28" s="189"/>
      <c r="D28" s="187"/>
      <c r="E28" s="190"/>
      <c r="F28" s="189"/>
      <c r="G28" s="191"/>
      <c r="H28" s="187"/>
      <c r="I28" s="203"/>
      <c r="J28" s="203"/>
      <c r="K28" s="203"/>
      <c r="L28" s="203"/>
      <c r="M28" s="203"/>
      <c r="N28" s="204"/>
      <c r="O28" s="204"/>
      <c r="P28" s="203"/>
      <c r="Q28" s="203"/>
      <c r="R28" s="203"/>
      <c r="S28" s="204"/>
      <c r="T28" s="205"/>
      <c r="U28" s="204"/>
      <c r="V28" s="194"/>
      <c r="W28" s="194"/>
      <c r="X28" s="365" t="s">
        <v>52</v>
      </c>
      <c r="Y28" s="365"/>
      <c r="Z28" s="365"/>
      <c r="AA28" s="365"/>
      <c r="AB28" s="365"/>
      <c r="AC28" s="365"/>
      <c r="AD28" s="365"/>
      <c r="AE28" s="365"/>
      <c r="AF28" s="365"/>
      <c r="AG28" s="365"/>
      <c r="AH28" s="365"/>
      <c r="AI28" s="365"/>
      <c r="AJ28" s="365"/>
      <c r="AK28" s="365"/>
      <c r="AL28" s="365"/>
      <c r="AM28" s="365"/>
      <c r="AN28" s="365"/>
      <c r="AO28" s="365"/>
      <c r="AP28" s="365"/>
      <c r="AQ28" s="365"/>
      <c r="AR28" s="365"/>
      <c r="AS28" s="365"/>
      <c r="AT28" s="365"/>
      <c r="AU28" s="365"/>
      <c r="AV28" s="365"/>
      <c r="AW28" s="365"/>
      <c r="AX28" s="365"/>
      <c r="AY28" s="365"/>
      <c r="AZ28" s="365"/>
      <c r="BA28" s="365"/>
      <c r="BB28" s="365"/>
      <c r="BC28" s="365"/>
      <c r="BD28" s="365"/>
      <c r="BE28" s="365"/>
      <c r="BF28" s="365"/>
      <c r="BG28" s="365"/>
      <c r="BH28" s="365"/>
      <c r="BI28" s="321"/>
      <c r="BJ28" s="225"/>
      <c r="BK28" s="226"/>
      <c r="BL28" s="227"/>
      <c r="BM28" s="226"/>
      <c r="BN28" s="324"/>
      <c r="BO28" s="325"/>
      <c r="BP28" s="326"/>
      <c r="BQ28" s="327"/>
      <c r="BR28" s="327"/>
      <c r="BS28" s="327"/>
      <c r="BT28" s="326"/>
      <c r="BU28" s="325"/>
      <c r="BV28" s="226"/>
      <c r="BW28" s="226"/>
      <c r="BX28" s="328"/>
      <c r="BY28" s="328"/>
      <c r="BZ28" s="328"/>
      <c r="CA28" s="328"/>
      <c r="CB28" s="328"/>
      <c r="CC28" s="328"/>
      <c r="CD28" s="328"/>
      <c r="CE28" s="328"/>
      <c r="CF28" s="328"/>
      <c r="CG28" s="328"/>
      <c r="CH28" s="328"/>
      <c r="CI28" s="328"/>
      <c r="CJ28" s="328"/>
      <c r="CK28" s="328"/>
      <c r="CL28" s="328"/>
      <c r="CM28" s="328"/>
      <c r="CN28" s="329"/>
      <c r="CO28" s="334"/>
      <c r="CP28" s="335"/>
      <c r="CQ28" s="336"/>
      <c r="CR28" s="337"/>
      <c r="CS28" s="338"/>
      <c r="CT28" s="321"/>
      <c r="CU28" s="337"/>
      <c r="CV28" s="339"/>
      <c r="CW28" s="340"/>
      <c r="CX28" s="340"/>
      <c r="CY28" s="321"/>
      <c r="CZ28" s="343"/>
      <c r="DA28" s="344"/>
      <c r="DB28" s="330"/>
      <c r="DC28" s="330"/>
      <c r="DD28" s="345"/>
      <c r="DE28" s="345"/>
      <c r="DF28" s="345"/>
      <c r="DG28" s="345"/>
      <c r="DH28" s="345"/>
      <c r="DI28" s="345"/>
      <c r="DJ28" s="345"/>
      <c r="DK28" s="345"/>
      <c r="DL28" s="345"/>
      <c r="DM28" s="345"/>
      <c r="DN28" s="345"/>
      <c r="DO28" s="345"/>
      <c r="DP28" s="345"/>
      <c r="DQ28" s="345"/>
      <c r="DR28" s="345"/>
      <c r="DS28" s="345"/>
    </row>
    <row r="29" spans="1:126" s="202" customFormat="1" ht="15.75" x14ac:dyDescent="0.25">
      <c r="A29" s="196">
        <v>746</v>
      </c>
      <c r="C29" s="189"/>
      <c r="D29" s="187"/>
      <c r="E29" s="190"/>
      <c r="F29" s="189"/>
      <c r="G29" s="191"/>
      <c r="H29" s="187"/>
      <c r="I29" s="203"/>
      <c r="J29" s="203"/>
      <c r="K29" s="203"/>
      <c r="L29" s="203"/>
      <c r="M29" s="203"/>
      <c r="N29" s="204"/>
      <c r="O29" s="204"/>
      <c r="P29" s="203"/>
      <c r="Q29" s="203"/>
      <c r="R29" s="203"/>
      <c r="S29" s="204"/>
      <c r="T29" s="205"/>
      <c r="U29" s="204"/>
      <c r="V29" s="194"/>
      <c r="W29" s="194"/>
      <c r="X29" s="206"/>
      <c r="Y29" s="206"/>
      <c r="Z29" s="206"/>
      <c r="AA29" s="206"/>
      <c r="AB29" s="206"/>
      <c r="AC29" s="206"/>
      <c r="AD29" s="206"/>
      <c r="AE29" s="206"/>
      <c r="AF29" s="206"/>
      <c r="AG29" s="206"/>
      <c r="AH29" s="206"/>
      <c r="AI29" s="206"/>
      <c r="AJ29" s="206"/>
      <c r="AK29" s="206"/>
      <c r="AL29" s="206"/>
      <c r="AM29" s="206"/>
      <c r="AN29" s="206"/>
      <c r="AO29" s="206"/>
      <c r="AP29" s="206"/>
      <c r="AQ29" s="206"/>
      <c r="AR29" s="206"/>
      <c r="AS29" s="206"/>
      <c r="AT29" s="206"/>
      <c r="AU29" s="206"/>
      <c r="AV29" s="206"/>
      <c r="AW29" s="206"/>
      <c r="AX29" s="206"/>
      <c r="AY29" s="206"/>
      <c r="AZ29" s="206"/>
      <c r="BA29" s="206"/>
      <c r="BB29" s="206"/>
      <c r="BC29" s="206"/>
      <c r="BD29" s="206"/>
      <c r="BE29" s="206"/>
      <c r="BF29" s="206"/>
      <c r="BG29" s="206"/>
      <c r="BH29" s="206"/>
      <c r="BI29" s="321"/>
      <c r="BJ29" s="225"/>
      <c r="BK29" s="226"/>
      <c r="BL29" s="227"/>
      <c r="BM29" s="226"/>
      <c r="BN29" s="324"/>
      <c r="BO29" s="325"/>
      <c r="BP29" s="326"/>
      <c r="BQ29" s="327"/>
      <c r="BR29" s="327"/>
      <c r="BS29" s="327"/>
      <c r="BT29" s="326"/>
      <c r="BU29" s="325"/>
      <c r="BV29" s="226"/>
      <c r="BW29" s="226"/>
      <c r="BX29" s="328"/>
      <c r="BY29" s="328"/>
      <c r="BZ29" s="328"/>
      <c r="CA29" s="328"/>
      <c r="CB29" s="328"/>
      <c r="CC29" s="328"/>
      <c r="CD29" s="328"/>
      <c r="CE29" s="328"/>
      <c r="CF29" s="328"/>
      <c r="CG29" s="328"/>
      <c r="CH29" s="328"/>
      <c r="CI29" s="328"/>
      <c r="CJ29" s="328"/>
      <c r="CK29" s="328"/>
      <c r="CL29" s="328"/>
      <c r="CM29" s="328"/>
      <c r="CN29" s="329"/>
      <c r="CO29" s="334"/>
      <c r="CP29" s="335"/>
      <c r="CQ29" s="336"/>
      <c r="CR29" s="337"/>
      <c r="CS29" s="338"/>
      <c r="CT29" s="321"/>
      <c r="CU29" s="337"/>
      <c r="CV29" s="339"/>
      <c r="CW29" s="340"/>
      <c r="CX29" s="340"/>
      <c r="CY29" s="321"/>
      <c r="CZ29" s="343"/>
      <c r="DA29" s="344"/>
      <c r="DB29" s="330"/>
      <c r="DC29" s="330"/>
      <c r="DD29" s="345"/>
      <c r="DE29" s="345"/>
      <c r="DF29" s="345"/>
      <c r="DG29" s="345"/>
      <c r="DH29" s="345"/>
      <c r="DI29" s="345"/>
      <c r="DJ29" s="345"/>
      <c r="DK29" s="345"/>
      <c r="DL29" s="345"/>
      <c r="DM29" s="345"/>
      <c r="DN29" s="345"/>
      <c r="DO29" s="345"/>
      <c r="DP29" s="345"/>
      <c r="DQ29" s="345"/>
      <c r="DR29" s="345"/>
      <c r="DS29" s="345"/>
    </row>
    <row r="30" spans="1:126" s="202" customFormat="1" ht="16.5" customHeight="1" x14ac:dyDescent="0.3">
      <c r="A30" s="196">
        <v>749</v>
      </c>
      <c r="B30" s="207"/>
      <c r="C30" s="189"/>
      <c r="D30" s="208"/>
      <c r="E30" s="190"/>
      <c r="F30" s="189"/>
      <c r="G30" s="191"/>
      <c r="H30" s="187"/>
      <c r="I30" s="203"/>
      <c r="J30" s="203"/>
      <c r="K30" s="203"/>
      <c r="L30" s="203"/>
      <c r="M30" s="203"/>
      <c r="N30" s="204"/>
      <c r="O30" s="204"/>
      <c r="P30" s="203"/>
      <c r="Q30" s="203"/>
      <c r="R30" s="203"/>
      <c r="S30" s="204"/>
      <c r="T30" s="205"/>
      <c r="U30" s="204"/>
      <c r="V30" s="194"/>
      <c r="W30" s="194"/>
      <c r="X30" s="366" t="s">
        <v>155</v>
      </c>
      <c r="Y30" s="366"/>
      <c r="Z30" s="366"/>
      <c r="AA30" s="366"/>
      <c r="AB30" s="366"/>
      <c r="AC30" s="366"/>
      <c r="AD30" s="366"/>
      <c r="AE30" s="366"/>
      <c r="AF30" s="366"/>
      <c r="AG30" s="366"/>
      <c r="AH30" s="366"/>
      <c r="AI30" s="366"/>
      <c r="AJ30" s="366"/>
      <c r="AK30" s="366"/>
      <c r="AL30" s="366"/>
      <c r="AM30" s="366"/>
      <c r="AN30" s="366"/>
      <c r="AO30" s="366"/>
      <c r="AP30" s="366"/>
      <c r="AQ30" s="366"/>
      <c r="AR30" s="366"/>
      <c r="AS30" s="366"/>
      <c r="AT30" s="366"/>
      <c r="AU30" s="366"/>
      <c r="AV30" s="366"/>
      <c r="AW30" s="366"/>
      <c r="AX30" s="366"/>
      <c r="AY30" s="366"/>
      <c r="AZ30" s="366"/>
      <c r="BA30" s="366"/>
      <c r="BB30" s="366"/>
      <c r="BC30" s="366"/>
      <c r="BD30" s="366"/>
      <c r="BE30" s="366"/>
      <c r="BF30" s="366"/>
      <c r="BG30" s="366"/>
      <c r="BH30" s="366"/>
      <c r="BI30" s="346"/>
      <c r="BJ30" s="225"/>
      <c r="BK30" s="226"/>
      <c r="BL30" s="227"/>
      <c r="BM30" s="226"/>
      <c r="BN30" s="324"/>
      <c r="BO30" s="325"/>
      <c r="BP30" s="326"/>
      <c r="BQ30" s="327"/>
      <c r="BR30" s="327"/>
      <c r="BS30" s="327"/>
      <c r="BT30" s="326"/>
      <c r="BU30" s="325"/>
      <c r="BV30" s="226"/>
      <c r="BW30" s="226"/>
      <c r="BX30" s="328"/>
      <c r="BY30" s="328"/>
      <c r="BZ30" s="328"/>
      <c r="CA30" s="328"/>
      <c r="CB30" s="328"/>
      <c r="CC30" s="328"/>
      <c r="CD30" s="328"/>
      <c r="CE30" s="328"/>
      <c r="CF30" s="328"/>
      <c r="CG30" s="328"/>
      <c r="CH30" s="328"/>
      <c r="CI30" s="328"/>
      <c r="CJ30" s="328"/>
      <c r="CK30" s="328"/>
      <c r="CL30" s="328"/>
      <c r="CM30" s="328"/>
      <c r="CN30" s="329"/>
      <c r="CO30" s="334"/>
      <c r="CP30" s="335"/>
      <c r="CQ30" s="336"/>
      <c r="CR30" s="337"/>
      <c r="CS30" s="338"/>
      <c r="CT30" s="321"/>
      <c r="CU30" s="337"/>
      <c r="CV30" s="339"/>
      <c r="CW30" s="340"/>
      <c r="CX30" s="340"/>
      <c r="CY30" s="321"/>
      <c r="CZ30" s="343"/>
      <c r="DA30" s="344"/>
      <c r="DB30" s="330"/>
      <c r="DC30" s="330"/>
      <c r="DD30" s="345"/>
      <c r="DE30" s="345"/>
      <c r="DF30" s="345"/>
      <c r="DG30" s="345"/>
      <c r="DH30" s="345"/>
      <c r="DI30" s="345"/>
      <c r="DJ30" s="345"/>
      <c r="DK30" s="345"/>
      <c r="DL30" s="345"/>
      <c r="DM30" s="345"/>
      <c r="DN30" s="345"/>
      <c r="DO30" s="345"/>
      <c r="DP30" s="345"/>
      <c r="DQ30" s="345"/>
      <c r="DR30" s="345"/>
      <c r="DS30" s="345"/>
    </row>
  </sheetData>
  <mergeCells count="31">
    <mergeCell ref="X25:BH25"/>
    <mergeCell ref="X26:BH26"/>
    <mergeCell ref="X28:BH28"/>
    <mergeCell ref="X30:BH30"/>
    <mergeCell ref="N15:O15"/>
    <mergeCell ref="S15:T15"/>
    <mergeCell ref="X15:Z15"/>
    <mergeCell ref="AB15:AD15"/>
    <mergeCell ref="AF15:AJ15"/>
    <mergeCell ref="AK13:AK14"/>
    <mergeCell ref="AM13:AM14"/>
    <mergeCell ref="AX13:AX14"/>
    <mergeCell ref="BH13:BH14"/>
    <mergeCell ref="X14:Z14"/>
    <mergeCell ref="AB14:AD14"/>
    <mergeCell ref="AF14:AJ14"/>
    <mergeCell ref="AF6:AJ6"/>
    <mergeCell ref="B13:B14"/>
    <mergeCell ref="D13:D14"/>
    <mergeCell ref="E13:E14"/>
    <mergeCell ref="N13:O14"/>
    <mergeCell ref="S13:T14"/>
    <mergeCell ref="U13:U14"/>
    <mergeCell ref="V13:V14"/>
    <mergeCell ref="X13:AJ13"/>
    <mergeCell ref="A4:BH5"/>
    <mergeCell ref="B1:N1"/>
    <mergeCell ref="S1:AE1"/>
    <mergeCell ref="B2:N2"/>
    <mergeCell ref="S2:AE2"/>
    <mergeCell ref="S3:AE3"/>
  </mergeCells>
  <conditionalFormatting sqref="BI12:BI14">
    <cfRule type="expression" dxfId="445" priority="3711" stopIfTrue="1">
      <formula>IF(BJ12="Trên 45",1,0)</formula>
    </cfRule>
    <cfRule type="expression" dxfId="444" priority="3712" stopIfTrue="1">
      <formula>IF(BJ12="30 - 45",1,0)</formula>
    </cfRule>
    <cfRule type="expression" dxfId="443" priority="3713" stopIfTrue="1">
      <formula>IF(BJ12="Dưới 30",1,0)</formula>
    </cfRule>
  </conditionalFormatting>
  <conditionalFormatting sqref="CU12:CU14">
    <cfRule type="expression" dxfId="442" priority="3714" stopIfTrue="1">
      <formula>IF(CV12&gt;0,1,0)</formula>
    </cfRule>
    <cfRule type="expression" dxfId="441" priority="3715" stopIfTrue="1">
      <formula>IF(CV12=0,1,0)</formula>
    </cfRule>
  </conditionalFormatting>
  <conditionalFormatting sqref="CT12:CT14">
    <cfRule type="expression" dxfId="440" priority="3705" stopIfTrue="1">
      <formula>12*(#REF!-CM12)+(#REF!-CK12)</formula>
    </cfRule>
  </conditionalFormatting>
  <conditionalFormatting sqref="CY12:CY14">
    <cfRule type="expression" dxfId="439" priority="3706" stopIfTrue="1">
      <formula>12*(#REF!-CQ12)+(#REF!-CO12)</formula>
    </cfRule>
  </conditionalFormatting>
  <conditionalFormatting sqref="BJ10">
    <cfRule type="expression" dxfId="438" priority="3491" stopIfTrue="1">
      <formula>IF(BK10="Trên 45",1,0)</formula>
    </cfRule>
    <cfRule type="expression" dxfId="437" priority="3492" stopIfTrue="1">
      <formula>IF(BK10="30 - 45",1,0)</formula>
    </cfRule>
    <cfRule type="expression" dxfId="436" priority="3493" stopIfTrue="1">
      <formula>IF(BK10="Dưới 30",1,0)</formula>
    </cfRule>
  </conditionalFormatting>
  <conditionalFormatting sqref="CV10">
    <cfRule type="expression" dxfId="435" priority="3494" stopIfTrue="1">
      <formula>IF(CW10&gt;0,1,0)</formula>
    </cfRule>
    <cfRule type="expression" dxfId="434" priority="3495" stopIfTrue="1">
      <formula>IF(CW10=0,1,0)</formula>
    </cfRule>
  </conditionalFormatting>
  <conditionalFormatting sqref="BI10">
    <cfRule type="cellIs" dxfId="433" priority="3496" stopIfTrue="1" operator="between">
      <formula>"720"</formula>
      <formula>"720"</formula>
    </cfRule>
    <cfRule type="cellIs" dxfId="432" priority="3497" stopIfTrue="1" operator="between">
      <formula>"660"</formula>
      <formula>"660"</formula>
    </cfRule>
  </conditionalFormatting>
  <conditionalFormatting sqref="CY10">
    <cfRule type="expression" dxfId="431" priority="3503" stopIfTrue="1">
      <formula>IF(OR(CY10=0.36),1,0)</formula>
    </cfRule>
    <cfRule type="expression" dxfId="430" priority="3504" stopIfTrue="1">
      <formula>IF(CY10=0.34,1,0)</formula>
    </cfRule>
    <cfRule type="expression" dxfId="429" priority="3505" stopIfTrue="1">
      <formula>IF(CY10&lt;0.33,1,0)</formula>
    </cfRule>
  </conditionalFormatting>
  <conditionalFormatting sqref="DB10">
    <cfRule type="cellIs" dxfId="428" priority="3506" stopIfTrue="1" operator="between">
      <formula>"Hưu"</formula>
      <formula>"Hưu"</formula>
    </cfRule>
    <cfRule type="cellIs" dxfId="427" priority="3507" stopIfTrue="1" operator="between">
      <formula>"---"</formula>
      <formula>"---"</formula>
    </cfRule>
    <cfRule type="cellIs" dxfId="426" priority="3508" stopIfTrue="1" operator="between">
      <formula>"Quá"</formula>
      <formula>"Quá"</formula>
    </cfRule>
  </conditionalFormatting>
  <conditionalFormatting sqref="CX10">
    <cfRule type="expression" dxfId="425" priority="3509" stopIfTrue="1">
      <formula>IF(OR(CX10=5.57,CX10=6.2),1,0)</formula>
    </cfRule>
    <cfRule type="expression" dxfId="424" priority="3510" stopIfTrue="1">
      <formula>IF(OR(CX10=4,CX10=4.4),1,0)</formula>
    </cfRule>
    <cfRule type="expression" dxfId="423" priority="3511" stopIfTrue="1">
      <formula>IF(AND(CX10&gt;0.9,CX10&lt;2.34),1,0)</formula>
    </cfRule>
  </conditionalFormatting>
  <conditionalFormatting sqref="CT10">
    <cfRule type="cellIs" dxfId="422" priority="3512" stopIfTrue="1" operator="between">
      <formula>1</formula>
      <formula>1</formula>
    </cfRule>
    <cfRule type="cellIs" dxfId="421" priority="3513" stopIfTrue="1" operator="between">
      <formula>2</formula>
      <formula>2</formula>
    </cfRule>
    <cfRule type="cellIs" dxfId="420" priority="3514" stopIfTrue="1" operator="between">
      <formula>3</formula>
      <formula>3</formula>
    </cfRule>
  </conditionalFormatting>
  <conditionalFormatting sqref="CW10">
    <cfRule type="expression" dxfId="419" priority="3515" stopIfTrue="1">
      <formula>IF(CW10&gt;0,1,0)</formula>
    </cfRule>
    <cfRule type="expression" dxfId="418" priority="3516" stopIfTrue="1">
      <formula>IF(CW10&lt;1,1,0)</formula>
    </cfRule>
  </conditionalFormatting>
  <conditionalFormatting sqref="CS10">
    <cfRule type="cellIs" dxfId="417" priority="3517" stopIfTrue="1" operator="between">
      <formula>"Đến"</formula>
      <formula>"Đến"</formula>
    </cfRule>
    <cfRule type="cellIs" dxfId="416" priority="3518" stopIfTrue="1" operator="between">
      <formula>"Quá"</formula>
      <formula>"Quá"</formula>
    </cfRule>
    <cfRule type="expression" dxfId="415" priority="3519" stopIfTrue="1">
      <formula>IF(OR(CS10="Lương Sớm Hưu",CS10="Nâng Ngạch Hưu"),1,0)</formula>
    </cfRule>
  </conditionalFormatting>
  <conditionalFormatting sqref="DC10:DD10">
    <cfRule type="expression" dxfId="414" priority="3520" stopIfTrue="1">
      <formula>IF(DC10&gt;0,1,0)</formula>
    </cfRule>
  </conditionalFormatting>
  <conditionalFormatting sqref="CR10">
    <cfRule type="cellIs" dxfId="413" priority="3521" stopIfTrue="1" operator="between">
      <formula>"B"</formula>
      <formula>"B"</formula>
    </cfRule>
    <cfRule type="cellIs" dxfId="412" priority="3522" stopIfTrue="1" operator="between">
      <formula>"C"</formula>
      <formula>"C"</formula>
    </cfRule>
    <cfRule type="cellIs" dxfId="411" priority="3523" stopIfTrue="1" operator="between">
      <formula>"D"</formula>
      <formula>"D"</formula>
    </cfRule>
  </conditionalFormatting>
  <conditionalFormatting sqref="CQ10">
    <cfRule type="cellIs" dxfId="410" priority="3524" stopIfTrue="1" operator="between">
      <formula>"công chức, viên chức"</formula>
      <formula>"công chức, viên chức"</formula>
    </cfRule>
    <cfRule type="cellIs" dxfId="409" priority="3525" stopIfTrue="1" operator="between">
      <formula>"lao động hợp đồng"</formula>
      <formula>"lao động hợp đồng"</formula>
    </cfRule>
  </conditionalFormatting>
  <conditionalFormatting sqref="DA10">
    <cfRule type="expression" dxfId="408" priority="3526" stopIfTrue="1">
      <formula>IF(DA10="Nâg Ngạch sau TB",1,0)</formula>
    </cfRule>
    <cfRule type="expression" dxfId="407" priority="3527" stopIfTrue="1">
      <formula>IF(DA10="Nâg Lươg Sớm sau TB",1,0)</formula>
    </cfRule>
    <cfRule type="expression" dxfId="406" priority="3528" stopIfTrue="1">
      <formula>IF(DA10="Nâg PC TNVK cùng QĐ",1,0)</formula>
    </cfRule>
  </conditionalFormatting>
  <conditionalFormatting sqref="CP10">
    <cfRule type="expression" dxfId="405" priority="3529" stopIfTrue="1">
      <formula>IF(CP10=0,1,0)</formula>
    </cfRule>
    <cfRule type="expression" dxfId="404" priority="3530" stopIfTrue="1">
      <formula>IF(CP10&gt;0,1,0)</formula>
    </cfRule>
  </conditionalFormatting>
  <conditionalFormatting sqref="BK10">
    <cfRule type="expression" dxfId="403" priority="3498" stopIfTrue="1">
      <formula>IF(BK10="Trên 45",1,0)</formula>
    </cfRule>
    <cfRule type="expression" dxfId="402" priority="3499" stopIfTrue="1">
      <formula>IF(BK10="30 - 45",1,0)</formula>
    </cfRule>
    <cfRule type="expression" dxfId="401" priority="3500" stopIfTrue="1">
      <formula>IF(BK10="Dưới 30",1,0)</formula>
    </cfRule>
  </conditionalFormatting>
  <conditionalFormatting sqref="BM10">
    <cfRule type="cellIs" dxfId="400" priority="3501" stopIfTrue="1" operator="between">
      <formula>"Có hạn"</formula>
      <formula>"Có hạn"</formula>
    </cfRule>
    <cfRule type="cellIs" dxfId="399" priority="3502" stopIfTrue="1" operator="between">
      <formula>"Ko hạn"</formula>
      <formula>"Ko hạn"</formula>
    </cfRule>
  </conditionalFormatting>
  <conditionalFormatting sqref="CX12:CX14">
    <cfRule type="expression" dxfId="398" priority="3463" stopIfTrue="1">
      <formula>IF(OR(CX12=0.36),1,0)</formula>
    </cfRule>
    <cfRule type="expression" dxfId="397" priority="3464" stopIfTrue="1">
      <formula>IF(CX12=0.34,1,0)</formula>
    </cfRule>
    <cfRule type="expression" dxfId="396" priority="3465" stopIfTrue="1">
      <formula>IF(CX12&lt;0.33,1,0)</formula>
    </cfRule>
  </conditionalFormatting>
  <conditionalFormatting sqref="DA12:DA14">
    <cfRule type="cellIs" dxfId="395" priority="3466" stopIfTrue="1" operator="between">
      <formula>"Hưu"</formula>
      <formula>"Hưu"</formula>
    </cfRule>
    <cfRule type="cellIs" dxfId="394" priority="3467" stopIfTrue="1" operator="between">
      <formula>"---"</formula>
      <formula>"---"</formula>
    </cfRule>
    <cfRule type="cellIs" dxfId="393" priority="3468" stopIfTrue="1" operator="between">
      <formula>"Quá"</formula>
      <formula>"Quá"</formula>
    </cfRule>
  </conditionalFormatting>
  <conditionalFormatting sqref="CW12:CW14">
    <cfRule type="expression" dxfId="392" priority="3469" stopIfTrue="1">
      <formula>IF(OR(CW12=5.57,CW12=6.2),1,0)</formula>
    </cfRule>
    <cfRule type="expression" dxfId="391" priority="3470" stopIfTrue="1">
      <formula>IF(OR(CW12=4,CW12=4.4),1,0)</formula>
    </cfRule>
    <cfRule type="expression" dxfId="390" priority="3471" stopIfTrue="1">
      <formula>IF(AND(CW12&gt;0.9,CW12&lt;2.34),1,0)</formula>
    </cfRule>
  </conditionalFormatting>
  <conditionalFormatting sqref="CS12:CS14">
    <cfRule type="cellIs" dxfId="389" priority="3472" stopIfTrue="1" operator="between">
      <formula>1</formula>
      <formula>1</formula>
    </cfRule>
    <cfRule type="cellIs" dxfId="388" priority="3473" stopIfTrue="1" operator="between">
      <formula>2</formula>
      <formula>2</formula>
    </cfRule>
    <cfRule type="cellIs" dxfId="387" priority="3474" stopIfTrue="1" operator="between">
      <formula>3</formula>
      <formula>3</formula>
    </cfRule>
  </conditionalFormatting>
  <conditionalFormatting sqref="CV12:CV14">
    <cfRule type="expression" dxfId="386" priority="3475" stopIfTrue="1">
      <formula>IF(CV12&gt;0,1,0)</formula>
    </cfRule>
    <cfRule type="expression" dxfId="385" priority="3476" stopIfTrue="1">
      <formula>IF(CV12&lt;1,1,0)</formula>
    </cfRule>
  </conditionalFormatting>
  <conditionalFormatting sqref="CR12:CR14">
    <cfRule type="cellIs" dxfId="384" priority="3477" stopIfTrue="1" operator="between">
      <formula>"Đến"</formula>
      <formula>"Đến"</formula>
    </cfRule>
    <cfRule type="cellIs" dxfId="383" priority="3478" stopIfTrue="1" operator="between">
      <formula>"Quá"</formula>
      <formula>"Quá"</formula>
    </cfRule>
    <cfRule type="expression" dxfId="382" priority="3479" stopIfTrue="1">
      <formula>IF(OR(CR12="Lương Sớm Hưu",CR12="Nâng Ngạch Hưu"),1,0)</formula>
    </cfRule>
  </conditionalFormatting>
  <conditionalFormatting sqref="DB12:DC14">
    <cfRule type="expression" dxfId="381" priority="3480" stopIfTrue="1">
      <formula>IF(DB12&gt;0,1,0)</formula>
    </cfRule>
  </conditionalFormatting>
  <conditionalFormatting sqref="CQ12:CQ14">
    <cfRule type="cellIs" dxfId="380" priority="3481" stopIfTrue="1" operator="between">
      <formula>"B"</formula>
      <formula>"B"</formula>
    </cfRule>
    <cfRule type="cellIs" dxfId="379" priority="3482" stopIfTrue="1" operator="between">
      <formula>"C"</formula>
      <formula>"C"</formula>
    </cfRule>
    <cfRule type="cellIs" dxfId="378" priority="3483" stopIfTrue="1" operator="between">
      <formula>"D"</formula>
      <formula>"D"</formula>
    </cfRule>
  </conditionalFormatting>
  <conditionalFormatting sqref="CP12:CP14">
    <cfRule type="cellIs" dxfId="377" priority="3484" stopIfTrue="1" operator="between">
      <formula>"công chức, viên chức"</formula>
      <formula>"công chức, viên chức"</formula>
    </cfRule>
    <cfRule type="cellIs" dxfId="376" priority="3485" stopIfTrue="1" operator="between">
      <formula>"lao động hợp đồng"</formula>
      <formula>"lao động hợp đồng"</formula>
    </cfRule>
  </conditionalFormatting>
  <conditionalFormatting sqref="CZ12:CZ14">
    <cfRule type="expression" dxfId="375" priority="3486" stopIfTrue="1">
      <formula>IF(CZ12="Nâg Ngạch sau TB",1,0)</formula>
    </cfRule>
    <cfRule type="expression" dxfId="374" priority="3487" stopIfTrue="1">
      <formula>IF(CZ12="Nâg Lươg Sớm sau TB",1,0)</formula>
    </cfRule>
    <cfRule type="expression" dxfId="373" priority="3488" stopIfTrue="1">
      <formula>IF(CZ12="Nâg PC TNVK cùng QĐ",1,0)</formula>
    </cfRule>
  </conditionalFormatting>
  <conditionalFormatting sqref="CO12:CO14">
    <cfRule type="expression" dxfId="372" priority="3489" stopIfTrue="1">
      <formula>IF(CO12=0,1,0)</formula>
    </cfRule>
    <cfRule type="expression" dxfId="371" priority="3490" stopIfTrue="1">
      <formula>IF(CO12&gt;0,1,0)</formula>
    </cfRule>
  </conditionalFormatting>
  <conditionalFormatting sqref="BJ12:BJ14">
    <cfRule type="expression" dxfId="370" priority="3458" stopIfTrue="1">
      <formula>IF(BJ12="Trên 45",1,0)</formula>
    </cfRule>
    <cfRule type="expression" dxfId="369" priority="3459" stopIfTrue="1">
      <formula>IF(BJ12="30 - 45",1,0)</formula>
    </cfRule>
    <cfRule type="expression" dxfId="368" priority="3460" stopIfTrue="1">
      <formula>IF(BJ12="Dưới 30",1,0)</formula>
    </cfRule>
  </conditionalFormatting>
  <conditionalFormatting sqref="BL12:BL14">
    <cfRule type="cellIs" dxfId="367" priority="3461" stopIfTrue="1" operator="between">
      <formula>"Có hạn"</formula>
      <formula>"Có hạn"</formula>
    </cfRule>
    <cfRule type="cellIs" dxfId="366" priority="3462" stopIfTrue="1" operator="between">
      <formula>"Ko hạn"</formula>
      <formula>"Ko hạn"</formula>
    </cfRule>
  </conditionalFormatting>
  <conditionalFormatting sqref="CZ10">
    <cfRule type="expression" dxfId="365" priority="3761" stopIfTrue="1">
      <formula>12*(#REF!-CR10)+(#REF!-CP10)</formula>
    </cfRule>
  </conditionalFormatting>
  <conditionalFormatting sqref="CU10">
    <cfRule type="expression" dxfId="364" priority="3762" stopIfTrue="1">
      <formula>12*(#REF!-CN10)+(#REF!-CL10)</formula>
    </cfRule>
  </conditionalFormatting>
  <conditionalFormatting sqref="BI27:BI29">
    <cfRule type="expression" dxfId="363" priority="3414" stopIfTrue="1">
      <formula>IF(BJ27="Trên 45",1,0)</formula>
    </cfRule>
    <cfRule type="expression" dxfId="362" priority="3415" stopIfTrue="1">
      <formula>IF(BJ27="30 - 45",1,0)</formula>
    </cfRule>
    <cfRule type="expression" dxfId="361" priority="3416" stopIfTrue="1">
      <formula>IF(BJ27="Dưới 30",1,0)</formula>
    </cfRule>
  </conditionalFormatting>
  <conditionalFormatting sqref="CU27:CU30">
    <cfRule type="expression" dxfId="360" priority="3417" stopIfTrue="1">
      <formula>IF(CV27&gt;0,1,0)</formula>
    </cfRule>
    <cfRule type="expression" dxfId="359" priority="3418" stopIfTrue="1">
      <formula>IF(CV27=0,1,0)</formula>
    </cfRule>
  </conditionalFormatting>
  <conditionalFormatting sqref="CT27:CT30">
    <cfRule type="expression" dxfId="358" priority="3419" stopIfTrue="1">
      <formula>12*(#REF!-CM27)+(#REF!-CK27)</formula>
    </cfRule>
  </conditionalFormatting>
  <conditionalFormatting sqref="CY27:CY30">
    <cfRule type="expression" dxfId="357" priority="3420" stopIfTrue="1">
      <formula>12*(#REF!-CQ27)+(#REF!-CO27)</formula>
    </cfRule>
  </conditionalFormatting>
  <conditionalFormatting sqref="AV27 CX27:CX30">
    <cfRule type="expression" dxfId="356" priority="3426" stopIfTrue="1">
      <formula>IF(OR(AV27=0.36),1,0)</formula>
    </cfRule>
    <cfRule type="expression" dxfId="355" priority="3427" stopIfTrue="1">
      <formula>IF(AV27=0.34,1,0)</formula>
    </cfRule>
    <cfRule type="expression" dxfId="354" priority="3428" stopIfTrue="1">
      <formula>IF(AV27&lt;0.33,1,0)</formula>
    </cfRule>
  </conditionalFormatting>
  <conditionalFormatting sqref="DA27:DA30">
    <cfRule type="cellIs" dxfId="353" priority="3429" stopIfTrue="1" operator="between">
      <formula>"Hưu"</formula>
      <formula>"Hưu"</formula>
    </cfRule>
    <cfRule type="cellIs" dxfId="352" priority="3430" stopIfTrue="1" operator="between">
      <formula>"---"</formula>
      <formula>"---"</formula>
    </cfRule>
    <cfRule type="cellIs" dxfId="351" priority="3431" stopIfTrue="1" operator="between">
      <formula>"Quá"</formula>
      <formula>"Quá"</formula>
    </cfRule>
  </conditionalFormatting>
  <conditionalFormatting sqref="AU27 CW27:CW30">
    <cfRule type="expression" dxfId="350" priority="3432" stopIfTrue="1">
      <formula>IF(OR(AU27=5.57,AU27=6.2),1,0)</formula>
    </cfRule>
    <cfRule type="expression" dxfId="349" priority="3433" stopIfTrue="1">
      <formula>IF(OR(AU27=4,AU27=4.4),1,0)</formula>
    </cfRule>
    <cfRule type="expression" dxfId="348" priority="3434" stopIfTrue="1">
      <formula>IF(AND(AU27&gt;0.9,AU27&lt;2.34),1,0)</formula>
    </cfRule>
  </conditionalFormatting>
  <conditionalFormatting sqref="CS27:CS30">
    <cfRule type="cellIs" dxfId="347" priority="3435" stopIfTrue="1" operator="between">
      <formula>1</formula>
      <formula>1</formula>
    </cfRule>
    <cfRule type="cellIs" dxfId="346" priority="3436" stopIfTrue="1" operator="between">
      <formula>2</formula>
      <formula>2</formula>
    </cfRule>
    <cfRule type="cellIs" dxfId="345" priority="3437" stopIfTrue="1" operator="between">
      <formula>3</formula>
      <formula>3</formula>
    </cfRule>
  </conditionalFormatting>
  <conditionalFormatting sqref="CV27:CV30">
    <cfRule type="expression" dxfId="344" priority="3438" stopIfTrue="1">
      <formula>IF(CV27&gt;0,1,0)</formula>
    </cfRule>
    <cfRule type="expression" dxfId="343" priority="3439" stopIfTrue="1">
      <formula>IF(CV27&lt;1,1,0)</formula>
    </cfRule>
  </conditionalFormatting>
  <conditionalFormatting sqref="CR27:CR30">
    <cfRule type="cellIs" dxfId="342" priority="3440" stopIfTrue="1" operator="between">
      <formula>"Đến"</formula>
      <formula>"Đến"</formula>
    </cfRule>
    <cfRule type="cellIs" dxfId="341" priority="3441" stopIfTrue="1" operator="between">
      <formula>"Quá"</formula>
      <formula>"Quá"</formula>
    </cfRule>
    <cfRule type="expression" dxfId="340" priority="3442" stopIfTrue="1">
      <formula>IF(OR(CR27="Lương Sớm Hưu",CR27="Nâng Ngạch Hưu"),1,0)</formula>
    </cfRule>
  </conditionalFormatting>
  <conditionalFormatting sqref="DB27:DC30">
    <cfRule type="expression" dxfId="339" priority="3443" stopIfTrue="1">
      <formula>IF(DB27&gt;0,1,0)</formula>
    </cfRule>
  </conditionalFormatting>
  <conditionalFormatting sqref="CQ27:CQ30">
    <cfRule type="cellIs" dxfId="338" priority="3444" stopIfTrue="1" operator="between">
      <formula>"B"</formula>
      <formula>"B"</formula>
    </cfRule>
    <cfRule type="cellIs" dxfId="337" priority="3445" stopIfTrue="1" operator="between">
      <formula>"C"</formula>
      <formula>"C"</formula>
    </cfRule>
    <cfRule type="cellIs" dxfId="336" priority="3446" stopIfTrue="1" operator="between">
      <formula>"D"</formula>
      <formula>"D"</formula>
    </cfRule>
  </conditionalFormatting>
  <conditionalFormatting sqref="CP27:CP30">
    <cfRule type="cellIs" dxfId="335" priority="3447" stopIfTrue="1" operator="between">
      <formula>"công chức, viên chức"</formula>
      <formula>"công chức, viên chức"</formula>
    </cfRule>
    <cfRule type="cellIs" dxfId="334" priority="3448" stopIfTrue="1" operator="between">
      <formula>"lao động hợp đồng"</formula>
      <formula>"lao động hợp đồng"</formula>
    </cfRule>
  </conditionalFormatting>
  <conditionalFormatting sqref="CZ27:CZ30">
    <cfRule type="expression" dxfId="333" priority="3449" stopIfTrue="1">
      <formula>IF(CZ27="Nâg Ngạch sau TB",1,0)</formula>
    </cfRule>
    <cfRule type="expression" dxfId="332" priority="3450" stopIfTrue="1">
      <formula>IF(CZ27="Nâg Lươg Sớm sau TB",1,0)</formula>
    </cfRule>
    <cfRule type="expression" dxfId="331" priority="3451" stopIfTrue="1">
      <formula>IF(CZ27="Nâg PC TNVK cùng QĐ",1,0)</formula>
    </cfRule>
  </conditionalFormatting>
  <conditionalFormatting sqref="CO27:CO30">
    <cfRule type="expression" dxfId="330" priority="3452" stopIfTrue="1">
      <formula>IF(CO27=0,1,0)</formula>
    </cfRule>
    <cfRule type="expression" dxfId="329" priority="3453" stopIfTrue="1">
      <formula>IF(CO27&gt;0,1,0)</formula>
    </cfRule>
  </conditionalFormatting>
  <conditionalFormatting sqref="BJ27:BJ30">
    <cfRule type="expression" dxfId="328" priority="3421" stopIfTrue="1">
      <formula>IF(BJ27="Trên 45",1,0)</formula>
    </cfRule>
    <cfRule type="expression" dxfId="327" priority="3422" stopIfTrue="1">
      <formula>IF(BJ27="30 - 45",1,0)</formula>
    </cfRule>
    <cfRule type="expression" dxfId="326" priority="3423" stopIfTrue="1">
      <formula>IF(BJ27="Dưới 30",1,0)</formula>
    </cfRule>
  </conditionalFormatting>
  <conditionalFormatting sqref="BL27:BL30">
    <cfRule type="cellIs" dxfId="325" priority="3424" stopIfTrue="1" operator="between">
      <formula>"Có hạn"</formula>
      <formula>"Có hạn"</formula>
    </cfRule>
    <cfRule type="cellIs" dxfId="324" priority="3425" stopIfTrue="1" operator="between">
      <formula>"Ko hạn"</formula>
      <formula>"Ko hạn"</formula>
    </cfRule>
  </conditionalFormatting>
  <conditionalFormatting sqref="A28:A30">
    <cfRule type="expression" dxfId="323" priority="3454" stopIfTrue="1">
      <formula>IF(#REF!="Hưu",1,0)</formula>
    </cfRule>
    <cfRule type="expression" dxfId="322" priority="3455" stopIfTrue="1">
      <formula>IF(#REF!="Quá",1,0)</formula>
    </cfRule>
  </conditionalFormatting>
  <conditionalFormatting sqref="A27">
    <cfRule type="expression" dxfId="321" priority="3456" stopIfTrue="1">
      <formula>IF(#REF!="Hưu",1,0)</formula>
    </cfRule>
    <cfRule type="expression" dxfId="320" priority="3457" stopIfTrue="1">
      <formula>IF(#REF!="Quá",1,0)</formula>
    </cfRule>
  </conditionalFormatting>
  <conditionalFormatting sqref="BD15">
    <cfRule type="expression" dxfId="319" priority="3369" stopIfTrue="1">
      <formula>IF(BA15&gt;6,BB15,IF(BA15&lt;7,BB15-1))</formula>
    </cfRule>
  </conditionalFormatting>
  <conditionalFormatting sqref="AT15">
    <cfRule type="expression" dxfId="318" priority="3370" stopIfTrue="1">
      <formula>IF(AU15&gt;0,1,0)</formula>
    </cfRule>
    <cfRule type="expression" dxfId="317" priority="3371" stopIfTrue="1">
      <formula>IF(AU15=0,1,0)</formula>
    </cfRule>
  </conditionalFormatting>
  <conditionalFormatting sqref="BF15">
    <cfRule type="expression" dxfId="316" priority="3372" stopIfTrue="1">
      <formula>IF(BC15&gt;6,BD15,IF(BC15&lt;7,BD15-1))</formula>
    </cfRule>
  </conditionalFormatting>
  <conditionalFormatting sqref="AW15">
    <cfRule type="expression" dxfId="315" priority="3373" stopIfTrue="1">
      <formula>IF(OR(AW15=0.36),1,0)</formula>
    </cfRule>
    <cfRule type="expression" dxfId="314" priority="3374" stopIfTrue="1">
      <formula>IF(AW15=0.34,1,0)</formula>
    </cfRule>
    <cfRule type="expression" dxfId="313" priority="3375" stopIfTrue="1">
      <formula>IF(AW15&lt;0.33,1,0)</formula>
    </cfRule>
  </conditionalFormatting>
  <conditionalFormatting sqref="AZ15">
    <cfRule type="cellIs" dxfId="312" priority="3376" stopIfTrue="1" operator="between">
      <formula>"Hưu"</formula>
      <formula>"Hưu"</formula>
    </cfRule>
    <cfRule type="cellIs" dxfId="311" priority="3377" stopIfTrue="1" operator="between">
      <formula>"---"</formula>
      <formula>"---"</formula>
    </cfRule>
    <cfRule type="cellIs" dxfId="310" priority="3378" stopIfTrue="1" operator="between">
      <formula>"Quá"</formula>
      <formula>"Quá"</formula>
    </cfRule>
  </conditionalFormatting>
  <conditionalFormatting sqref="AV15">
    <cfRule type="expression" dxfId="309" priority="3379" stopIfTrue="1">
      <formula>IF(OR(AV15=5.57,AV15=6.2),1,0)</formula>
    </cfRule>
    <cfRule type="expression" dxfId="308" priority="3380" stopIfTrue="1">
      <formula>IF(OR(AV15=4,AV15=4.4),1,0)</formula>
    </cfRule>
    <cfRule type="expression" dxfId="307" priority="3381" stopIfTrue="1">
      <formula>IF(AND(AV15&gt;0.9,AV15&lt;2.34),1,0)</formula>
    </cfRule>
  </conditionalFormatting>
  <conditionalFormatting sqref="AR15">
    <cfRule type="cellIs" dxfId="306" priority="3382" stopIfTrue="1" operator="between">
      <formula>1</formula>
      <formula>1</formula>
    </cfRule>
    <cfRule type="cellIs" dxfId="305" priority="3383" stopIfTrue="1" operator="between">
      <formula>2</formula>
      <formula>2</formula>
    </cfRule>
    <cfRule type="cellIs" dxfId="304" priority="3384" stopIfTrue="1" operator="between">
      <formula>3</formula>
      <formula>3</formula>
    </cfRule>
  </conditionalFormatting>
  <conditionalFormatting sqref="AU15">
    <cfRule type="expression" dxfId="303" priority="3385" stopIfTrue="1">
      <formula>IF(AU15&gt;0,1,0)</formula>
    </cfRule>
    <cfRule type="expression" dxfId="302" priority="3386" stopIfTrue="1">
      <formula>IF(AU15&lt;1,1,0)</formula>
    </cfRule>
  </conditionalFormatting>
  <conditionalFormatting sqref="AQ15">
    <cfRule type="cellIs" dxfId="301" priority="3387" stopIfTrue="1" operator="between">
      <formula>"Đến"</formula>
      <formula>"Đến"</formula>
    </cfRule>
    <cfRule type="cellIs" dxfId="300" priority="3388" stopIfTrue="1" operator="between">
      <formula>"Quá"</formula>
      <formula>"Quá"</formula>
    </cfRule>
    <cfRule type="expression" dxfId="299" priority="3389" stopIfTrue="1">
      <formula>IF(OR(AQ15="Lương Sớm Hưu",AQ15="Nâng Ngạch Hưu"),1,0)</formula>
    </cfRule>
  </conditionalFormatting>
  <conditionalFormatting sqref="BA15:BB15 G15">
    <cfRule type="expression" dxfId="298" priority="3390" stopIfTrue="1">
      <formula>IF(G15&gt;0,1,0)</formula>
    </cfRule>
  </conditionalFormatting>
  <conditionalFormatting sqref="AP15">
    <cfRule type="cellIs" dxfId="297" priority="3391" stopIfTrue="1" operator="between">
      <formula>"B"</formula>
      <formula>"B"</formula>
    </cfRule>
    <cfRule type="cellIs" dxfId="296" priority="3392" stopIfTrue="1" operator="between">
      <formula>"C"</formula>
      <formula>"C"</formula>
    </cfRule>
    <cfRule type="cellIs" dxfId="295" priority="3393" stopIfTrue="1" operator="between">
      <formula>"D"</formula>
      <formula>"D"</formula>
    </cfRule>
  </conditionalFormatting>
  <conditionalFormatting sqref="AO15">
    <cfRule type="cellIs" dxfId="294" priority="3394" stopIfTrue="1" operator="between">
      <formula>"công chức, viên chức"</formula>
      <formula>"công chức, viên chức"</formula>
    </cfRule>
    <cfRule type="cellIs" dxfId="293" priority="3395" stopIfTrue="1" operator="between">
      <formula>"lao động hợp đồng"</formula>
      <formula>"lao động hợp đồng"</formula>
    </cfRule>
  </conditionalFormatting>
  <conditionalFormatting sqref="AY15">
    <cfRule type="expression" dxfId="292" priority="3396" stopIfTrue="1">
      <formula>IF(AY15="Nâg Ngạch sau TB",1,0)</formula>
    </cfRule>
    <cfRule type="expression" dxfId="291" priority="3397" stopIfTrue="1">
      <formula>IF(AY15="Nâg Lươg Sớm sau TB",1,0)</formula>
    </cfRule>
    <cfRule type="expression" dxfId="290" priority="3398" stopIfTrue="1">
      <formula>IF(AY15="Nâg PC TNVK cùng QĐ",1,0)</formula>
    </cfRule>
  </conditionalFormatting>
  <conditionalFormatting sqref="AN15">
    <cfRule type="expression" dxfId="289" priority="3399" stopIfTrue="1">
      <formula>IF(AN15=0,1,0)</formula>
    </cfRule>
    <cfRule type="expression" dxfId="288" priority="3400" stopIfTrue="1">
      <formula>IF(AN15&gt;0,1,0)</formula>
    </cfRule>
  </conditionalFormatting>
  <conditionalFormatting sqref="BE15">
    <cfRule type="expression" dxfId="287" priority="3401" stopIfTrue="1">
      <formula>IF(#REF!&gt;6,#REF!-6,IF(#REF!=6,12,IF(#REF!&lt;6,#REF!+6)))</formula>
    </cfRule>
  </conditionalFormatting>
  <conditionalFormatting sqref="BG15">
    <cfRule type="cellIs" dxfId="286" priority="3402" stopIfTrue="1" operator="between">
      <formula>"-"</formula>
      <formula>"-"</formula>
    </cfRule>
    <cfRule type="cellIs" dxfId="285" priority="3403" stopIfTrue="1" operator="between">
      <formula>1</formula>
      <formula>40</formula>
    </cfRule>
  </conditionalFormatting>
  <conditionalFormatting sqref="U15">
    <cfRule type="expression" dxfId="284" priority="3404" stopIfTrue="1">
      <formula>IF(U15="A0-CĐ",1,0)</formula>
    </cfRule>
    <cfRule type="expression" dxfId="283" priority="3405" stopIfTrue="1">
      <formula>IF(U15="B-TC",1,0)</formula>
    </cfRule>
    <cfRule type="expression" dxfId="282" priority="3406" stopIfTrue="1">
      <formula>IF(U15="C-NV",1,0)</formula>
    </cfRule>
  </conditionalFormatting>
  <conditionalFormatting sqref="F15">
    <cfRule type="cellIs" dxfId="281" priority="3407" stopIfTrue="1" operator="between">
      <formula>"Nam"</formula>
      <formula>"Nam"</formula>
    </cfRule>
    <cfRule type="cellIs" dxfId="280" priority="3408" stopIfTrue="1" operator="between">
      <formula>"Nữ"</formula>
      <formula>"Nữ"</formula>
    </cfRule>
  </conditionalFormatting>
  <conditionalFormatting sqref="BC15">
    <cfRule type="expression" dxfId="279" priority="3409" stopIfTrue="1">
      <formula>IF(#REF!&gt;6,#REF!-6,IF(#REF!=6,12,IF(#REF!&lt;6,#REF!+6)))</formula>
    </cfRule>
  </conditionalFormatting>
  <conditionalFormatting sqref="BI15">
    <cfRule type="expression" dxfId="278" priority="3329" stopIfTrue="1">
      <formula>IF(BJ15="Trên 45",1,0)</formula>
    </cfRule>
    <cfRule type="expression" dxfId="277" priority="3330" stopIfTrue="1">
      <formula>IF(BJ15="30 - 45",1,0)</formula>
    </cfRule>
    <cfRule type="expression" dxfId="276" priority="3331" stopIfTrue="1">
      <formula>IF(BJ15="Dưới 30",1,0)</formula>
    </cfRule>
  </conditionalFormatting>
  <conditionalFormatting sqref="CU15">
    <cfRule type="expression" dxfId="275" priority="3332" stopIfTrue="1">
      <formula>IF(CV15&gt;0,1,0)</formula>
    </cfRule>
    <cfRule type="expression" dxfId="274" priority="3333" stopIfTrue="1">
      <formula>IF(CV15=0,1,0)</formula>
    </cfRule>
  </conditionalFormatting>
  <conditionalFormatting sqref="CT15">
    <cfRule type="expression" dxfId="273" priority="3334" stopIfTrue="1">
      <formula>12*(#REF!-CM15)+(#REF!-CK15)</formula>
    </cfRule>
  </conditionalFormatting>
  <conditionalFormatting sqref="CY15">
    <cfRule type="expression" dxfId="272" priority="3335" stopIfTrue="1">
      <formula>12*(#REF!-CQ15)+(#REF!-CO15)</formula>
    </cfRule>
  </conditionalFormatting>
  <conditionalFormatting sqref="CX15">
    <cfRule type="expression" dxfId="271" priority="3341" stopIfTrue="1">
      <formula>IF(OR(CX15=0.36),1,0)</formula>
    </cfRule>
    <cfRule type="expression" dxfId="270" priority="3342" stopIfTrue="1">
      <formula>IF(CX15=0.34,1,0)</formula>
    </cfRule>
    <cfRule type="expression" dxfId="269" priority="3343" stopIfTrue="1">
      <formula>IF(CX15&lt;0.33,1,0)</formula>
    </cfRule>
  </conditionalFormatting>
  <conditionalFormatting sqref="DA15">
    <cfRule type="cellIs" dxfId="268" priority="3344" stopIfTrue="1" operator="between">
      <formula>"Hưu"</formula>
      <formula>"Hưu"</formula>
    </cfRule>
    <cfRule type="cellIs" dxfId="267" priority="3345" stopIfTrue="1" operator="between">
      <formula>"---"</formula>
      <formula>"---"</formula>
    </cfRule>
    <cfRule type="cellIs" dxfId="266" priority="3346" stopIfTrue="1" operator="between">
      <formula>"Quá"</formula>
      <formula>"Quá"</formula>
    </cfRule>
  </conditionalFormatting>
  <conditionalFormatting sqref="CW15">
    <cfRule type="expression" dxfId="265" priority="3347" stopIfTrue="1">
      <formula>IF(OR(CW15=5.57,CW15=6.2),1,0)</formula>
    </cfRule>
    <cfRule type="expression" dxfId="264" priority="3348" stopIfTrue="1">
      <formula>IF(OR(CW15=4,CW15=4.4),1,0)</formula>
    </cfRule>
    <cfRule type="expression" dxfId="263" priority="3349" stopIfTrue="1">
      <formula>IF(AND(CW15&gt;0.9,CW15&lt;2.34),1,0)</formula>
    </cfRule>
  </conditionalFormatting>
  <conditionalFormatting sqref="CS15">
    <cfRule type="cellIs" dxfId="262" priority="3350" stopIfTrue="1" operator="between">
      <formula>1</formula>
      <formula>1</formula>
    </cfRule>
    <cfRule type="cellIs" dxfId="261" priority="3351" stopIfTrue="1" operator="between">
      <formula>2</formula>
      <formula>2</formula>
    </cfRule>
    <cfRule type="cellIs" dxfId="260" priority="3352" stopIfTrue="1" operator="between">
      <formula>3</formula>
      <formula>3</formula>
    </cfRule>
  </conditionalFormatting>
  <conditionalFormatting sqref="CV15">
    <cfRule type="expression" dxfId="259" priority="3353" stopIfTrue="1">
      <formula>IF(CV15&gt;0,1,0)</formula>
    </cfRule>
    <cfRule type="expression" dxfId="258" priority="3354" stopIfTrue="1">
      <formula>IF(CV15&lt;1,1,0)</formula>
    </cfRule>
  </conditionalFormatting>
  <conditionalFormatting sqref="CR15">
    <cfRule type="cellIs" dxfId="257" priority="3355" stopIfTrue="1" operator="between">
      <formula>"Đến"</formula>
      <formula>"Đến"</formula>
    </cfRule>
    <cfRule type="cellIs" dxfId="256" priority="3356" stopIfTrue="1" operator="between">
      <formula>"Quá"</formula>
      <formula>"Quá"</formula>
    </cfRule>
    <cfRule type="expression" dxfId="255" priority="3357" stopIfTrue="1">
      <formula>IF(OR(CR15="Lương Sớm Hưu",CR15="Nâng Ngạch Hưu"),1,0)</formula>
    </cfRule>
  </conditionalFormatting>
  <conditionalFormatting sqref="DB15:DC15">
    <cfRule type="expression" dxfId="254" priority="3358" stopIfTrue="1">
      <formula>IF(DB15&gt;0,1,0)</formula>
    </cfRule>
  </conditionalFormatting>
  <conditionalFormatting sqref="CQ15">
    <cfRule type="cellIs" dxfId="253" priority="3359" stopIfTrue="1" operator="between">
      <formula>"B"</formula>
      <formula>"B"</formula>
    </cfRule>
    <cfRule type="cellIs" dxfId="252" priority="3360" stopIfTrue="1" operator="between">
      <formula>"C"</formula>
      <formula>"C"</formula>
    </cfRule>
    <cfRule type="cellIs" dxfId="251" priority="3361" stopIfTrue="1" operator="between">
      <formula>"D"</formula>
      <formula>"D"</formula>
    </cfRule>
  </conditionalFormatting>
  <conditionalFormatting sqref="CP15">
    <cfRule type="cellIs" dxfId="250" priority="3362" stopIfTrue="1" operator="between">
      <formula>"công chức, viên chức"</formula>
      <formula>"công chức, viên chức"</formula>
    </cfRule>
    <cfRule type="cellIs" dxfId="249" priority="3363" stopIfTrue="1" operator="between">
      <formula>"lao động hợp đồng"</formula>
      <formula>"lao động hợp đồng"</formula>
    </cfRule>
  </conditionalFormatting>
  <conditionalFormatting sqref="CZ15">
    <cfRule type="expression" dxfId="248" priority="3364" stopIfTrue="1">
      <formula>IF(CZ15="Nâg Ngạch sau TB",1,0)</formula>
    </cfRule>
    <cfRule type="expression" dxfId="247" priority="3365" stopIfTrue="1">
      <formula>IF(CZ15="Nâg Lươg Sớm sau TB",1,0)</formula>
    </cfRule>
    <cfRule type="expression" dxfId="246" priority="3366" stopIfTrue="1">
      <formula>IF(CZ15="Nâg PC TNVK cùng QĐ",1,0)</formula>
    </cfRule>
  </conditionalFormatting>
  <conditionalFormatting sqref="CO15">
    <cfRule type="expression" dxfId="245" priority="3367" stopIfTrue="1">
      <formula>IF(CO15=0,1,0)</formula>
    </cfRule>
    <cfRule type="expression" dxfId="244" priority="3368" stopIfTrue="1">
      <formula>IF(CO15&gt;0,1,0)</formula>
    </cfRule>
  </conditionalFormatting>
  <conditionalFormatting sqref="BJ15">
    <cfRule type="expression" dxfId="243" priority="3336" stopIfTrue="1">
      <formula>IF(BJ15="Trên 45",1,0)</formula>
    </cfRule>
    <cfRule type="expression" dxfId="242" priority="3337" stopIfTrue="1">
      <formula>IF(BJ15="30 - 45",1,0)</formula>
    </cfRule>
    <cfRule type="expression" dxfId="241" priority="3338" stopIfTrue="1">
      <formula>IF(BJ15="Dưới 30",1,0)</formula>
    </cfRule>
  </conditionalFormatting>
  <conditionalFormatting sqref="BL15">
    <cfRule type="cellIs" dxfId="240" priority="3339" stopIfTrue="1" operator="between">
      <formula>"Có hạn"</formula>
      <formula>"Có hạn"</formula>
    </cfRule>
    <cfRule type="cellIs" dxfId="239" priority="3340" stopIfTrue="1" operator="between">
      <formula>"Ko hạn"</formula>
      <formula>"Ko hạn"</formula>
    </cfRule>
  </conditionalFormatting>
  <conditionalFormatting sqref="A15">
    <cfRule type="expression" dxfId="238" priority="3410" stopIfTrue="1">
      <formula>IF(#REF!="Hưu",1,0)</formula>
    </cfRule>
    <cfRule type="expression" dxfId="237" priority="3411" stopIfTrue="1">
      <formula>IF(#REF!="Quá",1,0)</formula>
    </cfRule>
  </conditionalFormatting>
  <conditionalFormatting sqref="AX15">
    <cfRule type="expression" dxfId="236" priority="3412" stopIfTrue="1">
      <formula>12*(#REF!-AP15)+(#REF!-AN15)</formula>
    </cfRule>
  </conditionalFormatting>
  <conditionalFormatting sqref="AS15">
    <cfRule type="expression" dxfId="235" priority="3413" stopIfTrue="1">
      <formula>12*(#REF!-AK15)+(#REF!-#REF!)</formula>
    </cfRule>
  </conditionalFormatting>
  <conditionalFormatting sqref="A10">
    <cfRule type="expression" dxfId="234" priority="3765" stopIfTrue="1">
      <formula>IF(#REF!="Hưu",1,0)</formula>
    </cfRule>
    <cfRule type="expression" dxfId="233" priority="3766" stopIfTrue="1">
      <formula>IF(#REF!="Quá",1,0)</formula>
    </cfRule>
  </conditionalFormatting>
  <conditionalFormatting sqref="A12:A14">
    <cfRule type="expression" dxfId="232" priority="3769" stopIfTrue="1">
      <formula>IF(#REF!="Hưu",1,0)</formula>
    </cfRule>
    <cfRule type="expression" dxfId="231" priority="3770" stopIfTrue="1">
      <formula>IF(#REF!="Quá",1,0)</formula>
    </cfRule>
  </conditionalFormatting>
  <conditionalFormatting sqref="BI16:BI24">
    <cfRule type="expression" dxfId="61" priority="58" stopIfTrue="1">
      <formula>IF(BJ16="Trên 45",1,0)</formula>
    </cfRule>
    <cfRule type="expression" dxfId="60" priority="59" stopIfTrue="1">
      <formula>IF(BJ16="30 - 45",1,0)</formula>
    </cfRule>
    <cfRule type="expression" dxfId="59" priority="60" stopIfTrue="1">
      <formula>IF(BJ16="Dưới 30",1,0)</formula>
    </cfRule>
  </conditionalFormatting>
  <conditionalFormatting sqref="AS16:AS24 CU16:CU24">
    <cfRule type="expression" dxfId="58" priority="56" stopIfTrue="1">
      <formula>IF(AT16&gt;0,1,0)</formula>
    </cfRule>
    <cfRule type="expression" dxfId="57" priority="57" stopIfTrue="1">
      <formula>IF(AT16=0,1,0)</formula>
    </cfRule>
  </conditionalFormatting>
  <conditionalFormatting sqref="BC16:BC24">
    <cfRule type="expression" dxfId="56" priority="55" stopIfTrue="1">
      <formula>IF(AZ16&gt;6,BA16,IF(AZ16&lt;7,BA16-1))</formula>
    </cfRule>
  </conditionalFormatting>
  <conditionalFormatting sqref="BE16:BE24">
    <cfRule type="expression" dxfId="55" priority="54" stopIfTrue="1">
      <formula>IF(BB16&gt;6,BC16,IF(BB16&lt;7,BC16-1))</formula>
    </cfRule>
  </conditionalFormatting>
  <conditionalFormatting sqref="A16:A21">
    <cfRule type="expression" dxfId="54" priority="52" stopIfTrue="1">
      <formula>IF(AY19="Hưu",1,0)</formula>
    </cfRule>
    <cfRule type="expression" dxfId="53" priority="53" stopIfTrue="1">
      <formula>IF(AY19="Quá",1,0)</formula>
    </cfRule>
  </conditionalFormatting>
  <conditionalFormatting sqref="AV16:AV24 CX16:CX24">
    <cfRule type="expression" dxfId="52" priority="49" stopIfTrue="1">
      <formula>IF(OR(AV16=0.36),1,0)</formula>
    </cfRule>
    <cfRule type="expression" dxfId="51" priority="50" stopIfTrue="1">
      <formula>IF(AV16=0.34,1,0)</formula>
    </cfRule>
    <cfRule type="expression" dxfId="50" priority="51" stopIfTrue="1">
      <formula>IF(AV16&lt;0.33,1,0)</formula>
    </cfRule>
  </conditionalFormatting>
  <conditionalFormatting sqref="AY16:AY24 DA16:DA24">
    <cfRule type="cellIs" dxfId="49" priority="46" stopIfTrue="1" operator="between">
      <formula>"Hưu"</formula>
      <formula>"Hưu"</formula>
    </cfRule>
    <cfRule type="cellIs" dxfId="48" priority="47" stopIfTrue="1" operator="between">
      <formula>"---"</formula>
      <formula>"---"</formula>
    </cfRule>
    <cfRule type="cellIs" dxfId="47" priority="48" stopIfTrue="1" operator="between">
      <formula>"Quá"</formula>
      <formula>"Quá"</formula>
    </cfRule>
  </conditionalFormatting>
  <conditionalFormatting sqref="AU16:AU24 CW16:CW24">
    <cfRule type="expression" dxfId="46" priority="43" stopIfTrue="1">
      <formula>IF(OR(AU16=5.57,AU16=6.2),1,0)</formula>
    </cfRule>
    <cfRule type="expression" dxfId="45" priority="44" stopIfTrue="1">
      <formula>IF(OR(AU16=4,AU16=4.4),1,0)</formula>
    </cfRule>
    <cfRule type="expression" dxfId="44" priority="45" stopIfTrue="1">
      <formula>IF(AND(AU16&gt;0.9,AU16&lt;2.34),1,0)</formula>
    </cfRule>
  </conditionalFormatting>
  <conditionalFormatting sqref="AQ16:AQ24 CS16:CS24">
    <cfRule type="cellIs" dxfId="43" priority="40" stopIfTrue="1" operator="between">
      <formula>1</formula>
      <formula>1</formula>
    </cfRule>
    <cfRule type="cellIs" dxfId="42" priority="41" stopIfTrue="1" operator="between">
      <formula>2</formula>
      <formula>2</formula>
    </cfRule>
    <cfRule type="cellIs" dxfId="41" priority="42" stopIfTrue="1" operator="between">
      <formula>3</formula>
      <formula>3</formula>
    </cfRule>
  </conditionalFormatting>
  <conditionalFormatting sqref="AT16:AT24 CV16:CV24">
    <cfRule type="expression" dxfId="40" priority="38" stopIfTrue="1">
      <formula>IF(AT16&gt;0,1,0)</formula>
    </cfRule>
    <cfRule type="expression" dxfId="39" priority="39" stopIfTrue="1">
      <formula>IF(AT16&lt;1,1,0)</formula>
    </cfRule>
  </conditionalFormatting>
  <conditionalFormatting sqref="AP16:AP24 CR16:CR24">
    <cfRule type="cellIs" dxfId="38" priority="35" stopIfTrue="1" operator="between">
      <formula>"Đến"</formula>
      <formula>"Đến"</formula>
    </cfRule>
    <cfRule type="cellIs" dxfId="37" priority="36" stopIfTrue="1" operator="between">
      <formula>"Quá"</formula>
      <formula>"Quá"</formula>
    </cfRule>
    <cfRule type="expression" dxfId="36" priority="37" stopIfTrue="1">
      <formula>IF(OR(AP16="Lương Sớm Hưu",AP16="Nâng Ngạch Hưu"),1,0)</formula>
    </cfRule>
  </conditionalFormatting>
  <conditionalFormatting sqref="AZ16:BA24 J16:M24 F16:F24 DB16:DC24">
    <cfRule type="expression" dxfId="35" priority="34" stopIfTrue="1">
      <formula>IF(F16&gt;0,1,0)</formula>
    </cfRule>
  </conditionalFormatting>
  <conditionalFormatting sqref="AO16:AO24 CQ16:CQ24">
    <cfRule type="cellIs" dxfId="34" priority="31" stopIfTrue="1" operator="between">
      <formula>"B"</formula>
      <formula>"B"</formula>
    </cfRule>
    <cfRule type="cellIs" dxfId="33" priority="32" stopIfTrue="1" operator="between">
      <formula>"C"</formula>
      <formula>"C"</formula>
    </cfRule>
    <cfRule type="cellIs" dxfId="32" priority="33" stopIfTrue="1" operator="between">
      <formula>"D"</formula>
      <formula>"D"</formula>
    </cfRule>
  </conditionalFormatting>
  <conditionalFormatting sqref="AN16:AN24 CP16:CP24">
    <cfRule type="cellIs" dxfId="31" priority="29" stopIfTrue="1" operator="between">
      <formula>"công chức, viên chức"</formula>
      <formula>"công chức, viên chức"</formula>
    </cfRule>
    <cfRule type="cellIs" dxfId="30" priority="30" stopIfTrue="1" operator="between">
      <formula>"lao động hợp đồng"</formula>
      <formula>"lao động hợp đồng"</formula>
    </cfRule>
  </conditionalFormatting>
  <conditionalFormatting sqref="AX16:AX24 CZ16:CZ24">
    <cfRule type="expression" dxfId="29" priority="26" stopIfTrue="1">
      <formula>IF(AX16="Nâg Ngạch sau TB",1,0)</formula>
    </cfRule>
    <cfRule type="expression" dxfId="28" priority="27" stopIfTrue="1">
      <formula>IF(AX16="Nâg Lươg Sớm sau TB",1,0)</formula>
    </cfRule>
    <cfRule type="expression" dxfId="27" priority="28" stopIfTrue="1">
      <formula>IF(AX16="Nâg PC TNVK cùng QĐ",1,0)</formula>
    </cfRule>
  </conditionalFormatting>
  <conditionalFormatting sqref="AL16:AL24 CO16:CO24">
    <cfRule type="expression" dxfId="26" priority="24" stopIfTrue="1">
      <formula>IF(AL16=0,1,0)</formula>
    </cfRule>
    <cfRule type="expression" dxfId="25" priority="25" stopIfTrue="1">
      <formula>IF(AL16&gt;0,1,0)</formula>
    </cfRule>
  </conditionalFormatting>
  <conditionalFormatting sqref="BJ16:BJ24">
    <cfRule type="expression" dxfId="24" priority="21" stopIfTrue="1">
      <formula>IF(BJ16="Trên 45",1,0)</formula>
    </cfRule>
    <cfRule type="expression" dxfId="23" priority="22" stopIfTrue="1">
      <formula>IF(BJ16="30 - 45",1,0)</formula>
    </cfRule>
    <cfRule type="expression" dxfId="22" priority="23" stopIfTrue="1">
      <formula>IF(BJ16="Dưới 30",1,0)</formula>
    </cfRule>
  </conditionalFormatting>
  <conditionalFormatting sqref="BL16:BL24">
    <cfRule type="cellIs" dxfId="21" priority="19" stopIfTrue="1" operator="between">
      <formula>"Có hạn"</formula>
      <formula>"Có hạn"</formula>
    </cfRule>
    <cfRule type="cellIs" dxfId="20" priority="20" stopIfTrue="1" operator="between">
      <formula>"Ko hạn"</formula>
      <formula>"Ko hạn"</formula>
    </cfRule>
  </conditionalFormatting>
  <conditionalFormatting sqref="BD16:BD24">
    <cfRule type="expression" dxfId="19" priority="18" stopIfTrue="1">
      <formula>IF(#REF!&gt;6,#REF!-6,IF(#REF!=6,12,IF(#REF!&lt;6,#REF!+6)))</formula>
    </cfRule>
  </conditionalFormatting>
  <conditionalFormatting sqref="BF16:BF24">
    <cfRule type="cellIs" dxfId="18" priority="16" stopIfTrue="1" operator="between">
      <formula>"-"</formula>
      <formula>"-"</formula>
    </cfRule>
    <cfRule type="cellIs" dxfId="17" priority="17" stopIfTrue="1" operator="between">
      <formula>1</formula>
      <formula>40</formula>
    </cfRule>
  </conditionalFormatting>
  <conditionalFormatting sqref="P16:T24">
    <cfRule type="expression" dxfId="16" priority="13" stopIfTrue="1">
      <formula>IF(P16="A0-CĐ",1,0)</formula>
    </cfRule>
    <cfRule type="expression" dxfId="15" priority="14" stopIfTrue="1">
      <formula>IF(P16="B-TC",1,0)</formula>
    </cfRule>
    <cfRule type="expression" dxfId="14" priority="15" stopIfTrue="1">
      <formula>IF(P16="C-NV",1,0)</formula>
    </cfRule>
  </conditionalFormatting>
  <conditionalFormatting sqref="AM16:AM24">
    <cfRule type="cellIs" dxfId="13" priority="11" stopIfTrue="1" operator="between">
      <formula>"CC,VC"</formula>
      <formula>"CC,VC"</formula>
    </cfRule>
    <cfRule type="cellIs" dxfId="12" priority="12" stopIfTrue="1" operator="between">
      <formula>"LĐHĐ"</formula>
      <formula>"LĐHĐ"</formula>
    </cfRule>
  </conditionalFormatting>
  <conditionalFormatting sqref="AW16:AW24">
    <cfRule type="expression" dxfId="11" priority="10" stopIfTrue="1">
      <formula>12*(#REF!-AO16)+(#REF!-AL16)</formula>
    </cfRule>
  </conditionalFormatting>
  <conditionalFormatting sqref="CT16:CT24">
    <cfRule type="expression" dxfId="10" priority="9" stopIfTrue="1">
      <formula>12*(#REF!-CM16)+(#REF!-CK16)</formula>
    </cfRule>
  </conditionalFormatting>
  <conditionalFormatting sqref="CY16:CY24">
    <cfRule type="expression" dxfId="9" priority="8" stopIfTrue="1">
      <formula>12*(#REF!-CQ16)+(#REF!-CO16)</formula>
    </cfRule>
  </conditionalFormatting>
  <conditionalFormatting sqref="BG16:BG24">
    <cfRule type="expression" dxfId="8" priority="5" stopIfTrue="1">
      <formula>IF(AND(#REF!&gt;0,#REF!&lt;5),1,0)</formula>
    </cfRule>
    <cfRule type="expression" dxfId="7" priority="6" stopIfTrue="1">
      <formula>IF(#REF!=5,1,0)</formula>
    </cfRule>
    <cfRule type="expression" dxfId="6" priority="7" stopIfTrue="1">
      <formula>IF(#REF!&gt;5,1,0)</formula>
    </cfRule>
  </conditionalFormatting>
  <conditionalFormatting sqref="BB16:BB24">
    <cfRule type="expression" dxfId="5" priority="4" stopIfTrue="1">
      <formula>IF(#REF!&gt;6,#REF!-6,IF(#REF!=6,12,IF(#REF!&lt;6,#REF!+6)))</formula>
    </cfRule>
  </conditionalFormatting>
  <conditionalFormatting sqref="AR16:AR24">
    <cfRule type="expression" dxfId="4" priority="3" stopIfTrue="1">
      <formula>12*(#REF!-#REF!)+(#REF!-#REF!)</formula>
    </cfRule>
  </conditionalFormatting>
  <conditionalFormatting sqref="A22:A24">
    <cfRule type="expression" dxfId="3" priority="1" stopIfTrue="1">
      <formula>IF(#REF!="Hưu",1,0)</formula>
    </cfRule>
    <cfRule type="expression" dxfId="2" priority="2" stopIfTrue="1">
      <formula>IF(#REF!="Quá",1,0)</formula>
    </cfRule>
  </conditionalFormatting>
  <pageMargins left="0.45" right="0.2" top="0.25" bottom="0.2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V31"/>
  <sheetViews>
    <sheetView tabSelected="1" topLeftCell="B52" workbookViewId="0">
      <selection activeCell="BJ8" sqref="BJ8"/>
    </sheetView>
  </sheetViews>
  <sheetFormatPr defaultRowHeight="15" x14ac:dyDescent="0.25"/>
  <cols>
    <col min="1" max="1" width="9.140625" hidden="1" customWidth="1"/>
    <col min="2" max="2" width="5.5703125" customWidth="1"/>
    <col min="3" max="3" width="9.140625" hidden="1" customWidth="1"/>
    <col min="4" max="4" width="22" customWidth="1"/>
    <col min="5" max="5" width="5.140625" customWidth="1"/>
    <col min="6" max="13" width="9.140625" hidden="1" customWidth="1"/>
    <col min="14" max="14" width="12" customWidth="1"/>
    <col min="15" max="15" width="25.28515625" customWidth="1"/>
    <col min="16" max="16" width="0.140625" hidden="1" customWidth="1"/>
    <col min="17" max="18" width="9.140625" hidden="1" customWidth="1"/>
    <col min="19" max="19" width="27" customWidth="1"/>
    <col min="20" max="20" width="12.5703125" customWidth="1"/>
    <col min="21" max="45" width="9.140625" hidden="1" customWidth="1"/>
    <col min="46" max="46" width="1.85546875" hidden="1" customWidth="1"/>
    <col min="47" max="47" width="3" customWidth="1"/>
    <col min="48" max="48" width="2.42578125" customWidth="1"/>
    <col min="49" max="49" width="3.140625" customWidth="1"/>
    <col min="50" max="50" width="2.7109375" customWidth="1"/>
    <col min="51" max="51" width="3.42578125" customWidth="1"/>
    <col min="52" max="52" width="1.28515625" customWidth="1"/>
    <col min="53" max="53" width="5" customWidth="1"/>
    <col min="54" max="60" width="9.140625" hidden="1" customWidth="1"/>
    <col min="61" max="61" width="9.5703125" customWidth="1"/>
  </cols>
  <sheetData>
    <row r="1" spans="1:98" s="228" customFormat="1" ht="15.75" customHeight="1" x14ac:dyDescent="0.25">
      <c r="B1" s="369" t="s">
        <v>0</v>
      </c>
      <c r="C1" s="369"/>
      <c r="D1" s="369"/>
      <c r="E1" s="369"/>
      <c r="F1" s="369"/>
      <c r="G1" s="369"/>
      <c r="H1" s="369"/>
      <c r="I1" s="369"/>
      <c r="J1" s="369"/>
      <c r="K1" s="369"/>
      <c r="L1" s="369"/>
      <c r="M1" s="369"/>
      <c r="N1" s="369"/>
      <c r="O1" s="369" t="s">
        <v>1</v>
      </c>
      <c r="P1" s="369"/>
      <c r="Q1" s="369"/>
      <c r="R1" s="369"/>
      <c r="S1" s="369"/>
      <c r="T1" s="369"/>
      <c r="U1" s="369"/>
      <c r="V1" s="369"/>
      <c r="W1" s="369"/>
      <c r="X1" s="369"/>
      <c r="Y1" s="369"/>
      <c r="Z1" s="369"/>
      <c r="AA1" s="369"/>
      <c r="AB1" s="369"/>
      <c r="AC1" s="369"/>
      <c r="AD1" s="369"/>
      <c r="AE1" s="369"/>
      <c r="AF1" s="369"/>
      <c r="AG1" s="369"/>
      <c r="AH1" s="369"/>
      <c r="AI1" s="369"/>
      <c r="AJ1" s="369"/>
      <c r="AK1" s="369"/>
      <c r="AL1" s="369"/>
      <c r="AM1" s="369"/>
      <c r="AN1" s="369"/>
      <c r="AO1" s="369"/>
      <c r="AP1" s="369"/>
      <c r="AQ1" s="369"/>
      <c r="AR1" s="369"/>
      <c r="AS1" s="369"/>
      <c r="AT1" s="369"/>
      <c r="AU1" s="369"/>
      <c r="AV1" s="369"/>
      <c r="AW1" s="369"/>
      <c r="AX1" s="369"/>
      <c r="AY1" s="369"/>
      <c r="AZ1" s="369"/>
      <c r="BA1" s="369"/>
    </row>
    <row r="2" spans="1:98" s="228" customFormat="1" ht="17.25" customHeight="1" x14ac:dyDescent="0.25">
      <c r="B2" s="369" t="s">
        <v>2</v>
      </c>
      <c r="C2" s="369"/>
      <c r="D2" s="369"/>
      <c r="E2" s="369"/>
      <c r="F2" s="369"/>
      <c r="G2" s="369"/>
      <c r="H2" s="369"/>
      <c r="I2" s="369"/>
      <c r="J2" s="369"/>
      <c r="K2" s="369"/>
      <c r="L2" s="369"/>
      <c r="M2" s="369"/>
      <c r="N2" s="369"/>
      <c r="O2" s="370" t="s">
        <v>3</v>
      </c>
      <c r="P2" s="370"/>
      <c r="Q2" s="370"/>
      <c r="R2" s="370"/>
      <c r="S2" s="370"/>
      <c r="T2" s="370"/>
      <c r="U2" s="370"/>
      <c r="V2" s="370"/>
      <c r="W2" s="370"/>
      <c r="X2" s="370"/>
      <c r="Y2" s="370"/>
      <c r="Z2" s="370"/>
      <c r="AA2" s="370"/>
      <c r="AB2" s="370"/>
      <c r="AC2" s="370"/>
      <c r="AD2" s="370"/>
      <c r="AE2" s="370"/>
      <c r="AF2" s="370"/>
      <c r="AG2" s="370"/>
      <c r="AH2" s="370"/>
      <c r="AI2" s="370"/>
      <c r="AJ2" s="370"/>
      <c r="AK2" s="370"/>
      <c r="AL2" s="370"/>
      <c r="AM2" s="370"/>
      <c r="AN2" s="370"/>
      <c r="AO2" s="370"/>
      <c r="AP2" s="370"/>
      <c r="AQ2" s="370"/>
      <c r="AR2" s="370"/>
      <c r="AS2" s="370"/>
      <c r="AT2" s="370"/>
      <c r="AU2" s="370"/>
      <c r="AV2" s="370"/>
      <c r="AW2" s="370"/>
      <c r="AX2" s="370"/>
      <c r="AY2" s="370"/>
      <c r="AZ2" s="370"/>
      <c r="BA2" s="370"/>
    </row>
    <row r="3" spans="1:98" s="235" customFormat="1" ht="22.5" customHeight="1" x14ac:dyDescent="0.25">
      <c r="A3" s="229"/>
      <c r="B3" s="230"/>
      <c r="C3" s="229"/>
      <c r="D3" s="231"/>
      <c r="E3" s="232"/>
      <c r="F3" s="232"/>
      <c r="G3" s="232"/>
      <c r="H3" s="232"/>
      <c r="I3" s="232"/>
      <c r="J3" s="232"/>
      <c r="K3" s="232"/>
      <c r="L3" s="232"/>
      <c r="M3" s="232"/>
      <c r="N3" s="233"/>
      <c r="O3" s="358" t="s">
        <v>153</v>
      </c>
      <c r="P3" s="358"/>
      <c r="Q3" s="358"/>
      <c r="R3" s="358"/>
      <c r="S3" s="358"/>
      <c r="T3" s="358"/>
      <c r="U3" s="358"/>
      <c r="V3" s="358"/>
      <c r="W3" s="358"/>
      <c r="X3" s="358"/>
      <c r="Y3" s="358"/>
      <c r="Z3" s="358"/>
      <c r="AA3" s="358"/>
      <c r="AB3" s="358"/>
      <c r="AC3" s="358"/>
      <c r="AD3" s="358"/>
      <c r="AE3" s="358"/>
      <c r="AF3" s="358"/>
      <c r="AG3" s="358"/>
      <c r="AH3" s="358"/>
      <c r="AI3" s="358"/>
      <c r="AJ3" s="358"/>
      <c r="AK3" s="358"/>
      <c r="AL3" s="358"/>
      <c r="AM3" s="358"/>
      <c r="AN3" s="358"/>
      <c r="AO3" s="358"/>
      <c r="AP3" s="358"/>
      <c r="AQ3" s="358"/>
      <c r="AR3" s="358"/>
      <c r="AS3" s="358"/>
      <c r="AT3" s="358"/>
      <c r="AU3" s="358"/>
      <c r="AV3" s="358"/>
      <c r="AW3" s="358"/>
      <c r="AX3" s="358"/>
      <c r="AY3" s="358"/>
      <c r="AZ3" s="358"/>
      <c r="BA3" s="358"/>
      <c r="BB3" s="234"/>
      <c r="BC3" s="234"/>
      <c r="BD3" s="234"/>
      <c r="BE3" s="234"/>
      <c r="BF3" s="234"/>
      <c r="BG3" s="234"/>
      <c r="BH3" s="234"/>
    </row>
    <row r="4" spans="1:98" s="236" customFormat="1" ht="24" customHeight="1" x14ac:dyDescent="0.25">
      <c r="A4" s="231" t="s">
        <v>55</v>
      </c>
      <c r="B4" s="370" t="s">
        <v>175</v>
      </c>
      <c r="C4" s="370"/>
      <c r="D4" s="370"/>
      <c r="E4" s="370"/>
      <c r="F4" s="370"/>
      <c r="G4" s="370"/>
      <c r="H4" s="370"/>
      <c r="I4" s="370"/>
      <c r="J4" s="370"/>
      <c r="K4" s="370"/>
      <c r="L4" s="370"/>
      <c r="M4" s="370"/>
      <c r="N4" s="370"/>
      <c r="O4" s="370"/>
      <c r="P4" s="370"/>
      <c r="Q4" s="370"/>
      <c r="R4" s="370"/>
      <c r="S4" s="370"/>
      <c r="T4" s="370"/>
      <c r="U4" s="370"/>
      <c r="V4" s="370"/>
      <c r="W4" s="370"/>
      <c r="X4" s="370"/>
      <c r="Y4" s="370"/>
      <c r="Z4" s="370"/>
      <c r="AA4" s="370"/>
      <c r="AB4" s="370"/>
      <c r="AC4" s="370"/>
      <c r="AD4" s="370"/>
      <c r="AE4" s="370"/>
      <c r="AF4" s="370"/>
      <c r="AG4" s="370"/>
      <c r="AH4" s="370"/>
      <c r="AI4" s="370"/>
      <c r="AJ4" s="370"/>
      <c r="AK4" s="370"/>
      <c r="AL4" s="370"/>
      <c r="AM4" s="370"/>
      <c r="AN4" s="370"/>
      <c r="AO4" s="370"/>
      <c r="AP4" s="370"/>
      <c r="AQ4" s="370"/>
      <c r="AR4" s="370"/>
      <c r="AS4" s="370"/>
      <c r="AT4" s="370"/>
      <c r="AU4" s="370"/>
      <c r="AV4" s="370"/>
      <c r="AW4" s="370"/>
      <c r="AX4" s="370"/>
      <c r="AY4" s="370"/>
      <c r="AZ4" s="370"/>
      <c r="BA4" s="370"/>
      <c r="BB4" s="370"/>
      <c r="BC4" s="370"/>
      <c r="BD4" s="370"/>
      <c r="BE4" s="370"/>
      <c r="BF4" s="370"/>
      <c r="BG4" s="370"/>
      <c r="BH4" s="370"/>
      <c r="BI4" s="370"/>
    </row>
    <row r="5" spans="1:98" s="239" customFormat="1" ht="15" hidden="1" customHeight="1" x14ac:dyDescent="0.25">
      <c r="A5" s="230"/>
      <c r="B5" s="230"/>
      <c r="C5" s="230"/>
      <c r="D5" s="237" t="s">
        <v>56</v>
      </c>
      <c r="E5" s="238" t="e">
        <f>#REF!</f>
        <v>#REF!</v>
      </c>
      <c r="G5" s="240"/>
      <c r="H5" s="241"/>
      <c r="I5" s="242"/>
      <c r="J5" s="240"/>
      <c r="K5" s="240"/>
      <c r="L5" s="240"/>
      <c r="M5" s="240"/>
      <c r="N5" s="243" t="s">
        <v>57</v>
      </c>
      <c r="O5" s="244"/>
      <c r="P5" s="244"/>
      <c r="Q5" s="244"/>
      <c r="R5" s="244"/>
      <c r="S5" s="236"/>
      <c r="T5" s="245"/>
      <c r="U5" s="246"/>
      <c r="V5" s="246"/>
      <c r="W5" s="240"/>
      <c r="X5" s="242"/>
      <c r="Y5" s="240"/>
      <c r="Z5" s="242"/>
      <c r="AA5" s="240"/>
      <c r="AB5" s="241"/>
      <c r="AC5" s="241"/>
      <c r="AD5" s="247"/>
      <c r="AE5" s="240"/>
      <c r="AF5" s="248"/>
      <c r="AG5" s="249"/>
      <c r="AH5" s="236" t="s">
        <v>58</v>
      </c>
      <c r="AI5" s="236"/>
      <c r="AU5" s="236"/>
      <c r="AV5" s="250"/>
      <c r="AX5" s="236"/>
      <c r="BA5" s="250"/>
    </row>
    <row r="6" spans="1:98" s="236" customFormat="1" ht="1.5" hidden="1" customHeight="1" x14ac:dyDescent="0.25">
      <c r="B6" s="251" t="s">
        <v>6</v>
      </c>
      <c r="D6" s="243"/>
      <c r="N6" s="243"/>
      <c r="O6" s="243"/>
      <c r="T6" s="251"/>
    </row>
    <row r="7" spans="1:98" s="236" customFormat="1" ht="16.5" x14ac:dyDescent="0.25">
      <c r="A7" s="138"/>
      <c r="B7" s="251"/>
      <c r="D7" s="236" t="s">
        <v>59</v>
      </c>
      <c r="G7" s="252"/>
      <c r="H7" s="253"/>
      <c r="I7" s="253"/>
      <c r="J7" s="253"/>
      <c r="K7" s="253"/>
      <c r="L7" s="253"/>
      <c r="M7" s="253"/>
      <c r="N7" s="243"/>
      <c r="O7" s="254"/>
      <c r="P7" s="255"/>
      <c r="Q7" s="255"/>
      <c r="R7" s="255"/>
      <c r="T7" s="256"/>
      <c r="AF7" s="257"/>
      <c r="BA7" s="258"/>
      <c r="BB7" s="259"/>
      <c r="BH7" s="260"/>
      <c r="BJ7" s="261"/>
      <c r="BK7" s="261"/>
      <c r="BR7" s="251"/>
      <c r="BS7" s="251"/>
      <c r="BT7" s="251"/>
      <c r="BU7" s="251"/>
      <c r="BW7" s="257"/>
      <c r="BX7" s="262"/>
      <c r="BY7" s="138"/>
    </row>
    <row r="8" spans="1:98" s="236" customFormat="1" ht="16.5" x14ac:dyDescent="0.25">
      <c r="A8" s="138"/>
      <c r="B8" s="251"/>
      <c r="D8" s="250" t="s">
        <v>60</v>
      </c>
      <c r="E8" s="250"/>
      <c r="F8" s="250"/>
      <c r="G8" s="250"/>
      <c r="H8" s="250"/>
      <c r="I8" s="250"/>
      <c r="J8" s="250"/>
      <c r="K8" s="250"/>
      <c r="L8" s="250"/>
      <c r="M8" s="250"/>
      <c r="N8" s="243"/>
      <c r="O8" s="244"/>
      <c r="P8" s="250"/>
      <c r="Q8" s="250"/>
      <c r="R8" s="250"/>
      <c r="T8" s="263"/>
      <c r="U8" s="250"/>
      <c r="V8" s="250"/>
      <c r="W8" s="250"/>
      <c r="X8" s="250"/>
      <c r="Y8" s="250"/>
      <c r="Z8" s="250"/>
      <c r="AA8" s="250"/>
      <c r="AB8" s="250"/>
      <c r="AC8" s="250"/>
      <c r="AD8" s="250"/>
      <c r="AE8" s="250"/>
      <c r="AF8" s="250"/>
      <c r="AG8" s="250"/>
      <c r="AH8" s="250"/>
      <c r="AI8" s="250"/>
      <c r="AJ8" s="250"/>
      <c r="AK8" s="250"/>
      <c r="AL8" s="250"/>
      <c r="AM8" s="250"/>
      <c r="AN8" s="250"/>
      <c r="AO8" s="250"/>
      <c r="AP8" s="250"/>
      <c r="AQ8" s="250"/>
      <c r="AR8" s="250"/>
      <c r="AS8" s="250"/>
      <c r="AT8" s="250"/>
      <c r="AV8" s="250"/>
      <c r="BA8" s="258"/>
      <c r="BB8" s="259"/>
      <c r="BH8" s="260"/>
      <c r="BJ8" s="261"/>
      <c r="BK8" s="261" t="s">
        <v>55</v>
      </c>
      <c r="BR8" s="251"/>
      <c r="BS8" s="251"/>
      <c r="BT8" s="251"/>
      <c r="BU8" s="251"/>
      <c r="BW8" s="257"/>
      <c r="BX8" s="262"/>
      <c r="BY8" s="138"/>
    </row>
    <row r="9" spans="1:98" s="236" customFormat="1" ht="15" customHeight="1" x14ac:dyDescent="0.25">
      <c r="A9" s="138"/>
      <c r="B9" s="251" t="s">
        <v>6</v>
      </c>
      <c r="D9" s="250" t="s">
        <v>176</v>
      </c>
      <c r="E9" s="250"/>
      <c r="F9" s="250"/>
      <c r="G9" s="250"/>
      <c r="H9" s="250"/>
      <c r="I9" s="250"/>
      <c r="J9" s="250"/>
      <c r="K9" s="250"/>
      <c r="L9" s="250"/>
      <c r="M9" s="250"/>
      <c r="N9" s="243"/>
      <c r="O9" s="244"/>
      <c r="P9" s="250"/>
      <c r="Q9" s="250"/>
      <c r="R9" s="250"/>
      <c r="T9" s="263"/>
      <c r="U9" s="250"/>
      <c r="V9" s="250"/>
      <c r="W9" s="250"/>
      <c r="X9" s="250"/>
      <c r="Y9" s="250"/>
      <c r="Z9" s="250"/>
      <c r="AA9" s="250"/>
      <c r="AB9" s="250"/>
      <c r="AC9" s="250"/>
      <c r="AD9" s="250"/>
      <c r="AE9" s="250"/>
      <c r="AF9" s="250"/>
      <c r="AG9" s="250"/>
      <c r="AH9" s="250"/>
      <c r="AI9" s="250"/>
      <c r="AJ9" s="250"/>
      <c r="AK9" s="250"/>
      <c r="AL9" s="250"/>
      <c r="AM9" s="250"/>
      <c r="AN9" s="250"/>
      <c r="AO9" s="250"/>
      <c r="AP9" s="250"/>
      <c r="AQ9" s="250"/>
      <c r="AR9" s="250"/>
      <c r="AS9" s="250"/>
      <c r="AT9" s="250"/>
      <c r="AV9" s="250"/>
      <c r="BA9" s="258"/>
      <c r="BB9" s="259"/>
      <c r="BH9" s="260"/>
      <c r="BJ9" s="261"/>
      <c r="BK9" s="261"/>
      <c r="BR9" s="251"/>
      <c r="BS9" s="251"/>
      <c r="BT9" s="251"/>
      <c r="BU9" s="251"/>
      <c r="BW9" s="257"/>
      <c r="BX9" s="262"/>
      <c r="BY9" s="138"/>
    </row>
    <row r="10" spans="1:98" s="239" customFormat="1" ht="16.5" x14ac:dyDescent="0.25">
      <c r="A10" s="229"/>
      <c r="B10" s="230"/>
      <c r="C10" s="229"/>
      <c r="D10" s="250" t="s">
        <v>178</v>
      </c>
      <c r="E10" s="250"/>
      <c r="F10" s="250"/>
      <c r="G10" s="250"/>
      <c r="H10" s="250"/>
      <c r="I10" s="250"/>
      <c r="J10" s="250"/>
      <c r="K10" s="250"/>
      <c r="L10" s="250"/>
      <c r="M10" s="250"/>
      <c r="N10" s="243"/>
      <c r="O10" s="244"/>
      <c r="P10" s="250"/>
      <c r="Q10" s="250"/>
      <c r="R10" s="250"/>
      <c r="S10" s="236"/>
      <c r="T10" s="263"/>
      <c r="U10" s="250"/>
      <c r="V10" s="250"/>
      <c r="W10" s="250"/>
      <c r="X10" s="250"/>
      <c r="Y10" s="250"/>
      <c r="Z10" s="250"/>
      <c r="AA10" s="250"/>
      <c r="AB10" s="250"/>
      <c r="AC10" s="250"/>
      <c r="AD10" s="250"/>
      <c r="AE10" s="250"/>
      <c r="AF10" s="250"/>
      <c r="AG10" s="250"/>
      <c r="AH10" s="250"/>
      <c r="AI10" s="250"/>
      <c r="AJ10" s="250"/>
      <c r="AK10" s="250"/>
      <c r="AL10" s="250"/>
      <c r="AM10" s="250"/>
      <c r="AN10" s="250"/>
      <c r="AO10" s="250"/>
      <c r="AP10" s="250"/>
      <c r="AQ10" s="250"/>
      <c r="AR10" s="250"/>
      <c r="AS10" s="250"/>
      <c r="AT10" s="250"/>
      <c r="AU10" s="236"/>
      <c r="AV10" s="250"/>
      <c r="AW10" s="236"/>
      <c r="AX10" s="236"/>
      <c r="BA10" s="250"/>
    </row>
    <row r="11" spans="1:98" s="242" customFormat="1" ht="12.75" customHeight="1" x14ac:dyDescent="0.25">
      <c r="A11" s="229"/>
      <c r="B11" s="230"/>
      <c r="C11" s="229"/>
      <c r="D11" s="264" t="s">
        <v>61</v>
      </c>
      <c r="E11" s="265">
        <v>8</v>
      </c>
      <c r="I11" s="266"/>
      <c r="J11" s="267"/>
      <c r="K11" s="267"/>
      <c r="L11" s="267"/>
      <c r="M11" s="267"/>
      <c r="N11" s="243"/>
      <c r="O11" s="268"/>
      <c r="P11" s="241"/>
      <c r="Q11" s="241"/>
      <c r="R11" s="241"/>
      <c r="S11" s="236"/>
      <c r="T11" s="240"/>
      <c r="W11" s="241"/>
      <c r="Y11" s="241"/>
      <c r="AA11" s="241"/>
      <c r="AB11" s="241"/>
      <c r="AC11" s="241"/>
      <c r="AD11" s="269"/>
      <c r="AE11" s="240"/>
      <c r="AF11" s="228"/>
      <c r="AH11" s="228"/>
      <c r="AI11" s="228"/>
      <c r="AJ11" s="267"/>
      <c r="AK11" s="267"/>
      <c r="AU11" s="236"/>
      <c r="AV11" s="241"/>
      <c r="AX11" s="232"/>
      <c r="BA11" s="241"/>
    </row>
    <row r="12" spans="1:98" s="239" customFormat="1" ht="6.75" hidden="1" customHeight="1" x14ac:dyDescent="0.25">
      <c r="A12" s="229"/>
      <c r="B12" s="230"/>
      <c r="C12" s="229"/>
      <c r="D12" s="243"/>
      <c r="E12" s="240"/>
      <c r="F12" s="242"/>
      <c r="G12" s="242"/>
      <c r="H12" s="242"/>
      <c r="I12" s="266"/>
      <c r="J12" s="267"/>
      <c r="K12" s="267"/>
      <c r="L12" s="267"/>
      <c r="M12" s="267"/>
      <c r="N12" s="243"/>
      <c r="O12" s="268"/>
      <c r="P12" s="241"/>
      <c r="Q12" s="241"/>
      <c r="R12" s="241"/>
      <c r="S12" s="236"/>
      <c r="T12" s="240"/>
      <c r="U12" s="242"/>
      <c r="V12" s="242"/>
      <c r="W12" s="241"/>
      <c r="X12" s="242"/>
      <c r="Y12" s="241"/>
      <c r="Z12" s="242"/>
      <c r="AA12" s="241"/>
      <c r="AB12" s="241"/>
      <c r="AC12" s="241"/>
      <c r="AD12" s="269"/>
      <c r="AE12" s="240"/>
      <c r="AF12" s="236"/>
      <c r="AH12" s="236"/>
      <c r="AI12" s="236"/>
      <c r="AJ12" s="267"/>
      <c r="AK12" s="267"/>
      <c r="AU12" s="236"/>
      <c r="AV12" s="250"/>
      <c r="AX12" s="236"/>
      <c r="BA12" s="250"/>
    </row>
    <row r="13" spans="1:98" s="271" customFormat="1" ht="33" customHeight="1" x14ac:dyDescent="0.25">
      <c r="A13" s="236" t="s">
        <v>12</v>
      </c>
      <c r="B13" s="368" t="s">
        <v>12</v>
      </c>
      <c r="C13" s="350"/>
      <c r="D13" s="368" t="s">
        <v>62</v>
      </c>
      <c r="E13" s="368" t="s">
        <v>92</v>
      </c>
      <c r="F13" s="350" t="s">
        <v>63</v>
      </c>
      <c r="G13" s="350"/>
      <c r="H13" s="350"/>
      <c r="I13" s="350"/>
      <c r="J13" s="350"/>
      <c r="K13" s="350"/>
      <c r="L13" s="350"/>
      <c r="M13" s="350"/>
      <c r="N13" s="368" t="s">
        <v>64</v>
      </c>
      <c r="O13" s="368"/>
      <c r="P13" s="350"/>
      <c r="Q13" s="350"/>
      <c r="R13" s="368" t="s">
        <v>65</v>
      </c>
      <c r="S13" s="368"/>
      <c r="T13" s="368"/>
      <c r="U13" s="368" t="s">
        <v>18</v>
      </c>
      <c r="V13" s="270"/>
      <c r="W13" s="270"/>
      <c r="X13" s="350" t="s">
        <v>66</v>
      </c>
      <c r="Y13" s="350"/>
      <c r="Z13" s="350"/>
      <c r="AA13" s="350"/>
      <c r="AB13" s="350"/>
      <c r="AC13" s="350"/>
      <c r="AD13" s="350"/>
      <c r="AE13" s="350" t="s">
        <v>20</v>
      </c>
      <c r="AF13" s="350"/>
      <c r="AG13" s="350"/>
      <c r="AH13" s="350"/>
      <c r="AI13" s="350"/>
      <c r="AJ13" s="350"/>
      <c r="AK13" s="350"/>
      <c r="AL13" s="350"/>
      <c r="AM13" s="350"/>
      <c r="AN13" s="350"/>
      <c r="AO13" s="350"/>
      <c r="AP13" s="350"/>
      <c r="AQ13" s="350"/>
      <c r="AR13" s="350"/>
      <c r="AS13" s="350"/>
      <c r="AT13" s="350"/>
      <c r="AU13" s="368" t="s">
        <v>67</v>
      </c>
      <c r="AV13" s="368"/>
      <c r="AW13" s="368"/>
      <c r="AX13" s="368"/>
      <c r="AY13" s="368"/>
      <c r="AZ13" s="368"/>
      <c r="BA13" s="368"/>
      <c r="BB13" s="350"/>
      <c r="BC13" s="368" t="s">
        <v>68</v>
      </c>
      <c r="BD13" s="368" t="s">
        <v>20</v>
      </c>
      <c r="BE13" s="350"/>
      <c r="BF13" s="350"/>
      <c r="BG13" s="350"/>
      <c r="BH13" s="368" t="s">
        <v>68</v>
      </c>
      <c r="BI13" s="368" t="s">
        <v>68</v>
      </c>
    </row>
    <row r="14" spans="1:98" s="236" customFormat="1" ht="27.75" customHeight="1" x14ac:dyDescent="0.25">
      <c r="B14" s="368"/>
      <c r="C14" s="350"/>
      <c r="D14" s="368"/>
      <c r="E14" s="368"/>
      <c r="F14" s="350"/>
      <c r="G14" s="350"/>
      <c r="H14" s="350"/>
      <c r="I14" s="350"/>
      <c r="J14" s="350"/>
      <c r="K14" s="350"/>
      <c r="L14" s="350"/>
      <c r="M14" s="350"/>
      <c r="N14" s="368"/>
      <c r="O14" s="368"/>
      <c r="P14" s="350"/>
      <c r="Q14" s="350"/>
      <c r="R14" s="368"/>
      <c r="S14" s="368"/>
      <c r="T14" s="368"/>
      <c r="U14" s="368"/>
      <c r="V14" s="350"/>
      <c r="W14" s="350"/>
      <c r="X14" s="350" t="s">
        <v>69</v>
      </c>
      <c r="Y14" s="350"/>
      <c r="Z14" s="350" t="s">
        <v>70</v>
      </c>
      <c r="AA14" s="350"/>
      <c r="AB14" s="350" t="s">
        <v>71</v>
      </c>
      <c r="AC14" s="350"/>
      <c r="AD14" s="350"/>
      <c r="AE14" s="350"/>
      <c r="AF14" s="350" t="s">
        <v>72</v>
      </c>
      <c r="AG14" s="350" t="s">
        <v>73</v>
      </c>
      <c r="AH14" s="272" t="s">
        <v>74</v>
      </c>
      <c r="AI14" s="350"/>
      <c r="AJ14" s="350"/>
      <c r="AK14" s="270"/>
      <c r="AL14" s="270"/>
      <c r="AM14" s="270"/>
      <c r="AN14" s="270"/>
      <c r="AO14" s="270"/>
      <c r="AP14" s="270"/>
      <c r="AQ14" s="350"/>
      <c r="AR14" s="350"/>
      <c r="AS14" s="350"/>
      <c r="AT14" s="350"/>
      <c r="AU14" s="368" t="s">
        <v>69</v>
      </c>
      <c r="AV14" s="368"/>
      <c r="AW14" s="368" t="s">
        <v>70</v>
      </c>
      <c r="AX14" s="368"/>
      <c r="AY14" s="368" t="s">
        <v>75</v>
      </c>
      <c r="AZ14" s="368"/>
      <c r="BA14" s="368"/>
      <c r="BB14" s="350"/>
      <c r="BC14" s="368"/>
      <c r="BD14" s="368"/>
      <c r="BE14" s="350"/>
      <c r="BF14" s="350"/>
      <c r="BG14" s="350"/>
      <c r="BH14" s="368"/>
      <c r="BI14" s="368"/>
    </row>
    <row r="15" spans="1:98" s="236" customFormat="1" ht="30.75" hidden="1" customHeight="1" x14ac:dyDescent="0.25">
      <c r="A15" s="236" t="s">
        <v>76</v>
      </c>
      <c r="B15" s="273"/>
      <c r="C15" s="274"/>
      <c r="D15" s="275" t="s">
        <v>77</v>
      </c>
      <c r="E15" s="274" t="s">
        <v>78</v>
      </c>
      <c r="F15" s="274"/>
      <c r="G15" s="274"/>
      <c r="H15" s="274"/>
      <c r="I15" s="274"/>
      <c r="J15" s="274"/>
      <c r="K15" s="274"/>
      <c r="L15" s="274"/>
      <c r="M15" s="274"/>
      <c r="N15" s="275" t="s">
        <v>79</v>
      </c>
      <c r="O15" s="275" t="s">
        <v>80</v>
      </c>
      <c r="P15" s="274"/>
      <c r="Q15" s="274"/>
      <c r="R15" s="274"/>
      <c r="S15" s="274"/>
      <c r="T15" s="273"/>
      <c r="U15" s="274" t="s">
        <v>81</v>
      </c>
      <c r="V15" s="274" t="s">
        <v>82</v>
      </c>
      <c r="W15" s="274"/>
      <c r="X15" s="274" t="s">
        <v>83</v>
      </c>
      <c r="Y15" s="274"/>
      <c r="Z15" s="274" t="s">
        <v>84</v>
      </c>
      <c r="AA15" s="274"/>
      <c r="AB15" s="274" t="s">
        <v>85</v>
      </c>
      <c r="AC15" s="274"/>
      <c r="AD15" s="274"/>
      <c r="AE15" s="274"/>
      <c r="AF15" s="274"/>
      <c r="AG15" s="274"/>
      <c r="AH15" s="274"/>
      <c r="AI15" s="274"/>
      <c r="AJ15" s="274"/>
      <c r="AK15" s="274"/>
      <c r="AL15" s="274"/>
      <c r="AM15" s="274"/>
      <c r="AN15" s="274"/>
      <c r="AO15" s="274"/>
      <c r="AP15" s="274"/>
      <c r="AQ15" s="274"/>
      <c r="AR15" s="274"/>
      <c r="AS15" s="274"/>
      <c r="AT15" s="274"/>
      <c r="AU15" s="274" t="s">
        <v>82</v>
      </c>
      <c r="AV15" s="274"/>
      <c r="AW15" s="274" t="s">
        <v>83</v>
      </c>
      <c r="AX15" s="274"/>
      <c r="AY15" s="274" t="s">
        <v>84</v>
      </c>
      <c r="AZ15" s="147"/>
      <c r="BA15" s="274" t="s">
        <v>85</v>
      </c>
      <c r="BB15" s="274"/>
      <c r="BC15" s="274"/>
      <c r="BD15" s="274"/>
      <c r="BE15" s="274"/>
      <c r="BF15" s="274"/>
      <c r="BG15" s="274"/>
      <c r="BH15" s="274"/>
      <c r="BI15" s="274"/>
    </row>
    <row r="16" spans="1:98" x14ac:dyDescent="0.25">
      <c r="A16" t="s">
        <v>86</v>
      </c>
      <c r="B16" s="348">
        <v>1</v>
      </c>
      <c r="C16" s="348"/>
      <c r="D16" s="348">
        <v>2</v>
      </c>
      <c r="E16" s="348">
        <v>3</v>
      </c>
      <c r="F16" s="348"/>
      <c r="G16" s="348"/>
      <c r="H16" s="348"/>
      <c r="I16" s="348"/>
      <c r="J16" s="348"/>
      <c r="K16" s="348"/>
      <c r="L16" s="348"/>
      <c r="M16" s="348"/>
      <c r="N16" s="367">
        <v>4</v>
      </c>
      <c r="O16" s="367"/>
      <c r="P16" s="348"/>
      <c r="Q16" s="348"/>
      <c r="R16" s="367">
        <v>5</v>
      </c>
      <c r="S16" s="367"/>
      <c r="T16" s="367"/>
      <c r="U16" s="348">
        <v>6</v>
      </c>
      <c r="V16" s="348">
        <v>7</v>
      </c>
      <c r="W16" s="348"/>
      <c r="X16" s="348">
        <v>8</v>
      </c>
      <c r="Y16" s="348"/>
      <c r="Z16" s="348"/>
      <c r="AA16" s="348"/>
      <c r="AB16" s="348">
        <v>9</v>
      </c>
      <c r="AC16" s="348">
        <v>10</v>
      </c>
      <c r="AD16" s="348"/>
      <c r="AE16" s="348"/>
      <c r="AF16" s="348"/>
      <c r="AG16" s="348"/>
      <c r="AH16" s="348"/>
      <c r="AI16" s="348"/>
      <c r="AJ16" s="348"/>
      <c r="AK16" s="348"/>
      <c r="AL16" s="348"/>
      <c r="AM16" s="348"/>
      <c r="AN16" s="348"/>
      <c r="AO16" s="348"/>
      <c r="AP16" s="348"/>
      <c r="AQ16" s="348"/>
      <c r="AR16" s="348"/>
      <c r="AS16" s="348"/>
      <c r="AT16" s="348"/>
      <c r="AU16" s="367">
        <v>6</v>
      </c>
      <c r="AV16" s="367"/>
      <c r="AW16" s="367">
        <v>7</v>
      </c>
      <c r="AX16" s="367"/>
      <c r="AY16" s="367">
        <v>8</v>
      </c>
      <c r="AZ16" s="367"/>
      <c r="BA16" s="367"/>
      <c r="BB16" s="348"/>
      <c r="BC16" s="348">
        <v>10</v>
      </c>
      <c r="BD16" s="348"/>
      <c r="BE16" s="348"/>
      <c r="BF16" s="348"/>
      <c r="BG16" s="348"/>
      <c r="BH16" s="348">
        <v>10</v>
      </c>
      <c r="BI16" s="348">
        <v>9</v>
      </c>
      <c r="BJ16" s="315"/>
      <c r="BK16" s="315"/>
      <c r="BL16" s="315"/>
      <c r="BM16" s="315"/>
      <c r="BN16" s="315"/>
      <c r="BO16" s="315"/>
      <c r="BP16" s="315"/>
      <c r="BQ16" s="315"/>
      <c r="BR16" s="315"/>
      <c r="BS16" s="315"/>
      <c r="BT16" s="315"/>
      <c r="BU16" s="315"/>
      <c r="BV16" s="315"/>
      <c r="BW16" s="315"/>
      <c r="BX16" s="315"/>
      <c r="BY16" s="315"/>
      <c r="BZ16" s="315"/>
      <c r="CA16" s="315"/>
      <c r="CB16" s="315"/>
      <c r="CC16" s="315"/>
      <c r="CD16" s="315"/>
      <c r="CE16" s="315"/>
      <c r="CF16" s="315"/>
      <c r="CG16" s="315"/>
      <c r="CH16" s="315"/>
      <c r="CI16" s="315"/>
      <c r="CJ16" s="315"/>
      <c r="CK16" s="315"/>
      <c r="CL16" s="315"/>
      <c r="CM16" s="315"/>
      <c r="CN16" s="315"/>
      <c r="CO16" s="315"/>
      <c r="CP16" s="315"/>
      <c r="CQ16" s="315"/>
      <c r="CR16" s="315"/>
      <c r="CS16" s="315"/>
      <c r="CT16" s="315"/>
    </row>
    <row r="17" spans="1:126" s="142" customFormat="1" ht="23.25" customHeight="1" x14ac:dyDescent="0.25">
      <c r="A17" s="152">
        <v>212</v>
      </c>
      <c r="B17" s="273">
        <v>1</v>
      </c>
      <c r="C17" s="139" t="str">
        <f t="shared" ref="C17:C24" si="0">IF(E17="Nam","Ông","Bà")</f>
        <v>Bà</v>
      </c>
      <c r="D17" s="332" t="s">
        <v>156</v>
      </c>
      <c r="E17" s="139" t="s">
        <v>32</v>
      </c>
      <c r="F17" s="276" t="s">
        <v>105</v>
      </c>
      <c r="G17" s="276" t="s">
        <v>10</v>
      </c>
      <c r="H17" s="276" t="s">
        <v>40</v>
      </c>
      <c r="I17" s="276" t="s">
        <v>10</v>
      </c>
      <c r="J17" s="139">
        <v>1961</v>
      </c>
      <c r="K17" s="139"/>
      <c r="L17" s="139"/>
      <c r="M17" s="143" t="e">
        <f>VLOOKUP(L17,'[1]- DLiêu Gốc -'!$B$2:$G$121,2,0)</f>
        <v>#N/A</v>
      </c>
      <c r="N17" s="302" t="s">
        <v>133</v>
      </c>
      <c r="O17" s="295" t="s">
        <v>134</v>
      </c>
      <c r="P17" s="165" t="str">
        <f>VLOOKUP(U17,'[1]- DLiêu Gốc -'!$B$2:$G$56,5,0)</f>
        <v>A2</v>
      </c>
      <c r="Q17" s="165" t="str">
        <f>VLOOKUP(U17,'[1]- DLiêu Gốc -'!$B$2:$G$56,6,0)</f>
        <v>A2.1</v>
      </c>
      <c r="R17" s="139" t="s">
        <v>34</v>
      </c>
      <c r="S17" s="277" t="str">
        <f t="shared" ref="S17:S24" si="1">IF(OR(U17="Kỹ thuật viên đánh máy",U17="Nhân viên đánh máy",U17="Nhân viên kỹ thuật",U17="Nhân viên văn thư",U17="Nhân viên phục vụ",U17="Lái xe cơ quan",U17="Nhân viên bảo vệ"),"Nhân viên",U17)</f>
        <v>Giảng viên chính (hạng II)</v>
      </c>
      <c r="T17" s="278" t="str">
        <f t="shared" ref="T17:T24" si="2">IF(S17="Nhân viên","01.005",V17)</f>
        <v>V.07.01.02</v>
      </c>
      <c r="U17" s="180" t="s">
        <v>45</v>
      </c>
      <c r="V17" s="141" t="str">
        <f>VLOOKUP(U17,'[1]- DLiêu Gốc -'!$B$1:$G$121,2,0)</f>
        <v>V.07.01.02</v>
      </c>
      <c r="W17" s="274" t="str">
        <f t="shared" ref="W17:W24" si="3">IF(OR(AND(AN17=36,AM17=3),AND(AN17=24,AM17=2),AND(AN17=12,AM17=1)),"Đến $",IF(OR(AND(AN17&gt;36,AM17=3),AND(AN17&gt;24,AM17=2),AND(AN17&gt;12,AM17=1)),"Dừng $","Lương"))</f>
        <v>Lương</v>
      </c>
      <c r="X17" s="274">
        <v>2</v>
      </c>
      <c r="Y17" s="274" t="str">
        <f t="shared" ref="Y17:Y22" si="4">IF(Z17&gt;0,"/")</f>
        <v>/</v>
      </c>
      <c r="Z17" s="274">
        <f t="shared" ref="Z17:Z24" si="5">IF(OR(AR17=0.18,AR17=0.2),12,IF(AR17=0.31,10,IF(AR17=0.33,9,IF(AR17=0.34,8,IF(AR17=0.36,6)))))</f>
        <v>8</v>
      </c>
      <c r="AA17" s="274">
        <f t="shared" ref="AA17:AA24" si="6">AQ17+(X17-1)*AR17</f>
        <v>4.74</v>
      </c>
      <c r="AB17" s="274">
        <f t="shared" ref="AB17:AB24" si="7">X17+1</f>
        <v>3</v>
      </c>
      <c r="AC17" s="274" t="str">
        <f t="shared" ref="AC17:AC24" si="8">IF(Z17=X17,"%",IF(Z17&gt;X17,"/"))</f>
        <v>/</v>
      </c>
      <c r="AD17" s="274">
        <f t="shared" ref="AD17:AD24" si="9">IF(AND(Z17=X17,AB17=4),5,IF(AND(Z17=X17,AB17&gt;4),AB17+1,IF(Z17&gt;X17,Z17)))</f>
        <v>8</v>
      </c>
      <c r="AE17" s="274">
        <f t="shared" ref="AE17:AE24" si="10">IF(Z17=X17,"%",IF(Z17&gt;X17,AA17+AR17))</f>
        <v>5.08</v>
      </c>
      <c r="AF17" s="274" t="s">
        <v>9</v>
      </c>
      <c r="AG17" s="274" t="s">
        <v>10</v>
      </c>
      <c r="AH17" s="274" t="s">
        <v>37</v>
      </c>
      <c r="AI17" s="274" t="s">
        <v>10</v>
      </c>
      <c r="AJ17" s="274">
        <v>2016</v>
      </c>
      <c r="AK17" s="147"/>
      <c r="AL17" s="141"/>
      <c r="AM17" s="274">
        <f t="shared" ref="AM17:AM24" si="11">IF(AND(Z17&gt;X17,OR(AR17=0.18,AR17=0.2)),2,IF(AND(Z17&gt;X17,OR(AR17=0.31,AR17=0.33,AR17=0.34,AR17=0.36)),3,IF(Z17=X17,1)))</f>
        <v>3</v>
      </c>
      <c r="AN17" s="274">
        <f t="shared" ref="AN17:AN24" si="12">12*($W$2-AJ17)+($W$4-AH17)-AO17</f>
        <v>-24194</v>
      </c>
      <c r="AO17" s="180"/>
      <c r="AP17" s="180"/>
      <c r="AQ17" s="274">
        <f>VLOOKUP(U17,'[1]- DLiêu Gốc -'!$B$1:$E$56,3,0)</f>
        <v>4.4000000000000004</v>
      </c>
      <c r="AR17" s="274">
        <f>VLOOKUP(U17,'[1]- DLiêu Gốc -'!$B$1:$E$56,4,0)</f>
        <v>0.34</v>
      </c>
      <c r="AT17" s="274" t="str">
        <f t="shared" ref="AT17:AT24" si="13">IF(AND(AU17&gt;3,BF17=12),"Đến %",IF(AND(AU17&gt;3,BF17&gt;12,BF17&lt;120),"Dừng %",IF(AND(AU17&gt;3,BF17&lt;12),"PCTN","o-o-o")))</f>
        <v>PCTN</v>
      </c>
      <c r="AU17" s="279">
        <v>16</v>
      </c>
      <c r="AV17" s="280" t="s">
        <v>38</v>
      </c>
      <c r="AW17" s="279">
        <f t="shared" ref="AW17:AW24" si="14">IF(AU17&gt;3,AU17+1,0)</f>
        <v>17</v>
      </c>
      <c r="AX17" s="281" t="s">
        <v>38</v>
      </c>
      <c r="AY17" s="282">
        <v>4</v>
      </c>
      <c r="AZ17" s="169" t="s">
        <v>10</v>
      </c>
      <c r="BA17" s="283">
        <v>2016</v>
      </c>
      <c r="BB17" s="253"/>
      <c r="BC17" s="253"/>
      <c r="BD17" s="180"/>
      <c r="BE17" s="253">
        <v>4</v>
      </c>
      <c r="BF17" s="180">
        <f t="shared" ref="BF17:BF24" si="15">IF(AU17&gt;3,(($AT$2-BA17)*12+($AT$4-AY17)-BC17),"- - -")</f>
        <v>-24196</v>
      </c>
      <c r="BG17" s="140" t="str">
        <f t="shared" ref="BG17:BG24" si="16">IF(AND(CF17="Hưu",AU17&gt;3),12-(12*(CL17-BA17)+(CK17-AY17))-BC17,"- - -")</f>
        <v>- - -</v>
      </c>
      <c r="BH17" s="253" t="str">
        <f t="shared" ref="BH17:BH24" si="17">IF(BK17="công chức","CC",IF(BK17="viên chức","VC",IF(BK17="người lao động","NLĐ","- - -")))</f>
        <v>VC</v>
      </c>
      <c r="BI17" s="139"/>
      <c r="BJ17" s="376"/>
      <c r="BK17" s="376" t="s">
        <v>93</v>
      </c>
      <c r="BL17" s="331" t="str">
        <f t="shared" ref="BL17:BL24" si="18">IF(O17="Cơ sở Học viện Hành chính khu vực miền Trung","B",IF(O17="Phân viện Khu vực Tây Nguyên","C",IF(O17="Cơ sở Học viện Hành chính tại thành phố Hồ Chí Minh","D","A")))</f>
        <v>A</v>
      </c>
      <c r="BM17" s="377" t="str">
        <f t="shared" ref="BM17:BM24" si="19">IF(AND(AB17&gt;0,X17&lt;(Z17-1),BN17&gt;0,BN17&lt;13,OR(AND(BT17="Cùg Ng",($BM$2-BP17)&gt;AM17),BT17="- - -")),"Sớm TT","=&gt; s")</f>
        <v>=&gt; s</v>
      </c>
      <c r="BN17" s="331">
        <f t="shared" ref="BN17:BN24" si="20">IF(AM17=3,36-(12*($BM$2-AJ17)+(12-AH17)-AO17),IF(AM17=2,24-(12*($BM$2-AJ17)+(12-AH17)-AO17),"---"))</f>
        <v>24218</v>
      </c>
      <c r="BO17" s="376" t="str">
        <f t="shared" ref="BO17:BO24" si="21">IF(BP17&gt;1,"S","---")</f>
        <v>S</v>
      </c>
      <c r="BP17" s="331">
        <v>2013</v>
      </c>
      <c r="BQ17" s="378" t="s">
        <v>97</v>
      </c>
      <c r="BR17" s="378"/>
      <c r="BS17" s="379"/>
      <c r="BT17" s="380" t="str">
        <f t="shared" ref="BT17:BT24" si="22">IF(T17=BQ17,"Cùg Ng","- - -")</f>
        <v>Cùg Ng</v>
      </c>
      <c r="BU17" s="380" t="str">
        <f t="shared" ref="BU17:BU24" si="23">IF(BW17&gt;2000,"NN","- - -")</f>
        <v>NN</v>
      </c>
      <c r="BV17" s="380">
        <v>1</v>
      </c>
      <c r="BW17" s="380" t="s">
        <v>31</v>
      </c>
      <c r="BX17" s="380"/>
      <c r="BY17" s="380"/>
      <c r="BZ17" s="378" t="str">
        <f t="shared" ref="BZ17:BZ24" si="24">IF(CB17&gt;2000,"CN","- - -")</f>
        <v>- - -</v>
      </c>
      <c r="CA17" s="331"/>
      <c r="CB17" s="331"/>
      <c r="CC17" s="381"/>
      <c r="CD17" s="381"/>
      <c r="CE17" s="380" t="str">
        <f t="shared" ref="CE17:CE24" si="25">IF(AND(CF17="Hưu",X17&lt;(Z17-1),CM17&gt;0,CM17&lt;18,OR(AU17&lt;4,AND(AU17&gt;3,OR(BG17&lt;3,BG17&gt;5)))),"Lg Sớm",IF(AND(CF17="Hưu",X17&gt;(Z17-2),OR(AR17=0.33,AR17=0.34),OR(AU17&lt;4,AND(AU17&gt;3,OR(BG17&lt;3,BG17&gt;5)))),"Nâng Ngạch",IF(AND(CF17="Hưu",AM17=1,CM17&gt;2,CM17&lt;6,OR(AU17&lt;4,AND(AU17&gt;3,OR(BG17&lt;3,BG17&gt;5)))),"Nâng PcVK cùng QĐ",IF(AND(CF17="Hưu",AU17&gt;3,BG17&gt;2,BG17&lt;6,X17&lt;(Z17-1),CM17&gt;17,OR(AM17&gt;1,AND(AM17=1,OR(CM17&lt;3,CM17&gt;5)))),"Nâng PcNG cùng QĐ",IF(AND(CF17="Hưu",X17&lt;(Z17-1),CM17&gt;0,CM17&lt;18,AU17&gt;3,BG17&gt;2,BG17&lt;6),"Nâng Lg Sớm +(PcNG cùng QĐ)",IF(AND(CF17="Hưu",X17&gt;(Z17-2),OR(AR17=0.33,AR17=0.34),AU17&gt;3,BG17&gt;2,BG17&lt;6),"Nâng Ngạch +(PcNG cùng QĐ)",IF(AND(CF17="Hưu",AM17=1,CM17&gt;2,CM17&lt;6,AU17&gt;3,BG17&gt;2,BG17&lt;6),"Nâng (PcVK +PcNG) cùng QĐ",("---"))))))))</f>
        <v>---</v>
      </c>
      <c r="CF17" s="331" t="str">
        <f t="shared" ref="CF17:CF24" si="26">IF(AND(CQ17&gt;CP17,CQ17&lt;(CP17+13)),"Hưu",IF(AND(CQ17&gt;(CP17+12),CQ17&lt;1000),"Quá","/-/ /-/"))</f>
        <v>/-/ /-/</v>
      </c>
      <c r="CG17" s="331">
        <f t="shared" ref="CG17:CG24" si="27">IF((H17+0)&lt;12,(H17+0)+1,IF((H17+0)=12,1,IF((H17+0)&gt;12,(H17+0)-12)))</f>
        <v>12</v>
      </c>
      <c r="CH17" s="331">
        <f t="shared" ref="CH17:CH24" si="28">IF(OR((H17+0)=12,(H17+0)&gt;12),J17+CP17/12+1,IF(AND((H17+0)&gt;0,(H17+0)&lt;12),J17+CP17/12,"---"))</f>
        <v>2016</v>
      </c>
      <c r="CI17" s="380">
        <f t="shared" ref="CI17:CI24" si="29">IF(AND(CG17&gt;3,CG17&lt;13),CG17-3,IF(CG17&lt;4,CG17-3+12))</f>
        <v>9</v>
      </c>
      <c r="CJ17" s="380">
        <f t="shared" ref="CJ17:CJ24" si="30">IF(CI17&lt;CG17,CH17,IF(CI17&gt;CG17,CH17-1))</f>
        <v>2016</v>
      </c>
      <c r="CK17" s="376">
        <f t="shared" ref="CK17:CK24" si="31">IF(CG17&gt;6,CG17-6,IF(CG17=6,12,IF(CG17&lt;6,CG17+6)))</f>
        <v>6</v>
      </c>
      <c r="CL17" s="331">
        <f t="shared" ref="CL17:CL24" si="32">IF(CG17&gt;6,CH17,IF(CG17&lt;7,CH17-1))</f>
        <v>2016</v>
      </c>
      <c r="CM17" s="331" t="str">
        <f t="shared" ref="CM17:CM24" si="33">IF(AND(CF17="Hưu",AM17=3),36+AO17-(12*(CL17-AJ17)+(CK17-AH17)),IF(AND(CF17="Hưu",AM17=2),24+AO17-(12*(CL17-AJ17)+(CK17-AH17)),IF(AND(CF17="Hưu",AM17=1),12+AO17-(12*(CL17-AJ17)+(CK17-AH17)),"- - -")))</f>
        <v>- - -</v>
      </c>
      <c r="CN17" s="331" t="str">
        <f t="shared" ref="CN17:CN24" si="34">IF(CO17&gt;0,"K.Dài",". .")</f>
        <v>. .</v>
      </c>
      <c r="CO17" s="331"/>
      <c r="CP17" s="377">
        <f t="shared" ref="CP17:CP24" si="35">IF(E17="Nam",(60+CO17)*12,IF(E17="Nữ",(55+CO17)*12,))</f>
        <v>660</v>
      </c>
      <c r="CQ17" s="375">
        <f t="shared" ref="CQ17:CQ24" si="36">12*($CF$4-J17)+(12-H17)</f>
        <v>-23531</v>
      </c>
      <c r="CR17" s="372">
        <f t="shared" ref="CR17:CR24" si="37">$CV$4-J17</f>
        <v>-1961</v>
      </c>
      <c r="CS17" s="373" t="str">
        <f t="shared" ref="CS17:CS24" si="38">IF(AND(CR17&lt;35,E17="Nam"),"Nam dưới 35",IF(AND(CR17&lt;30,E17="Nữ"),"Nữ dưới 30",IF(AND(CR17&gt;34,CR17&lt;46,E17="Nam"),"Nam từ 35 - 45",IF(AND(CR17&gt;29,CR17&lt;41,E17="Nữ"),"Nữ từ 30 - 40",IF(AND(CR17&gt;45,CR17&lt;56,E17="Nam"),"Nam trên 45 - 55",IF(AND(CR17&gt;40,CR17&lt;51,E17="Nữ"),"Nữ trên 40 - 50",IF(AND(CR17&gt;55,E17="Nam"),"Nam trên 55","Nữ trên 50")))))))</f>
        <v>Nữ dưới 30</v>
      </c>
      <c r="CT17" s="374"/>
      <c r="CU17" s="374"/>
      <c r="CV17" s="374" t="str">
        <f t="shared" ref="CV17:CV24" si="39">IF(CR17&lt;31,"Đến 30",IF(AND(CR17&gt;30,CR17&lt;46),"31 - 45",IF(AND(CR17&gt;45,CR17&lt;70),"Trên 45")))</f>
        <v>Đến 30</v>
      </c>
      <c r="CW17" s="374" t="str">
        <f t="shared" ref="CW17:CW24" si="40">IF(CX17&gt;0,"TD","--")</f>
        <v>--</v>
      </c>
      <c r="CX17" s="374"/>
      <c r="CY17" s="374"/>
      <c r="CZ17" s="374"/>
      <c r="DA17" s="374"/>
      <c r="DB17" s="374"/>
      <c r="DC17" s="374"/>
      <c r="DD17" s="374"/>
      <c r="DE17" s="374"/>
      <c r="DF17" s="374"/>
      <c r="DG17" s="374" t="s">
        <v>133</v>
      </c>
      <c r="DH17" s="374" t="s">
        <v>9</v>
      </c>
      <c r="DI17" s="374" t="s">
        <v>10</v>
      </c>
      <c r="DJ17" s="374" t="s">
        <v>37</v>
      </c>
      <c r="DK17" s="374" t="s">
        <v>10</v>
      </c>
      <c r="DL17" s="374">
        <v>2013</v>
      </c>
      <c r="DM17" s="374">
        <f t="shared" ref="DM17:DM24" si="41">(DH17+0)-(DO17+0)</f>
        <v>0</v>
      </c>
      <c r="DN17" s="374" t="str">
        <f t="shared" ref="DN17:DN24" si="42">IF(DM17&gt;0,"Sửa","- - -")</f>
        <v>- - -</v>
      </c>
      <c r="DO17" s="374" t="s">
        <v>9</v>
      </c>
      <c r="DP17" s="374" t="s">
        <v>10</v>
      </c>
      <c r="DQ17" s="374" t="s">
        <v>37</v>
      </c>
      <c r="DR17" s="374" t="s">
        <v>10</v>
      </c>
      <c r="DS17" s="374">
        <v>2013</v>
      </c>
      <c r="DT17" s="374">
        <v>3.66</v>
      </c>
      <c r="DU17" s="142" t="str">
        <f t="shared" ref="DU17:DU24" si="43">IF(AND(AR17&gt;0.34,AB17=1,OR(AQ17=6.2,AQ17=5.75)),((AQ17-DT17)-2*0.34),IF(AND(AR17&gt;0.33,AB17=1,OR(AQ17=4.4,AQ17=4)),((AQ17-DT17)-2*0.33),"- - -"))</f>
        <v>- - -</v>
      </c>
      <c r="DV17" s="142" t="str">
        <f t="shared" ref="DV17:DV24" si="44">IF(CF17="Hưu",12*(CL17-AJ17)+(CK17-AH17),"---")</f>
        <v>---</v>
      </c>
    </row>
    <row r="18" spans="1:126" s="142" customFormat="1" ht="23.25" customHeight="1" x14ac:dyDescent="0.25">
      <c r="A18" s="152">
        <v>214</v>
      </c>
      <c r="B18" s="273">
        <v>2</v>
      </c>
      <c r="C18" s="139" t="str">
        <f t="shared" si="0"/>
        <v>Bà</v>
      </c>
      <c r="D18" s="332" t="s">
        <v>157</v>
      </c>
      <c r="E18" s="139" t="s">
        <v>32</v>
      </c>
      <c r="F18" s="276" t="s">
        <v>104</v>
      </c>
      <c r="G18" s="276" t="s">
        <v>10</v>
      </c>
      <c r="H18" s="276" t="s">
        <v>113</v>
      </c>
      <c r="I18" s="276" t="s">
        <v>10</v>
      </c>
      <c r="J18" s="139" t="s">
        <v>158</v>
      </c>
      <c r="K18" s="139"/>
      <c r="L18" s="139"/>
      <c r="M18" s="143" t="e">
        <f>VLOOKUP(L18,'[1]- DLiêu Gốc -'!$B$2:$G$121,2,0)</f>
        <v>#N/A</v>
      </c>
      <c r="N18" s="302" t="s">
        <v>133</v>
      </c>
      <c r="O18" s="295" t="s">
        <v>134</v>
      </c>
      <c r="P18" s="165" t="str">
        <f>VLOOKUP(U18,'[1]- DLiêu Gốc -'!$B$2:$G$56,5,0)</f>
        <v>A2</v>
      </c>
      <c r="Q18" s="165" t="str">
        <f>VLOOKUP(U18,'[1]- DLiêu Gốc -'!$B$2:$G$56,6,0)</f>
        <v>A2.1</v>
      </c>
      <c r="R18" s="139" t="s">
        <v>34</v>
      </c>
      <c r="S18" s="277" t="str">
        <f t="shared" si="1"/>
        <v>Giảng viên chính (hạng II)</v>
      </c>
      <c r="T18" s="278" t="str">
        <f t="shared" si="2"/>
        <v>V.07.01.02</v>
      </c>
      <c r="U18" s="180" t="s">
        <v>45</v>
      </c>
      <c r="V18" s="141" t="str">
        <f>VLOOKUP(U18,'[1]- DLiêu Gốc -'!$B$1:$G$121,2,0)</f>
        <v>V.07.01.02</v>
      </c>
      <c r="W18" s="274" t="str">
        <f t="shared" si="3"/>
        <v>Lương</v>
      </c>
      <c r="X18" s="274">
        <v>3</v>
      </c>
      <c r="Y18" s="274" t="str">
        <f t="shared" si="4"/>
        <v>/</v>
      </c>
      <c r="Z18" s="274">
        <f t="shared" si="5"/>
        <v>8</v>
      </c>
      <c r="AA18" s="274">
        <f t="shared" si="6"/>
        <v>5.08</v>
      </c>
      <c r="AB18" s="274">
        <f t="shared" si="7"/>
        <v>4</v>
      </c>
      <c r="AC18" s="274" t="str">
        <f t="shared" si="8"/>
        <v>/</v>
      </c>
      <c r="AD18" s="274">
        <f t="shared" si="9"/>
        <v>8</v>
      </c>
      <c r="AE18" s="274">
        <f t="shared" si="10"/>
        <v>5.42</v>
      </c>
      <c r="AF18" s="274" t="s">
        <v>9</v>
      </c>
      <c r="AG18" s="274"/>
      <c r="AH18" s="274" t="s">
        <v>109</v>
      </c>
      <c r="AI18" s="274"/>
      <c r="AJ18" s="274">
        <v>2014</v>
      </c>
      <c r="AK18" s="147"/>
      <c r="AL18" s="141">
        <v>4</v>
      </c>
      <c r="AM18" s="274">
        <f t="shared" si="11"/>
        <v>3</v>
      </c>
      <c r="AN18" s="274">
        <f t="shared" si="12"/>
        <v>-24172</v>
      </c>
      <c r="AO18" s="180"/>
      <c r="AP18" s="180"/>
      <c r="AQ18" s="274">
        <f>VLOOKUP(U18,'[1]- DLiêu Gốc -'!$B$1:$E$56,3,0)</f>
        <v>4.4000000000000004</v>
      </c>
      <c r="AR18" s="274">
        <f>VLOOKUP(U18,'[1]- DLiêu Gốc -'!$B$1:$E$56,4,0)</f>
        <v>0.34</v>
      </c>
      <c r="AT18" s="274" t="str">
        <f t="shared" si="13"/>
        <v>PCTN</v>
      </c>
      <c r="AU18" s="279">
        <v>15</v>
      </c>
      <c r="AV18" s="280" t="s">
        <v>38</v>
      </c>
      <c r="AW18" s="279">
        <f t="shared" si="14"/>
        <v>16</v>
      </c>
      <c r="AX18" s="281" t="s">
        <v>38</v>
      </c>
      <c r="AY18" s="282">
        <v>4</v>
      </c>
      <c r="AZ18" s="169" t="s">
        <v>10</v>
      </c>
      <c r="BA18" s="283">
        <v>2016</v>
      </c>
      <c r="BB18" s="253"/>
      <c r="BC18" s="253"/>
      <c r="BD18" s="180"/>
      <c r="BE18" s="253">
        <v>4</v>
      </c>
      <c r="BF18" s="180">
        <f t="shared" si="15"/>
        <v>-24196</v>
      </c>
      <c r="BG18" s="140" t="str">
        <f t="shared" si="16"/>
        <v>- - -</v>
      </c>
      <c r="BH18" s="253" t="str">
        <f t="shared" si="17"/>
        <v>VC</v>
      </c>
      <c r="BI18" s="139"/>
      <c r="BJ18" s="376"/>
      <c r="BK18" s="376" t="s">
        <v>93</v>
      </c>
      <c r="BL18" s="331" t="str">
        <f t="shared" si="18"/>
        <v>A</v>
      </c>
      <c r="BM18" s="377" t="str">
        <f t="shared" si="19"/>
        <v>=&gt; s</v>
      </c>
      <c r="BN18" s="331">
        <f t="shared" si="20"/>
        <v>24196</v>
      </c>
      <c r="BO18" s="376" t="str">
        <f t="shared" si="21"/>
        <v>S</v>
      </c>
      <c r="BP18" s="331">
        <v>2014</v>
      </c>
      <c r="BQ18" s="378"/>
      <c r="BR18" s="378"/>
      <c r="BS18" s="379"/>
      <c r="BT18" s="380" t="str">
        <f t="shared" si="22"/>
        <v>- - -</v>
      </c>
      <c r="BU18" s="380" t="str">
        <f t="shared" si="23"/>
        <v>NN</v>
      </c>
      <c r="BV18" s="380">
        <v>1</v>
      </c>
      <c r="BW18" s="380">
        <v>2009</v>
      </c>
      <c r="BX18" s="380"/>
      <c r="BY18" s="380"/>
      <c r="BZ18" s="378" t="str">
        <f t="shared" si="24"/>
        <v>- - -</v>
      </c>
      <c r="CA18" s="331"/>
      <c r="CB18" s="331"/>
      <c r="CC18" s="381"/>
      <c r="CD18" s="381"/>
      <c r="CE18" s="380" t="str">
        <f t="shared" si="25"/>
        <v>---</v>
      </c>
      <c r="CF18" s="331" t="str">
        <f t="shared" si="26"/>
        <v>/-/ /-/</v>
      </c>
      <c r="CG18" s="331">
        <f t="shared" si="27"/>
        <v>7</v>
      </c>
      <c r="CH18" s="331">
        <f t="shared" si="28"/>
        <v>2017</v>
      </c>
      <c r="CI18" s="380">
        <f t="shared" si="29"/>
        <v>4</v>
      </c>
      <c r="CJ18" s="380">
        <f t="shared" si="30"/>
        <v>2017</v>
      </c>
      <c r="CK18" s="376">
        <f t="shared" si="31"/>
        <v>1</v>
      </c>
      <c r="CL18" s="331">
        <f t="shared" si="32"/>
        <v>2017</v>
      </c>
      <c r="CM18" s="331" t="str">
        <f t="shared" si="33"/>
        <v>- - -</v>
      </c>
      <c r="CN18" s="331" t="str">
        <f t="shared" si="34"/>
        <v>K.Dài</v>
      </c>
      <c r="CO18" s="331">
        <v>7</v>
      </c>
      <c r="CP18" s="377">
        <f t="shared" si="35"/>
        <v>744</v>
      </c>
      <c r="CQ18" s="375">
        <f t="shared" si="36"/>
        <v>-23454</v>
      </c>
      <c r="CR18" s="372">
        <f t="shared" si="37"/>
        <v>-1955</v>
      </c>
      <c r="CS18" s="373" t="str">
        <f t="shared" si="38"/>
        <v>Nữ dưới 30</v>
      </c>
      <c r="CT18" s="374"/>
      <c r="CU18" s="374"/>
      <c r="CV18" s="374" t="str">
        <f t="shared" si="39"/>
        <v>Đến 30</v>
      </c>
      <c r="CW18" s="374" t="str">
        <f t="shared" si="40"/>
        <v>--</v>
      </c>
      <c r="CX18" s="374"/>
      <c r="CY18" s="374"/>
      <c r="CZ18" s="374"/>
      <c r="DA18" s="374"/>
      <c r="DB18" s="374" t="s">
        <v>107</v>
      </c>
      <c r="DC18" s="374">
        <v>6</v>
      </c>
      <c r="DD18" s="374">
        <v>2010</v>
      </c>
      <c r="DE18" s="374"/>
      <c r="DF18" s="374"/>
      <c r="DG18" s="374" t="s">
        <v>133</v>
      </c>
      <c r="DH18" s="374" t="s">
        <v>9</v>
      </c>
      <c r="DI18" s="374" t="s">
        <v>10</v>
      </c>
      <c r="DJ18" s="374" t="s">
        <v>9</v>
      </c>
      <c r="DK18" s="374" t="s">
        <v>10</v>
      </c>
      <c r="DL18" s="374" t="s">
        <v>112</v>
      </c>
      <c r="DM18" s="374">
        <f t="shared" si="41"/>
        <v>0</v>
      </c>
      <c r="DN18" s="374" t="str">
        <f t="shared" si="42"/>
        <v>- - -</v>
      </c>
      <c r="DO18" s="374" t="s">
        <v>9</v>
      </c>
      <c r="DP18" s="374" t="s">
        <v>10</v>
      </c>
      <c r="DQ18" s="374" t="s">
        <v>9</v>
      </c>
      <c r="DR18" s="374" t="s">
        <v>10</v>
      </c>
      <c r="DS18" s="374" t="s">
        <v>112</v>
      </c>
      <c r="DT18" s="374">
        <v>3.99</v>
      </c>
      <c r="DU18" s="142" t="str">
        <f t="shared" si="43"/>
        <v>- - -</v>
      </c>
      <c r="DV18" s="142" t="str">
        <f t="shared" si="44"/>
        <v>---</v>
      </c>
    </row>
    <row r="19" spans="1:126" s="142" customFormat="1" ht="30.75" customHeight="1" x14ac:dyDescent="0.25">
      <c r="A19" s="152">
        <v>257</v>
      </c>
      <c r="B19" s="273">
        <v>3</v>
      </c>
      <c r="C19" s="139" t="str">
        <f t="shared" si="0"/>
        <v>Ông</v>
      </c>
      <c r="D19" s="332" t="s">
        <v>159</v>
      </c>
      <c r="E19" s="139" t="s">
        <v>39</v>
      </c>
      <c r="F19" s="276" t="s">
        <v>100</v>
      </c>
      <c r="G19" s="276" t="s">
        <v>10</v>
      </c>
      <c r="H19" s="276" t="s">
        <v>42</v>
      </c>
      <c r="I19" s="276" t="s">
        <v>10</v>
      </c>
      <c r="J19" s="139">
        <v>1962</v>
      </c>
      <c r="K19" s="139"/>
      <c r="L19" s="139"/>
      <c r="M19" s="143" t="e">
        <f>VLOOKUP(L19,'[1]- DLiêu Gốc -'!$B$2:$G$121,2,0)</f>
        <v>#N/A</v>
      </c>
      <c r="N19" s="302" t="s">
        <v>119</v>
      </c>
      <c r="O19" s="295" t="s">
        <v>101</v>
      </c>
      <c r="P19" s="165" t="str">
        <f>VLOOKUP(U19,'[1]- DLiêu Gốc -'!$B$2:$G$56,5,0)</f>
        <v>A1</v>
      </c>
      <c r="Q19" s="165" t="str">
        <f>VLOOKUP(U19,'[1]- DLiêu Gốc -'!$B$2:$G$56,6,0)</f>
        <v>- - -</v>
      </c>
      <c r="R19" s="139" t="s">
        <v>34</v>
      </c>
      <c r="S19" s="277" t="str">
        <f t="shared" si="1"/>
        <v>Giảng viên (hạng III)</v>
      </c>
      <c r="T19" s="278" t="str">
        <f t="shared" si="2"/>
        <v>V.07.01.03</v>
      </c>
      <c r="U19" s="180" t="s">
        <v>35</v>
      </c>
      <c r="V19" s="141" t="str">
        <f>VLOOKUP(U19,'[1]- DLiêu Gốc -'!$B$1:$G$121,2,0)</f>
        <v>V.07.01.03</v>
      </c>
      <c r="W19" s="274" t="str">
        <f t="shared" si="3"/>
        <v>Lương</v>
      </c>
      <c r="X19" s="274">
        <v>5</v>
      </c>
      <c r="Y19" s="274" t="str">
        <f t="shared" si="4"/>
        <v>/</v>
      </c>
      <c r="Z19" s="274">
        <f t="shared" si="5"/>
        <v>9</v>
      </c>
      <c r="AA19" s="274">
        <f t="shared" si="6"/>
        <v>3.66</v>
      </c>
      <c r="AB19" s="274">
        <f t="shared" si="7"/>
        <v>6</v>
      </c>
      <c r="AC19" s="274" t="str">
        <f t="shared" si="8"/>
        <v>/</v>
      </c>
      <c r="AD19" s="274">
        <f t="shared" si="9"/>
        <v>9</v>
      </c>
      <c r="AE19" s="274">
        <f t="shared" si="10"/>
        <v>3.99</v>
      </c>
      <c r="AF19" s="274" t="s">
        <v>9</v>
      </c>
      <c r="AG19" s="274" t="s">
        <v>10</v>
      </c>
      <c r="AH19" s="274" t="s">
        <v>37</v>
      </c>
      <c r="AI19" s="274" t="s">
        <v>10</v>
      </c>
      <c r="AJ19" s="274">
        <v>2014</v>
      </c>
      <c r="AK19" s="147"/>
      <c r="AL19" s="141"/>
      <c r="AM19" s="274">
        <f t="shared" si="11"/>
        <v>3</v>
      </c>
      <c r="AN19" s="274">
        <f t="shared" si="12"/>
        <v>-24170</v>
      </c>
      <c r="AO19" s="180"/>
      <c r="AP19" s="180"/>
      <c r="AQ19" s="274">
        <f>VLOOKUP(U19,'[1]- DLiêu Gốc -'!$B$1:$E$56,3,0)</f>
        <v>2.34</v>
      </c>
      <c r="AR19" s="274">
        <f>VLOOKUP(U19,'[1]- DLiêu Gốc -'!$B$1:$E$56,4,0)</f>
        <v>0.33</v>
      </c>
      <c r="AT19" s="274" t="str">
        <f t="shared" si="13"/>
        <v>PCTN</v>
      </c>
      <c r="AU19" s="279">
        <v>26</v>
      </c>
      <c r="AV19" s="280" t="s">
        <v>38</v>
      </c>
      <c r="AW19" s="279">
        <f t="shared" si="14"/>
        <v>27</v>
      </c>
      <c r="AX19" s="281" t="s">
        <v>38</v>
      </c>
      <c r="AY19" s="282" t="s">
        <v>109</v>
      </c>
      <c r="AZ19" s="169" t="s">
        <v>10</v>
      </c>
      <c r="BA19" s="283">
        <v>2016</v>
      </c>
      <c r="BB19" s="253"/>
      <c r="BC19" s="253"/>
      <c r="BD19" s="180"/>
      <c r="BE19" s="253">
        <v>4</v>
      </c>
      <c r="BF19" s="180">
        <f t="shared" si="15"/>
        <v>-24196</v>
      </c>
      <c r="BG19" s="140" t="str">
        <f t="shared" si="16"/>
        <v>- - -</v>
      </c>
      <c r="BH19" s="253" t="str">
        <f t="shared" si="17"/>
        <v>VC</v>
      </c>
      <c r="BI19" s="139"/>
      <c r="BJ19" s="376"/>
      <c r="BK19" s="376" t="s">
        <v>93</v>
      </c>
      <c r="BL19" s="331" t="str">
        <f t="shared" si="18"/>
        <v>A</v>
      </c>
      <c r="BM19" s="377" t="str">
        <f t="shared" si="19"/>
        <v>=&gt; s</v>
      </c>
      <c r="BN19" s="331">
        <f t="shared" si="20"/>
        <v>24194</v>
      </c>
      <c r="BO19" s="376" t="str">
        <f t="shared" si="21"/>
        <v>---</v>
      </c>
      <c r="BP19" s="331"/>
      <c r="BQ19" s="378"/>
      <c r="BR19" s="378"/>
      <c r="BS19" s="379"/>
      <c r="BT19" s="380" t="str">
        <f t="shared" si="22"/>
        <v>- - -</v>
      </c>
      <c r="BU19" s="380" t="str">
        <f t="shared" si="23"/>
        <v>- - -</v>
      </c>
      <c r="BV19" s="380"/>
      <c r="BW19" s="380"/>
      <c r="BX19" s="380"/>
      <c r="BY19" s="380"/>
      <c r="BZ19" s="378" t="str">
        <f t="shared" si="24"/>
        <v>- - -</v>
      </c>
      <c r="CA19" s="331"/>
      <c r="CB19" s="331"/>
      <c r="CC19" s="381"/>
      <c r="CD19" s="381"/>
      <c r="CE19" s="380" t="str">
        <f t="shared" si="25"/>
        <v>---</v>
      </c>
      <c r="CF19" s="331" t="str">
        <f t="shared" si="26"/>
        <v>/-/ /-/</v>
      </c>
      <c r="CG19" s="331">
        <f t="shared" si="27"/>
        <v>1</v>
      </c>
      <c r="CH19" s="331">
        <f t="shared" si="28"/>
        <v>2023</v>
      </c>
      <c r="CI19" s="380">
        <f t="shared" si="29"/>
        <v>10</v>
      </c>
      <c r="CJ19" s="380">
        <f t="shared" si="30"/>
        <v>2022</v>
      </c>
      <c r="CK19" s="376">
        <f t="shared" si="31"/>
        <v>7</v>
      </c>
      <c r="CL19" s="331">
        <f t="shared" si="32"/>
        <v>2022</v>
      </c>
      <c r="CM19" s="331" t="str">
        <f t="shared" si="33"/>
        <v>- - -</v>
      </c>
      <c r="CN19" s="331" t="str">
        <f t="shared" si="34"/>
        <v>. .</v>
      </c>
      <c r="CO19" s="331"/>
      <c r="CP19" s="377">
        <f t="shared" si="35"/>
        <v>720</v>
      </c>
      <c r="CQ19" s="375">
        <f t="shared" si="36"/>
        <v>-23544</v>
      </c>
      <c r="CR19" s="372">
        <f t="shared" si="37"/>
        <v>-1962</v>
      </c>
      <c r="CS19" s="373" t="str">
        <f t="shared" si="38"/>
        <v>Nam dưới 35</v>
      </c>
      <c r="CT19" s="374"/>
      <c r="CU19" s="374"/>
      <c r="CV19" s="374" t="str">
        <f t="shared" si="39"/>
        <v>Đến 30</v>
      </c>
      <c r="CW19" s="374" t="str">
        <f t="shared" si="40"/>
        <v>--</v>
      </c>
      <c r="CX19" s="374"/>
      <c r="CY19" s="374"/>
      <c r="CZ19" s="374"/>
      <c r="DA19" s="374"/>
      <c r="DB19" s="374"/>
      <c r="DC19" s="374"/>
      <c r="DD19" s="374"/>
      <c r="DE19" s="374"/>
      <c r="DF19" s="374"/>
      <c r="DG19" s="374" t="s">
        <v>119</v>
      </c>
      <c r="DH19" s="374" t="s">
        <v>9</v>
      </c>
      <c r="DI19" s="374" t="s">
        <v>10</v>
      </c>
      <c r="DJ19" s="374" t="s">
        <v>37</v>
      </c>
      <c r="DK19" s="374" t="s">
        <v>10</v>
      </c>
      <c r="DL19" s="374" t="s">
        <v>31</v>
      </c>
      <c r="DM19" s="374">
        <f t="shared" si="41"/>
        <v>0</v>
      </c>
      <c r="DN19" s="374" t="str">
        <f t="shared" si="42"/>
        <v>- - -</v>
      </c>
      <c r="DO19" s="374" t="s">
        <v>9</v>
      </c>
      <c r="DP19" s="374" t="s">
        <v>10</v>
      </c>
      <c r="DQ19" s="374" t="s">
        <v>37</v>
      </c>
      <c r="DR19" s="374" t="s">
        <v>10</v>
      </c>
      <c r="DS19" s="374" t="s">
        <v>31</v>
      </c>
      <c r="DT19" s="374"/>
      <c r="DU19" s="142" t="str">
        <f t="shared" si="43"/>
        <v>- - -</v>
      </c>
      <c r="DV19" s="142" t="str">
        <f t="shared" si="44"/>
        <v>---</v>
      </c>
    </row>
    <row r="20" spans="1:126" s="142" customFormat="1" ht="30.75" customHeight="1" x14ac:dyDescent="0.25">
      <c r="A20" s="152">
        <v>268</v>
      </c>
      <c r="B20" s="273">
        <v>4</v>
      </c>
      <c r="C20" s="139" t="str">
        <f t="shared" si="0"/>
        <v>Ông</v>
      </c>
      <c r="D20" s="332" t="s">
        <v>160</v>
      </c>
      <c r="E20" s="139" t="s">
        <v>39</v>
      </c>
      <c r="F20" s="276" t="s">
        <v>161</v>
      </c>
      <c r="G20" s="276" t="s">
        <v>10</v>
      </c>
      <c r="H20" s="276" t="s">
        <v>11</v>
      </c>
      <c r="I20" s="276" t="s">
        <v>10</v>
      </c>
      <c r="J20" s="139" t="s">
        <v>162</v>
      </c>
      <c r="K20" s="139" t="e">
        <f>IF(AND((M20+0)&gt;0.3,(M20+0)&lt;1.5),"CVụ","- -")</f>
        <v>#VALUE!</v>
      </c>
      <c r="L20" s="139" t="s">
        <v>102</v>
      </c>
      <c r="M20" s="143" t="str">
        <f>VLOOKUP(L20,'[1]- DLiêu Gốc -'!$B$2:$G$121,2,0)</f>
        <v>0,8</v>
      </c>
      <c r="N20" s="302"/>
      <c r="O20" s="295" t="s">
        <v>142</v>
      </c>
      <c r="P20" s="165" t="str">
        <f>VLOOKUP(U20,'[1]- DLiêu Gốc -'!$B$2:$G$56,5,0)</f>
        <v>A3</v>
      </c>
      <c r="Q20" s="165" t="str">
        <f>VLOOKUP(U20,'[1]- DLiêu Gốc -'!$B$2:$G$56,6,0)</f>
        <v>A3.1</v>
      </c>
      <c r="R20" s="139" t="s">
        <v>34</v>
      </c>
      <c r="S20" s="277" t="str">
        <f t="shared" si="1"/>
        <v>Giảng viên cao cấp (hạng I)</v>
      </c>
      <c r="T20" s="278" t="str">
        <f t="shared" si="2"/>
        <v>V.07.01.01</v>
      </c>
      <c r="U20" s="180" t="s">
        <v>87</v>
      </c>
      <c r="V20" s="141" t="str">
        <f>VLOOKUP(U20,'[1]- DLiêu Gốc -'!$B$1:$G$121,2,0)</f>
        <v>V.07.01.01</v>
      </c>
      <c r="W20" s="274" t="str">
        <f t="shared" si="3"/>
        <v>Lương</v>
      </c>
      <c r="X20" s="274">
        <v>4</v>
      </c>
      <c r="Y20" s="274" t="str">
        <f t="shared" si="4"/>
        <v>/</v>
      </c>
      <c r="Z20" s="274">
        <f t="shared" si="5"/>
        <v>6</v>
      </c>
      <c r="AA20" s="274">
        <f t="shared" si="6"/>
        <v>7.28</v>
      </c>
      <c r="AB20" s="274">
        <f t="shared" si="7"/>
        <v>5</v>
      </c>
      <c r="AC20" s="274" t="str">
        <f t="shared" si="8"/>
        <v>/</v>
      </c>
      <c r="AD20" s="274">
        <f t="shared" si="9"/>
        <v>6</v>
      </c>
      <c r="AE20" s="274">
        <f t="shared" si="10"/>
        <v>7.6400000000000006</v>
      </c>
      <c r="AF20" s="274" t="s">
        <v>9</v>
      </c>
      <c r="AG20" s="274" t="s">
        <v>10</v>
      </c>
      <c r="AH20" s="274" t="s">
        <v>30</v>
      </c>
      <c r="AI20" s="274" t="s">
        <v>10</v>
      </c>
      <c r="AJ20" s="274">
        <v>2013</v>
      </c>
      <c r="AK20" s="147"/>
      <c r="AL20" s="141"/>
      <c r="AM20" s="274">
        <f t="shared" si="11"/>
        <v>3</v>
      </c>
      <c r="AN20" s="274">
        <f t="shared" si="12"/>
        <v>-24164</v>
      </c>
      <c r="AO20" s="180"/>
      <c r="AP20" s="180"/>
      <c r="AQ20" s="274">
        <f>VLOOKUP(U20,'[1]- DLiêu Gốc -'!$B$1:$E$56,3,0)</f>
        <v>6.2</v>
      </c>
      <c r="AR20" s="274">
        <f>VLOOKUP(U20,'[1]- DLiêu Gốc -'!$B$1:$E$56,4,0)</f>
        <v>0.36</v>
      </c>
      <c r="AT20" s="274" t="str">
        <f t="shared" si="13"/>
        <v>PCTN</v>
      </c>
      <c r="AU20" s="279">
        <v>41</v>
      </c>
      <c r="AV20" s="280" t="s">
        <v>38</v>
      </c>
      <c r="AW20" s="279">
        <f t="shared" si="14"/>
        <v>42</v>
      </c>
      <c r="AX20" s="281" t="s">
        <v>38</v>
      </c>
      <c r="AY20" s="282">
        <v>4</v>
      </c>
      <c r="AZ20" s="169" t="s">
        <v>10</v>
      </c>
      <c r="BA20" s="283">
        <v>2016</v>
      </c>
      <c r="BB20" s="253"/>
      <c r="BC20" s="253"/>
      <c r="BD20" s="180"/>
      <c r="BE20" s="253">
        <v>4</v>
      </c>
      <c r="BF20" s="180">
        <f t="shared" si="15"/>
        <v>-24196</v>
      </c>
      <c r="BG20" s="140" t="str">
        <f t="shared" si="16"/>
        <v>- - -</v>
      </c>
      <c r="BH20" s="253" t="str">
        <f t="shared" si="17"/>
        <v>VC</v>
      </c>
      <c r="BI20" s="139"/>
      <c r="BJ20" s="376"/>
      <c r="BK20" s="376" t="s">
        <v>93</v>
      </c>
      <c r="BL20" s="331" t="str">
        <f t="shared" si="18"/>
        <v>A</v>
      </c>
      <c r="BM20" s="377" t="str">
        <f t="shared" si="19"/>
        <v>=&gt; s</v>
      </c>
      <c r="BN20" s="331">
        <f t="shared" si="20"/>
        <v>24188</v>
      </c>
      <c r="BO20" s="376" t="str">
        <f t="shared" si="21"/>
        <v>---</v>
      </c>
      <c r="BP20" s="331"/>
      <c r="BQ20" s="378"/>
      <c r="BR20" s="378"/>
      <c r="BS20" s="379"/>
      <c r="BT20" s="380" t="str">
        <f t="shared" si="22"/>
        <v>- - -</v>
      </c>
      <c r="BU20" s="380" t="str">
        <f t="shared" si="23"/>
        <v>NN</v>
      </c>
      <c r="BV20" s="380">
        <v>1</v>
      </c>
      <c r="BW20" s="380">
        <v>2009</v>
      </c>
      <c r="BX20" s="380"/>
      <c r="BY20" s="380"/>
      <c r="BZ20" s="378" t="str">
        <f t="shared" si="24"/>
        <v>- - -</v>
      </c>
      <c r="CA20" s="331"/>
      <c r="CB20" s="331"/>
      <c r="CC20" s="381"/>
      <c r="CD20" s="381"/>
      <c r="CE20" s="380" t="str">
        <f t="shared" si="25"/>
        <v>---</v>
      </c>
      <c r="CF20" s="331" t="str">
        <f t="shared" si="26"/>
        <v>/-/ /-/</v>
      </c>
      <c r="CG20" s="331">
        <f t="shared" si="27"/>
        <v>8</v>
      </c>
      <c r="CH20" s="331">
        <f t="shared" si="28"/>
        <v>2017</v>
      </c>
      <c r="CI20" s="380">
        <f t="shared" si="29"/>
        <v>5</v>
      </c>
      <c r="CJ20" s="380">
        <f t="shared" si="30"/>
        <v>2017</v>
      </c>
      <c r="CK20" s="376">
        <f t="shared" si="31"/>
        <v>2</v>
      </c>
      <c r="CL20" s="331">
        <f t="shared" si="32"/>
        <v>2017</v>
      </c>
      <c r="CM20" s="331" t="str">
        <f t="shared" si="33"/>
        <v>- - -</v>
      </c>
      <c r="CN20" s="331" t="str">
        <f t="shared" si="34"/>
        <v>. .</v>
      </c>
      <c r="CO20" s="331"/>
      <c r="CP20" s="377">
        <f t="shared" si="35"/>
        <v>720</v>
      </c>
      <c r="CQ20" s="375">
        <f t="shared" si="36"/>
        <v>-23479</v>
      </c>
      <c r="CR20" s="372">
        <f t="shared" si="37"/>
        <v>-1957</v>
      </c>
      <c r="CS20" s="373" t="str">
        <f t="shared" si="38"/>
        <v>Nam dưới 35</v>
      </c>
      <c r="CT20" s="374"/>
      <c r="CU20" s="374"/>
      <c r="CV20" s="374" t="str">
        <f t="shared" si="39"/>
        <v>Đến 30</v>
      </c>
      <c r="CW20" s="374" t="str">
        <f t="shared" si="40"/>
        <v>--</v>
      </c>
      <c r="CX20" s="374"/>
      <c r="CY20" s="374"/>
      <c r="CZ20" s="374"/>
      <c r="DA20" s="374"/>
      <c r="DB20" s="374" t="s">
        <v>107</v>
      </c>
      <c r="DC20" s="374">
        <v>6</v>
      </c>
      <c r="DD20" s="374" t="s">
        <v>112</v>
      </c>
      <c r="DE20" s="374"/>
      <c r="DF20" s="374"/>
      <c r="DG20" s="374"/>
      <c r="DH20" s="374" t="s">
        <v>9</v>
      </c>
      <c r="DI20" s="374" t="s">
        <v>10</v>
      </c>
      <c r="DJ20" s="374" t="s">
        <v>30</v>
      </c>
      <c r="DK20" s="374" t="s">
        <v>10</v>
      </c>
      <c r="DL20" s="374">
        <v>2013</v>
      </c>
      <c r="DM20" s="374">
        <f t="shared" si="41"/>
        <v>0</v>
      </c>
      <c r="DN20" s="374" t="str">
        <f t="shared" si="42"/>
        <v>- - -</v>
      </c>
      <c r="DO20" s="374" t="s">
        <v>9</v>
      </c>
      <c r="DP20" s="374" t="s">
        <v>10</v>
      </c>
      <c r="DQ20" s="374" t="s">
        <v>30</v>
      </c>
      <c r="DR20" s="374" t="s">
        <v>10</v>
      </c>
      <c r="DS20" s="374">
        <v>2013</v>
      </c>
      <c r="DT20" s="374">
        <v>6.44</v>
      </c>
      <c r="DU20" s="142" t="str">
        <f t="shared" si="43"/>
        <v>- - -</v>
      </c>
      <c r="DV20" s="142" t="str">
        <f t="shared" si="44"/>
        <v>---</v>
      </c>
    </row>
    <row r="21" spans="1:126" s="142" customFormat="1" ht="33.75" customHeight="1" x14ac:dyDescent="0.25">
      <c r="A21" s="152">
        <v>284</v>
      </c>
      <c r="B21" s="273">
        <v>5</v>
      </c>
      <c r="C21" s="139" t="str">
        <f t="shared" si="0"/>
        <v>Bà</v>
      </c>
      <c r="D21" s="332" t="s">
        <v>163</v>
      </c>
      <c r="E21" s="139" t="s">
        <v>32</v>
      </c>
      <c r="F21" s="276" t="s">
        <v>44</v>
      </c>
      <c r="G21" s="276" t="s">
        <v>10</v>
      </c>
      <c r="H21" s="276" t="s">
        <v>95</v>
      </c>
      <c r="I21" s="276" t="s">
        <v>10</v>
      </c>
      <c r="J21" s="139" t="s">
        <v>164</v>
      </c>
      <c r="K21" s="139"/>
      <c r="L21" s="139"/>
      <c r="M21" s="143" t="e">
        <f>VLOOKUP(L21,'[1]- DLiêu Gốc -'!$B$2:$G$121,2,0)</f>
        <v>#N/A</v>
      </c>
      <c r="N21" s="302" t="s">
        <v>165</v>
      </c>
      <c r="O21" s="295" t="s">
        <v>142</v>
      </c>
      <c r="P21" s="165" t="str">
        <f>VLOOKUP(U21,'[1]- DLiêu Gốc -'!$B$2:$G$56,5,0)</f>
        <v>A2</v>
      </c>
      <c r="Q21" s="165" t="str">
        <f>VLOOKUP(U21,'[1]- DLiêu Gốc -'!$B$2:$G$56,6,0)</f>
        <v>A2.1</v>
      </c>
      <c r="R21" s="139" t="s">
        <v>34</v>
      </c>
      <c r="S21" s="277" t="str">
        <f t="shared" si="1"/>
        <v>Giảng viên chính (hạng II)</v>
      </c>
      <c r="T21" s="278" t="str">
        <f t="shared" si="2"/>
        <v>V.07.01.02</v>
      </c>
      <c r="U21" s="180" t="s">
        <v>45</v>
      </c>
      <c r="V21" s="141" t="str">
        <f>VLOOKUP(U21,'[1]- DLiêu Gốc -'!$B$1:$G$121,2,0)</f>
        <v>V.07.01.02</v>
      </c>
      <c r="W21" s="274" t="str">
        <f t="shared" si="3"/>
        <v>Lương</v>
      </c>
      <c r="X21" s="274">
        <v>1</v>
      </c>
      <c r="Y21" s="274" t="str">
        <f t="shared" si="4"/>
        <v>/</v>
      </c>
      <c r="Z21" s="274">
        <f t="shared" si="5"/>
        <v>8</v>
      </c>
      <c r="AA21" s="274">
        <f t="shared" si="6"/>
        <v>4.4000000000000004</v>
      </c>
      <c r="AB21" s="274">
        <f t="shared" si="7"/>
        <v>2</v>
      </c>
      <c r="AC21" s="274" t="str">
        <f t="shared" si="8"/>
        <v>/</v>
      </c>
      <c r="AD21" s="274">
        <f t="shared" si="9"/>
        <v>8</v>
      </c>
      <c r="AE21" s="274">
        <f t="shared" si="10"/>
        <v>4.74</v>
      </c>
      <c r="AF21" s="274" t="s">
        <v>9</v>
      </c>
      <c r="AG21" s="274" t="s">
        <v>10</v>
      </c>
      <c r="AH21" s="274" t="s">
        <v>11</v>
      </c>
      <c r="AI21" s="274" t="s">
        <v>10</v>
      </c>
      <c r="AJ21" s="274">
        <v>2015</v>
      </c>
      <c r="AK21" s="147"/>
      <c r="AL21" s="141">
        <v>7</v>
      </c>
      <c r="AM21" s="274">
        <f t="shared" si="11"/>
        <v>3</v>
      </c>
      <c r="AN21" s="274">
        <f t="shared" si="12"/>
        <v>-24187</v>
      </c>
      <c r="AO21" s="180"/>
      <c r="AP21" s="180"/>
      <c r="AQ21" s="274">
        <f>VLOOKUP(U21,'[1]- DLiêu Gốc -'!$B$1:$E$56,3,0)</f>
        <v>4.4000000000000004</v>
      </c>
      <c r="AR21" s="274">
        <f>VLOOKUP(U21,'[1]- DLiêu Gốc -'!$B$1:$E$56,4,0)</f>
        <v>0.34</v>
      </c>
      <c r="AT21" s="274" t="str">
        <f t="shared" si="13"/>
        <v>PCTN</v>
      </c>
      <c r="AU21" s="279">
        <v>16</v>
      </c>
      <c r="AV21" s="280" t="s">
        <v>38</v>
      </c>
      <c r="AW21" s="279">
        <f t="shared" si="14"/>
        <v>17</v>
      </c>
      <c r="AX21" s="281" t="s">
        <v>38</v>
      </c>
      <c r="AY21" s="282">
        <v>4</v>
      </c>
      <c r="AZ21" s="169" t="s">
        <v>10</v>
      </c>
      <c r="BA21" s="283">
        <v>2016</v>
      </c>
      <c r="BB21" s="253"/>
      <c r="BC21" s="253"/>
      <c r="BD21" s="180"/>
      <c r="BE21" s="253">
        <v>4</v>
      </c>
      <c r="BF21" s="180">
        <f t="shared" si="15"/>
        <v>-24196</v>
      </c>
      <c r="BG21" s="140" t="str">
        <f t="shared" si="16"/>
        <v>- - -</v>
      </c>
      <c r="BH21" s="253" t="str">
        <f t="shared" si="17"/>
        <v>VC</v>
      </c>
      <c r="BI21" s="139"/>
      <c r="BJ21" s="376"/>
      <c r="BK21" s="376" t="s">
        <v>93</v>
      </c>
      <c r="BL21" s="331" t="str">
        <f t="shared" si="18"/>
        <v>A</v>
      </c>
      <c r="BM21" s="377" t="str">
        <f t="shared" si="19"/>
        <v>=&gt; s</v>
      </c>
      <c r="BN21" s="331">
        <f t="shared" si="20"/>
        <v>24211</v>
      </c>
      <c r="BO21" s="376" t="str">
        <f t="shared" si="21"/>
        <v>S</v>
      </c>
      <c r="BP21" s="331">
        <v>2010</v>
      </c>
      <c r="BQ21" s="378" t="s">
        <v>36</v>
      </c>
      <c r="BR21" s="378"/>
      <c r="BS21" s="379"/>
      <c r="BT21" s="380" t="str">
        <f t="shared" si="22"/>
        <v>- - -</v>
      </c>
      <c r="BU21" s="380" t="str">
        <f t="shared" si="23"/>
        <v>NN</v>
      </c>
      <c r="BV21" s="380">
        <v>7</v>
      </c>
      <c r="BW21" s="380">
        <v>2012</v>
      </c>
      <c r="BX21" s="380"/>
      <c r="BY21" s="380"/>
      <c r="BZ21" s="378" t="str">
        <f t="shared" si="24"/>
        <v>- - -</v>
      </c>
      <c r="CA21" s="331"/>
      <c r="CB21" s="331"/>
      <c r="CC21" s="381"/>
      <c r="CD21" s="381"/>
      <c r="CE21" s="380" t="str">
        <f t="shared" si="25"/>
        <v>---</v>
      </c>
      <c r="CF21" s="331" t="str">
        <f t="shared" si="26"/>
        <v>/-/ /-/</v>
      </c>
      <c r="CG21" s="331">
        <f t="shared" si="27"/>
        <v>6</v>
      </c>
      <c r="CH21" s="331">
        <f t="shared" si="28"/>
        <v>2030</v>
      </c>
      <c r="CI21" s="380">
        <f t="shared" si="29"/>
        <v>3</v>
      </c>
      <c r="CJ21" s="380">
        <f t="shared" si="30"/>
        <v>2030</v>
      </c>
      <c r="CK21" s="376">
        <f t="shared" si="31"/>
        <v>12</v>
      </c>
      <c r="CL21" s="331">
        <f t="shared" si="32"/>
        <v>2029</v>
      </c>
      <c r="CM21" s="331" t="str">
        <f t="shared" si="33"/>
        <v>- - -</v>
      </c>
      <c r="CN21" s="331" t="str">
        <f t="shared" si="34"/>
        <v>. .</v>
      </c>
      <c r="CO21" s="331"/>
      <c r="CP21" s="377">
        <f t="shared" si="35"/>
        <v>660</v>
      </c>
      <c r="CQ21" s="375">
        <f t="shared" si="36"/>
        <v>-23693</v>
      </c>
      <c r="CR21" s="372">
        <f t="shared" si="37"/>
        <v>-1975</v>
      </c>
      <c r="CS21" s="373" t="str">
        <f t="shared" si="38"/>
        <v>Nữ dưới 30</v>
      </c>
      <c r="CT21" s="374"/>
      <c r="CU21" s="374"/>
      <c r="CV21" s="374" t="str">
        <f t="shared" si="39"/>
        <v>Đến 30</v>
      </c>
      <c r="CW21" s="374" t="str">
        <f t="shared" si="40"/>
        <v>--</v>
      </c>
      <c r="CX21" s="374"/>
      <c r="CY21" s="374"/>
      <c r="CZ21" s="374"/>
      <c r="DA21" s="374"/>
      <c r="DB21" s="374"/>
      <c r="DC21" s="374"/>
      <c r="DD21" s="374"/>
      <c r="DE21" s="374"/>
      <c r="DF21" s="374"/>
      <c r="DG21" s="374" t="s">
        <v>165</v>
      </c>
      <c r="DH21" s="374" t="s">
        <v>9</v>
      </c>
      <c r="DI21" s="374" t="s">
        <v>10</v>
      </c>
      <c r="DJ21" s="374" t="s">
        <v>11</v>
      </c>
      <c r="DK21" s="374" t="s">
        <v>10</v>
      </c>
      <c r="DL21" s="374">
        <v>2012</v>
      </c>
      <c r="DM21" s="374">
        <f t="shared" si="41"/>
        <v>0</v>
      </c>
      <c r="DN21" s="374" t="str">
        <f t="shared" si="42"/>
        <v>- - -</v>
      </c>
      <c r="DO21" s="374" t="s">
        <v>9</v>
      </c>
      <c r="DP21" s="374" t="s">
        <v>10</v>
      </c>
      <c r="DQ21" s="374" t="s">
        <v>11</v>
      </c>
      <c r="DR21" s="374" t="s">
        <v>10</v>
      </c>
      <c r="DS21" s="374">
        <v>2012</v>
      </c>
      <c r="DT21" s="374">
        <v>3.66</v>
      </c>
      <c r="DU21" s="142" t="str">
        <f t="shared" si="43"/>
        <v>- - -</v>
      </c>
      <c r="DV21" s="142" t="str">
        <f t="shared" si="44"/>
        <v>---</v>
      </c>
    </row>
    <row r="22" spans="1:126" s="142" customFormat="1" ht="33" customHeight="1" x14ac:dyDescent="0.25">
      <c r="A22" s="152">
        <v>375</v>
      </c>
      <c r="B22" s="273">
        <v>6</v>
      </c>
      <c r="C22" s="139" t="str">
        <f t="shared" si="0"/>
        <v>Bà</v>
      </c>
      <c r="D22" s="332" t="s">
        <v>166</v>
      </c>
      <c r="E22" s="139" t="s">
        <v>32</v>
      </c>
      <c r="F22" s="276" t="s">
        <v>46</v>
      </c>
      <c r="G22" s="276" t="s">
        <v>10</v>
      </c>
      <c r="H22" s="276" t="s">
        <v>30</v>
      </c>
      <c r="I22" s="276" t="s">
        <v>10</v>
      </c>
      <c r="J22" s="139" t="s">
        <v>118</v>
      </c>
      <c r="K22" s="139"/>
      <c r="L22" s="139" t="s">
        <v>106</v>
      </c>
      <c r="M22" s="143" t="str">
        <f>VLOOKUP(L22,'[1]- DLiêu Gốc -'!$B$2:$G$121,2,0)</f>
        <v>0,4</v>
      </c>
      <c r="N22" s="302" t="s">
        <v>167</v>
      </c>
      <c r="O22" s="295" t="s">
        <v>33</v>
      </c>
      <c r="P22" s="165" t="str">
        <f>VLOOKUP(U22,'[1]- DLiêu Gốc -'!$B$2:$G$56,5,0)</f>
        <v>A2</v>
      </c>
      <c r="Q22" s="165" t="str">
        <f>VLOOKUP(U22,'[1]- DLiêu Gốc -'!$B$2:$G$56,6,0)</f>
        <v>A2.1</v>
      </c>
      <c r="R22" s="139" t="s">
        <v>34</v>
      </c>
      <c r="S22" s="277" t="str">
        <f t="shared" si="1"/>
        <v>Giảng viên chính (hạng II)</v>
      </c>
      <c r="T22" s="278" t="str">
        <f t="shared" si="2"/>
        <v>V.07.01.02</v>
      </c>
      <c r="U22" s="180" t="s">
        <v>45</v>
      </c>
      <c r="V22" s="141" t="str">
        <f>VLOOKUP(U22,'[1]- DLiêu Gốc -'!$B$1:$G$121,2,0)</f>
        <v>V.07.01.02</v>
      </c>
      <c r="W22" s="274" t="str">
        <f t="shared" si="3"/>
        <v>Lương</v>
      </c>
      <c r="X22" s="274">
        <v>2</v>
      </c>
      <c r="Y22" s="274" t="str">
        <f t="shared" si="4"/>
        <v>/</v>
      </c>
      <c r="Z22" s="274">
        <f t="shared" si="5"/>
        <v>8</v>
      </c>
      <c r="AA22" s="274">
        <f t="shared" si="6"/>
        <v>4.74</v>
      </c>
      <c r="AB22" s="274">
        <f t="shared" si="7"/>
        <v>3</v>
      </c>
      <c r="AC22" s="274" t="str">
        <f t="shared" si="8"/>
        <v>/</v>
      </c>
      <c r="AD22" s="274">
        <f t="shared" si="9"/>
        <v>8</v>
      </c>
      <c r="AE22" s="274">
        <f t="shared" si="10"/>
        <v>5.08</v>
      </c>
      <c r="AF22" s="274" t="s">
        <v>9</v>
      </c>
      <c r="AG22" s="274" t="s">
        <v>10</v>
      </c>
      <c r="AH22" s="274" t="s">
        <v>9</v>
      </c>
      <c r="AI22" s="274" t="s">
        <v>10</v>
      </c>
      <c r="AJ22" s="274">
        <v>2015</v>
      </c>
      <c r="AK22" s="147"/>
      <c r="AL22" s="141">
        <v>1</v>
      </c>
      <c r="AM22" s="274">
        <f t="shared" si="11"/>
        <v>3</v>
      </c>
      <c r="AN22" s="274">
        <f t="shared" si="12"/>
        <v>-24181</v>
      </c>
      <c r="AO22" s="180"/>
      <c r="AP22" s="180"/>
      <c r="AQ22" s="274">
        <f>VLOOKUP(U22,'[1]- DLiêu Gốc -'!$B$1:$E$56,3,0)</f>
        <v>4.4000000000000004</v>
      </c>
      <c r="AR22" s="274">
        <f>VLOOKUP(U22,'[1]- DLiêu Gốc -'!$B$1:$E$56,4,0)</f>
        <v>0.34</v>
      </c>
      <c r="AT22" s="274" t="str">
        <f t="shared" si="13"/>
        <v>PCTN</v>
      </c>
      <c r="AU22" s="279">
        <v>19</v>
      </c>
      <c r="AV22" s="280" t="s">
        <v>38</v>
      </c>
      <c r="AW22" s="279">
        <f t="shared" si="14"/>
        <v>20</v>
      </c>
      <c r="AX22" s="281" t="s">
        <v>38</v>
      </c>
      <c r="AY22" s="282">
        <v>4</v>
      </c>
      <c r="AZ22" s="169" t="s">
        <v>10</v>
      </c>
      <c r="BA22" s="283">
        <v>2016</v>
      </c>
      <c r="BB22" s="253"/>
      <c r="BC22" s="253"/>
      <c r="BD22" s="180"/>
      <c r="BE22" s="253">
        <v>4</v>
      </c>
      <c r="BF22" s="180">
        <f t="shared" si="15"/>
        <v>-24196</v>
      </c>
      <c r="BG22" s="140" t="str">
        <f t="shared" si="16"/>
        <v>- - -</v>
      </c>
      <c r="BH22" s="253" t="str">
        <f t="shared" si="17"/>
        <v>VC</v>
      </c>
      <c r="BI22" s="139"/>
      <c r="BJ22" s="376"/>
      <c r="BK22" s="376" t="s">
        <v>93</v>
      </c>
      <c r="BL22" s="331" t="str">
        <f t="shared" si="18"/>
        <v>A</v>
      </c>
      <c r="BM22" s="377" t="str">
        <f t="shared" si="19"/>
        <v>=&gt; s</v>
      </c>
      <c r="BN22" s="331">
        <f t="shared" si="20"/>
        <v>24205</v>
      </c>
      <c r="BO22" s="376" t="str">
        <f t="shared" si="21"/>
        <v>---</v>
      </c>
      <c r="BP22" s="331"/>
      <c r="BQ22" s="378"/>
      <c r="BR22" s="378"/>
      <c r="BS22" s="379"/>
      <c r="BT22" s="380" t="str">
        <f t="shared" si="22"/>
        <v>- - -</v>
      </c>
      <c r="BU22" s="380" t="str">
        <f t="shared" si="23"/>
        <v>NN</v>
      </c>
      <c r="BV22" s="380">
        <v>1</v>
      </c>
      <c r="BW22" s="380" t="s">
        <v>168</v>
      </c>
      <c r="BX22" s="380"/>
      <c r="BY22" s="380"/>
      <c r="BZ22" s="378" t="str">
        <f t="shared" si="24"/>
        <v>- - -</v>
      </c>
      <c r="CA22" s="331"/>
      <c r="CB22" s="331"/>
      <c r="CC22" s="381"/>
      <c r="CD22" s="381"/>
      <c r="CE22" s="380" t="str">
        <f t="shared" si="25"/>
        <v>---</v>
      </c>
      <c r="CF22" s="331" t="str">
        <f t="shared" si="26"/>
        <v>/-/ /-/</v>
      </c>
      <c r="CG22" s="331">
        <f t="shared" si="27"/>
        <v>9</v>
      </c>
      <c r="CH22" s="331">
        <f t="shared" si="28"/>
        <v>2025</v>
      </c>
      <c r="CI22" s="380">
        <f t="shared" si="29"/>
        <v>6</v>
      </c>
      <c r="CJ22" s="380">
        <f t="shared" si="30"/>
        <v>2025</v>
      </c>
      <c r="CK22" s="376">
        <f t="shared" si="31"/>
        <v>3</v>
      </c>
      <c r="CL22" s="331">
        <f t="shared" si="32"/>
        <v>2025</v>
      </c>
      <c r="CM22" s="331" t="str">
        <f t="shared" si="33"/>
        <v>- - -</v>
      </c>
      <c r="CN22" s="331" t="str">
        <f t="shared" si="34"/>
        <v>. .</v>
      </c>
      <c r="CO22" s="331"/>
      <c r="CP22" s="377">
        <f t="shared" si="35"/>
        <v>660</v>
      </c>
      <c r="CQ22" s="375">
        <f t="shared" si="36"/>
        <v>-23636</v>
      </c>
      <c r="CR22" s="372">
        <f t="shared" si="37"/>
        <v>-1970</v>
      </c>
      <c r="CS22" s="373" t="str">
        <f t="shared" si="38"/>
        <v>Nữ dưới 30</v>
      </c>
      <c r="CT22" s="374"/>
      <c r="CU22" s="374"/>
      <c r="CV22" s="374" t="str">
        <f t="shared" si="39"/>
        <v>Đến 30</v>
      </c>
      <c r="CW22" s="374" t="str">
        <f t="shared" si="40"/>
        <v>--</v>
      </c>
      <c r="CX22" s="374"/>
      <c r="CY22" s="374"/>
      <c r="CZ22" s="374"/>
      <c r="DA22" s="374"/>
      <c r="DB22" s="374"/>
      <c r="DC22" s="374"/>
      <c r="DD22" s="374"/>
      <c r="DE22" s="374"/>
      <c r="DF22" s="374"/>
      <c r="DG22" s="374" t="s">
        <v>169</v>
      </c>
      <c r="DH22" s="374" t="s">
        <v>9</v>
      </c>
      <c r="DI22" s="374" t="s">
        <v>10</v>
      </c>
      <c r="DJ22" s="374" t="s">
        <v>9</v>
      </c>
      <c r="DK22" s="374" t="s">
        <v>10</v>
      </c>
      <c r="DL22" s="374" t="s">
        <v>112</v>
      </c>
      <c r="DM22" s="374">
        <f t="shared" si="41"/>
        <v>0</v>
      </c>
      <c r="DN22" s="374" t="str">
        <f t="shared" si="42"/>
        <v>- - -</v>
      </c>
      <c r="DO22" s="374" t="s">
        <v>9</v>
      </c>
      <c r="DP22" s="374" t="s">
        <v>10</v>
      </c>
      <c r="DQ22" s="374" t="s">
        <v>9</v>
      </c>
      <c r="DR22" s="374" t="s">
        <v>10</v>
      </c>
      <c r="DS22" s="374" t="s">
        <v>112</v>
      </c>
      <c r="DT22" s="374">
        <v>3.66</v>
      </c>
      <c r="DU22" s="142" t="str">
        <f t="shared" si="43"/>
        <v>- - -</v>
      </c>
      <c r="DV22" s="142" t="str">
        <f t="shared" si="44"/>
        <v>---</v>
      </c>
    </row>
    <row r="23" spans="1:126" s="142" customFormat="1" ht="45.75" customHeight="1" x14ac:dyDescent="0.25">
      <c r="A23" s="152">
        <v>659</v>
      </c>
      <c r="B23" s="273">
        <v>7</v>
      </c>
      <c r="C23" s="139" t="str">
        <f t="shared" si="0"/>
        <v>Ông</v>
      </c>
      <c r="D23" s="332" t="s">
        <v>170</v>
      </c>
      <c r="E23" s="139" t="s">
        <v>39</v>
      </c>
      <c r="F23" s="276" t="s">
        <v>110</v>
      </c>
      <c r="G23" s="276" t="s">
        <v>10</v>
      </c>
      <c r="H23" s="276" t="s">
        <v>40</v>
      </c>
      <c r="I23" s="276" t="s">
        <v>10</v>
      </c>
      <c r="J23" s="139">
        <v>1957</v>
      </c>
      <c r="K23" s="139" t="e">
        <f>IF(AND((M23+0)&gt;0.3,(M23+0)&lt;1.5),"CVụ","- -")</f>
        <v>#VALUE!</v>
      </c>
      <c r="L23" s="139" t="s">
        <v>102</v>
      </c>
      <c r="M23" s="143" t="str">
        <f>VLOOKUP(L23,'[1]- DLiêu Gốc -'!$B$2:$G$121,2,0)</f>
        <v>0,8</v>
      </c>
      <c r="N23" s="333" t="s">
        <v>171</v>
      </c>
      <c r="O23" s="295" t="s">
        <v>108</v>
      </c>
      <c r="P23" s="165" t="str">
        <f>VLOOKUP(U23,'[1]- DLiêu Gốc -'!$B$2:$G$56,5,0)</f>
        <v>A3</v>
      </c>
      <c r="Q23" s="165" t="str">
        <f>VLOOKUP(U23,'[1]- DLiêu Gốc -'!$B$2:$G$56,6,0)</f>
        <v>A3.1</v>
      </c>
      <c r="R23" s="139" t="s">
        <v>34</v>
      </c>
      <c r="S23" s="277" t="str">
        <f t="shared" si="1"/>
        <v>Giảng viên cao cấp (hạng I)</v>
      </c>
      <c r="T23" s="278" t="str">
        <f t="shared" si="2"/>
        <v>V.07.01.01</v>
      </c>
      <c r="U23" s="180" t="s">
        <v>87</v>
      </c>
      <c r="V23" s="141" t="str">
        <f>VLOOKUP(U23,'[1]- DLiêu Gốc -'!$B$1:$G$121,2,0)</f>
        <v>V.07.01.01</v>
      </c>
      <c r="W23" s="274" t="str">
        <f t="shared" si="3"/>
        <v>Lương</v>
      </c>
      <c r="X23" s="274">
        <v>5</v>
      </c>
      <c r="Y23" s="274" t="s">
        <v>172</v>
      </c>
      <c r="Z23" s="274">
        <f t="shared" si="5"/>
        <v>6</v>
      </c>
      <c r="AA23" s="274">
        <f t="shared" si="6"/>
        <v>7.6400000000000006</v>
      </c>
      <c r="AB23" s="274">
        <f t="shared" si="7"/>
        <v>6</v>
      </c>
      <c r="AC23" s="274" t="str">
        <f t="shared" si="8"/>
        <v>/</v>
      </c>
      <c r="AD23" s="274">
        <f t="shared" si="9"/>
        <v>6</v>
      </c>
      <c r="AE23" s="274">
        <f t="shared" si="10"/>
        <v>8</v>
      </c>
      <c r="AF23" s="274" t="s">
        <v>9</v>
      </c>
      <c r="AG23" s="274" t="s">
        <v>10</v>
      </c>
      <c r="AH23" s="274" t="s">
        <v>95</v>
      </c>
      <c r="AI23" s="274" t="s">
        <v>10</v>
      </c>
      <c r="AJ23" s="274">
        <v>2015</v>
      </c>
      <c r="AK23" s="147"/>
      <c r="AL23" s="141">
        <v>5</v>
      </c>
      <c r="AM23" s="274">
        <f t="shared" si="11"/>
        <v>3</v>
      </c>
      <c r="AN23" s="274">
        <f t="shared" si="12"/>
        <v>-24185</v>
      </c>
      <c r="AO23" s="180"/>
      <c r="AP23" s="180"/>
      <c r="AQ23" s="274">
        <f>VLOOKUP(U23,'[1]- DLiêu Gốc -'!$B$1:$E$56,3,0)</f>
        <v>6.2</v>
      </c>
      <c r="AR23" s="274">
        <f>VLOOKUP(U23,'[1]- DLiêu Gốc -'!$B$1:$E$56,4,0)</f>
        <v>0.36</v>
      </c>
      <c r="AT23" s="274" t="str">
        <f t="shared" si="13"/>
        <v>PCTN</v>
      </c>
      <c r="AU23" s="279">
        <v>40</v>
      </c>
      <c r="AV23" s="280" t="s">
        <v>38</v>
      </c>
      <c r="AW23" s="279">
        <f t="shared" si="14"/>
        <v>41</v>
      </c>
      <c r="AX23" s="281" t="s">
        <v>38</v>
      </c>
      <c r="AY23" s="282">
        <v>4</v>
      </c>
      <c r="AZ23" s="169" t="s">
        <v>10</v>
      </c>
      <c r="BA23" s="283">
        <v>2016</v>
      </c>
      <c r="BB23" s="253"/>
      <c r="BC23" s="253"/>
      <c r="BD23" s="180"/>
      <c r="BE23" s="253">
        <v>4</v>
      </c>
      <c r="BF23" s="180">
        <f t="shared" si="15"/>
        <v>-24196</v>
      </c>
      <c r="BG23" s="140" t="str">
        <f t="shared" si="16"/>
        <v>- - -</v>
      </c>
      <c r="BH23" s="253" t="str">
        <f t="shared" si="17"/>
        <v>VC</v>
      </c>
      <c r="BI23" s="139"/>
      <c r="BJ23" s="376"/>
      <c r="BK23" s="376" t="s">
        <v>93</v>
      </c>
      <c r="BL23" s="331" t="str">
        <f t="shared" si="18"/>
        <v>A</v>
      </c>
      <c r="BM23" s="377" t="str">
        <f t="shared" si="19"/>
        <v>=&gt; s</v>
      </c>
      <c r="BN23" s="331">
        <f t="shared" si="20"/>
        <v>24209</v>
      </c>
      <c r="BO23" s="376" t="str">
        <f t="shared" si="21"/>
        <v>---</v>
      </c>
      <c r="BP23" s="331"/>
      <c r="BQ23" s="378"/>
      <c r="BR23" s="378"/>
      <c r="BS23" s="379"/>
      <c r="BT23" s="380" t="str">
        <f t="shared" si="22"/>
        <v>- - -</v>
      </c>
      <c r="BU23" s="380" t="str">
        <f t="shared" si="23"/>
        <v>NN</v>
      </c>
      <c r="BV23" s="380">
        <v>5</v>
      </c>
      <c r="BW23" s="380">
        <v>2012</v>
      </c>
      <c r="BX23" s="380"/>
      <c r="BY23" s="380"/>
      <c r="BZ23" s="378" t="str">
        <f t="shared" si="24"/>
        <v>- - -</v>
      </c>
      <c r="CA23" s="331"/>
      <c r="CB23" s="331"/>
      <c r="CC23" s="381"/>
      <c r="CD23" s="381"/>
      <c r="CE23" s="380" t="str">
        <f t="shared" si="25"/>
        <v>---</v>
      </c>
      <c r="CF23" s="331" t="str">
        <f t="shared" si="26"/>
        <v>/-/ /-/</v>
      </c>
      <c r="CG23" s="331">
        <f t="shared" si="27"/>
        <v>12</v>
      </c>
      <c r="CH23" s="331">
        <f t="shared" si="28"/>
        <v>2017</v>
      </c>
      <c r="CI23" s="380">
        <f t="shared" si="29"/>
        <v>9</v>
      </c>
      <c r="CJ23" s="380">
        <f t="shared" si="30"/>
        <v>2017</v>
      </c>
      <c r="CK23" s="376">
        <f t="shared" si="31"/>
        <v>6</v>
      </c>
      <c r="CL23" s="331">
        <f t="shared" si="32"/>
        <v>2017</v>
      </c>
      <c r="CM23" s="331" t="str">
        <f t="shared" si="33"/>
        <v>- - -</v>
      </c>
      <c r="CN23" s="331" t="str">
        <f t="shared" si="34"/>
        <v>. .</v>
      </c>
      <c r="CO23" s="331"/>
      <c r="CP23" s="377">
        <f t="shared" si="35"/>
        <v>720</v>
      </c>
      <c r="CQ23" s="375">
        <f t="shared" si="36"/>
        <v>-23483</v>
      </c>
      <c r="CR23" s="372">
        <f t="shared" si="37"/>
        <v>-1957</v>
      </c>
      <c r="CS23" s="373" t="str">
        <f t="shared" si="38"/>
        <v>Nam dưới 35</v>
      </c>
      <c r="CT23" s="374"/>
      <c r="CU23" s="374"/>
      <c r="CV23" s="374" t="str">
        <f t="shared" si="39"/>
        <v>Đến 30</v>
      </c>
      <c r="CW23" s="374" t="str">
        <f t="shared" si="40"/>
        <v>--</v>
      </c>
      <c r="CX23" s="374"/>
      <c r="CY23" s="374"/>
      <c r="CZ23" s="374"/>
      <c r="DA23" s="374"/>
      <c r="DB23" s="374"/>
      <c r="DC23" s="374"/>
      <c r="DD23" s="374"/>
      <c r="DE23" s="374"/>
      <c r="DF23" s="374"/>
      <c r="DG23" s="374" t="s">
        <v>171</v>
      </c>
      <c r="DH23" s="374" t="s">
        <v>9</v>
      </c>
      <c r="DI23" s="374" t="s">
        <v>10</v>
      </c>
      <c r="DJ23" s="374" t="s">
        <v>95</v>
      </c>
      <c r="DK23" s="374" t="s">
        <v>10</v>
      </c>
      <c r="DL23" s="374">
        <v>2012</v>
      </c>
      <c r="DM23" s="374">
        <f t="shared" si="41"/>
        <v>0</v>
      </c>
      <c r="DN23" s="374" t="str">
        <f t="shared" si="42"/>
        <v>- - -</v>
      </c>
      <c r="DO23" s="374" t="s">
        <v>9</v>
      </c>
      <c r="DP23" s="374" t="s">
        <v>10</v>
      </c>
      <c r="DQ23" s="374" t="s">
        <v>95</v>
      </c>
      <c r="DR23" s="374" t="s">
        <v>10</v>
      </c>
      <c r="DS23" s="374">
        <v>2012</v>
      </c>
      <c r="DT23" s="374">
        <v>7.3902000000000001</v>
      </c>
      <c r="DU23" s="142" t="str">
        <f t="shared" si="43"/>
        <v>- - -</v>
      </c>
      <c r="DV23" s="142" t="str">
        <f t="shared" si="44"/>
        <v>---</v>
      </c>
    </row>
    <row r="24" spans="1:126" s="142" customFormat="1" ht="45.75" customHeight="1" x14ac:dyDescent="0.25">
      <c r="A24" s="152">
        <v>687</v>
      </c>
      <c r="B24" s="273">
        <v>8</v>
      </c>
      <c r="C24" s="139" t="str">
        <f t="shared" si="0"/>
        <v>Ông</v>
      </c>
      <c r="D24" s="332" t="s">
        <v>173</v>
      </c>
      <c r="E24" s="139" t="s">
        <v>39</v>
      </c>
      <c r="F24" s="276" t="s">
        <v>149</v>
      </c>
      <c r="G24" s="276" t="s">
        <v>10</v>
      </c>
      <c r="H24" s="276" t="s">
        <v>95</v>
      </c>
      <c r="I24" s="276" t="s">
        <v>10</v>
      </c>
      <c r="J24" s="139" t="s">
        <v>111</v>
      </c>
      <c r="K24" s="139" t="e">
        <f>IF(AND((M24+0)&gt;0.3,(M24+0)&lt;1.5),"CVụ","- -")</f>
        <v>#VALUE!</v>
      </c>
      <c r="L24" s="139" t="s">
        <v>102</v>
      </c>
      <c r="M24" s="143" t="str">
        <f>VLOOKUP(L24,'[1]- DLiêu Gốc -'!$B$2:$G$121,2,0)</f>
        <v>0,8</v>
      </c>
      <c r="N24" s="333" t="s">
        <v>174</v>
      </c>
      <c r="O24" s="295" t="s">
        <v>108</v>
      </c>
      <c r="P24" s="165" t="str">
        <f>VLOOKUP(U24,'[1]- DLiêu Gốc -'!$B$2:$G$56,5,0)</f>
        <v>A3</v>
      </c>
      <c r="Q24" s="165" t="str">
        <f>VLOOKUP(U24,'[1]- DLiêu Gốc -'!$B$2:$G$56,6,0)</f>
        <v>A3.1</v>
      </c>
      <c r="R24" s="139" t="s">
        <v>34</v>
      </c>
      <c r="S24" s="277" t="str">
        <f t="shared" si="1"/>
        <v>Giảng viên cao cấp (hạng I)</v>
      </c>
      <c r="T24" s="278" t="str">
        <f t="shared" si="2"/>
        <v>V.07.01.01</v>
      </c>
      <c r="U24" s="180" t="s">
        <v>87</v>
      </c>
      <c r="V24" s="141" t="str">
        <f>VLOOKUP(U24,'[1]- DLiêu Gốc -'!$B$1:$G$121,2,0)</f>
        <v>V.07.01.01</v>
      </c>
      <c r="W24" s="274" t="str">
        <f t="shared" si="3"/>
        <v>Lương</v>
      </c>
      <c r="X24" s="274">
        <v>0</v>
      </c>
      <c r="Y24" s="274" t="str">
        <f>IF(Z24&gt;0,"/")</f>
        <v>/</v>
      </c>
      <c r="Z24" s="274">
        <f t="shared" si="5"/>
        <v>6</v>
      </c>
      <c r="AA24" s="274">
        <f t="shared" si="6"/>
        <v>5.84</v>
      </c>
      <c r="AB24" s="274">
        <f t="shared" si="7"/>
        <v>1</v>
      </c>
      <c r="AC24" s="274" t="str">
        <f t="shared" si="8"/>
        <v>/</v>
      </c>
      <c r="AD24" s="274">
        <f t="shared" si="9"/>
        <v>6</v>
      </c>
      <c r="AE24" s="274">
        <f t="shared" si="10"/>
        <v>6.2</v>
      </c>
      <c r="AF24" s="274" t="s">
        <v>9</v>
      </c>
      <c r="AG24" s="274" t="s">
        <v>10</v>
      </c>
      <c r="AH24" s="274" t="s">
        <v>95</v>
      </c>
      <c r="AI24" s="274" t="s">
        <v>10</v>
      </c>
      <c r="AJ24" s="274">
        <v>2012</v>
      </c>
      <c r="AK24" s="147"/>
      <c r="AL24" s="141"/>
      <c r="AM24" s="274">
        <f t="shared" si="11"/>
        <v>3</v>
      </c>
      <c r="AN24" s="274">
        <f t="shared" si="12"/>
        <v>-24149</v>
      </c>
      <c r="AO24" s="180"/>
      <c r="AP24" s="180"/>
      <c r="AQ24" s="274">
        <f>VLOOKUP(U24,'[1]- DLiêu Gốc -'!$B$1:$E$56,3,0)</f>
        <v>6.2</v>
      </c>
      <c r="AR24" s="274">
        <f>VLOOKUP(U24,'[1]- DLiêu Gốc -'!$B$1:$E$56,4,0)</f>
        <v>0.36</v>
      </c>
      <c r="AT24" s="274" t="str">
        <f t="shared" si="13"/>
        <v>PCTN</v>
      </c>
      <c r="AU24" s="279">
        <v>28</v>
      </c>
      <c r="AV24" s="280" t="s">
        <v>38</v>
      </c>
      <c r="AW24" s="279">
        <f t="shared" si="14"/>
        <v>29</v>
      </c>
      <c r="AX24" s="281" t="s">
        <v>38</v>
      </c>
      <c r="AY24" s="282">
        <v>4</v>
      </c>
      <c r="AZ24" s="169" t="s">
        <v>10</v>
      </c>
      <c r="BA24" s="283">
        <v>2016</v>
      </c>
      <c r="BB24" s="311"/>
      <c r="BC24" s="311"/>
      <c r="BD24" s="180"/>
      <c r="BE24" s="311">
        <v>4</v>
      </c>
      <c r="BF24" s="180">
        <f t="shared" si="15"/>
        <v>-24196</v>
      </c>
      <c r="BG24" s="140" t="str">
        <f t="shared" si="16"/>
        <v>- - -</v>
      </c>
      <c r="BH24" s="311" t="str">
        <f t="shared" si="17"/>
        <v>VC</v>
      </c>
      <c r="BI24" s="139"/>
      <c r="BJ24" s="376"/>
      <c r="BK24" s="376" t="s">
        <v>93</v>
      </c>
      <c r="BL24" s="331" t="str">
        <f t="shared" si="18"/>
        <v>A</v>
      </c>
      <c r="BM24" s="377" t="str">
        <f t="shared" si="19"/>
        <v>=&gt; s</v>
      </c>
      <c r="BN24" s="331">
        <f t="shared" si="20"/>
        <v>24173</v>
      </c>
      <c r="BO24" s="376" t="str">
        <f t="shared" si="21"/>
        <v>S</v>
      </c>
      <c r="BP24" s="331">
        <v>2008</v>
      </c>
      <c r="BQ24" s="378" t="s">
        <v>97</v>
      </c>
      <c r="BR24" s="378"/>
      <c r="BS24" s="379"/>
      <c r="BT24" s="380" t="str">
        <f t="shared" si="22"/>
        <v>- - -</v>
      </c>
      <c r="BU24" s="380" t="str">
        <f t="shared" si="23"/>
        <v>NN</v>
      </c>
      <c r="BV24" s="380">
        <v>5</v>
      </c>
      <c r="BW24" s="380">
        <v>2012</v>
      </c>
      <c r="BX24" s="380"/>
      <c r="BY24" s="380"/>
      <c r="BZ24" s="378" t="str">
        <f t="shared" si="24"/>
        <v>- - -</v>
      </c>
      <c r="CA24" s="331"/>
      <c r="CB24" s="331"/>
      <c r="CC24" s="381"/>
      <c r="CD24" s="381"/>
      <c r="CE24" s="380" t="str">
        <f t="shared" si="25"/>
        <v>---</v>
      </c>
      <c r="CF24" s="331" t="str">
        <f t="shared" si="26"/>
        <v>/-/ /-/</v>
      </c>
      <c r="CG24" s="331">
        <f t="shared" si="27"/>
        <v>6</v>
      </c>
      <c r="CH24" s="331">
        <f t="shared" si="28"/>
        <v>2021</v>
      </c>
      <c r="CI24" s="380">
        <f t="shared" si="29"/>
        <v>3</v>
      </c>
      <c r="CJ24" s="380">
        <f t="shared" si="30"/>
        <v>2021</v>
      </c>
      <c r="CK24" s="376">
        <f t="shared" si="31"/>
        <v>12</v>
      </c>
      <c r="CL24" s="331">
        <f t="shared" si="32"/>
        <v>2020</v>
      </c>
      <c r="CM24" s="331" t="str">
        <f t="shared" si="33"/>
        <v>- - -</v>
      </c>
      <c r="CN24" s="331" t="str">
        <f t="shared" si="34"/>
        <v>. .</v>
      </c>
      <c r="CO24" s="331"/>
      <c r="CP24" s="377">
        <f t="shared" si="35"/>
        <v>720</v>
      </c>
      <c r="CQ24" s="375">
        <f t="shared" si="36"/>
        <v>-23525</v>
      </c>
      <c r="CR24" s="372">
        <f t="shared" si="37"/>
        <v>-1961</v>
      </c>
      <c r="CS24" s="373" t="str">
        <f t="shared" si="38"/>
        <v>Nam dưới 35</v>
      </c>
      <c r="CT24" s="374"/>
      <c r="CU24" s="374"/>
      <c r="CV24" s="374" t="str">
        <f t="shared" si="39"/>
        <v>Đến 30</v>
      </c>
      <c r="CW24" s="374" t="str">
        <f t="shared" si="40"/>
        <v>--</v>
      </c>
      <c r="CX24" s="374"/>
      <c r="CY24" s="374"/>
      <c r="CZ24" s="374"/>
      <c r="DA24" s="374"/>
      <c r="DB24" s="374"/>
      <c r="DC24" s="374"/>
      <c r="DD24" s="374"/>
      <c r="DE24" s="374"/>
      <c r="DF24" s="374"/>
      <c r="DG24" s="374" t="s">
        <v>174</v>
      </c>
      <c r="DH24" s="374" t="s">
        <v>9</v>
      </c>
      <c r="DI24" s="374" t="s">
        <v>10</v>
      </c>
      <c r="DJ24" s="374" t="s">
        <v>95</v>
      </c>
      <c r="DK24" s="374" t="s">
        <v>10</v>
      </c>
      <c r="DL24" s="374">
        <v>2012</v>
      </c>
      <c r="DM24" s="374">
        <f t="shared" si="41"/>
        <v>0</v>
      </c>
      <c r="DN24" s="374" t="str">
        <f t="shared" si="42"/>
        <v>- - -</v>
      </c>
      <c r="DO24" s="374" t="s">
        <v>9</v>
      </c>
      <c r="DP24" s="374" t="s">
        <v>10</v>
      </c>
      <c r="DQ24" s="374" t="s">
        <v>95</v>
      </c>
      <c r="DR24" s="374" t="s">
        <v>10</v>
      </c>
      <c r="DS24" s="374">
        <v>2012</v>
      </c>
      <c r="DT24" s="374">
        <v>5.42</v>
      </c>
      <c r="DU24" s="142">
        <f t="shared" si="43"/>
        <v>0.1000000000000002</v>
      </c>
      <c r="DV24" s="142" t="str">
        <f t="shared" si="44"/>
        <v>---</v>
      </c>
    </row>
    <row r="25" spans="1:126" s="271" customFormat="1" ht="1.5" customHeight="1" x14ac:dyDescent="0.25">
      <c r="A25" s="236"/>
      <c r="B25" s="310"/>
      <c r="C25" s="311"/>
      <c r="D25" s="312"/>
      <c r="E25" s="311"/>
      <c r="F25" s="311"/>
      <c r="G25" s="311"/>
      <c r="H25" s="311"/>
      <c r="I25" s="311"/>
      <c r="J25" s="311"/>
      <c r="K25" s="311"/>
      <c r="L25" s="311"/>
      <c r="M25" s="311"/>
      <c r="N25" s="312"/>
      <c r="O25" s="312"/>
      <c r="P25" s="311"/>
      <c r="Q25" s="311"/>
      <c r="R25" s="311"/>
      <c r="S25" s="311"/>
      <c r="T25" s="313"/>
      <c r="U25" s="311"/>
      <c r="V25" s="311"/>
      <c r="W25" s="311"/>
      <c r="X25" s="311"/>
      <c r="Y25" s="311"/>
      <c r="Z25" s="311"/>
      <c r="AA25" s="311"/>
      <c r="AB25" s="311"/>
      <c r="AC25" s="311"/>
      <c r="AD25" s="311"/>
      <c r="AE25" s="311"/>
      <c r="AF25" s="311"/>
      <c r="AG25" s="314"/>
      <c r="AH25" s="311"/>
      <c r="AI25" s="311"/>
      <c r="AJ25" s="311"/>
      <c r="AK25" s="314"/>
      <c r="AL25" s="314"/>
      <c r="AM25" s="314"/>
      <c r="AN25" s="314"/>
      <c r="AO25" s="314"/>
      <c r="AP25" s="314"/>
      <c r="AQ25" s="314"/>
      <c r="AR25" s="314"/>
      <c r="AS25" s="314"/>
      <c r="AT25" s="314"/>
      <c r="AU25" s="314"/>
      <c r="AV25" s="311"/>
      <c r="AW25" s="314"/>
      <c r="AX25" s="311"/>
      <c r="AY25" s="314"/>
      <c r="AZ25" s="311"/>
      <c r="BA25" s="311"/>
      <c r="BB25" s="314"/>
      <c r="BC25" s="314"/>
      <c r="BD25" s="314"/>
      <c r="BE25" s="314"/>
      <c r="BF25" s="314"/>
      <c r="BG25" s="314"/>
      <c r="BH25" s="314"/>
      <c r="BI25" s="314"/>
      <c r="BJ25" s="347"/>
      <c r="BK25" s="347"/>
      <c r="BL25" s="347"/>
      <c r="BM25" s="347"/>
      <c r="BN25" s="347"/>
      <c r="BO25" s="347"/>
      <c r="BP25" s="347"/>
      <c r="BQ25" s="347"/>
      <c r="BR25" s="347"/>
      <c r="BS25" s="347"/>
      <c r="BT25" s="347"/>
      <c r="BU25" s="347"/>
      <c r="BV25" s="347"/>
      <c r="BW25" s="347"/>
      <c r="BX25" s="347"/>
      <c r="BY25" s="347"/>
      <c r="BZ25" s="347"/>
      <c r="CA25" s="347"/>
      <c r="CB25" s="347"/>
      <c r="CC25" s="347"/>
      <c r="CD25" s="347"/>
      <c r="CE25" s="347"/>
      <c r="CF25" s="347"/>
      <c r="CG25" s="347"/>
      <c r="CH25" s="347"/>
      <c r="CI25" s="347"/>
      <c r="CJ25" s="347"/>
      <c r="CK25" s="347"/>
      <c r="CL25" s="347"/>
      <c r="CM25" s="347"/>
      <c r="CN25" s="347"/>
      <c r="CO25" s="347"/>
      <c r="CP25" s="347"/>
      <c r="CQ25" s="347"/>
      <c r="CR25" s="347"/>
      <c r="CS25" s="347"/>
      <c r="CT25" s="347"/>
      <c r="CU25" s="347"/>
      <c r="CV25" s="347"/>
      <c r="CW25" s="347"/>
      <c r="CX25" s="347"/>
      <c r="CY25" s="347"/>
      <c r="CZ25" s="347"/>
      <c r="DA25" s="347"/>
      <c r="DB25" s="347"/>
      <c r="DC25" s="347"/>
      <c r="DD25" s="347"/>
      <c r="DE25" s="347"/>
      <c r="DF25" s="347"/>
      <c r="DG25" s="347"/>
      <c r="DH25" s="347"/>
      <c r="DI25" s="347"/>
      <c r="DJ25" s="347"/>
      <c r="DK25" s="347"/>
      <c r="DL25" s="347"/>
      <c r="DM25" s="347"/>
      <c r="DN25" s="347"/>
      <c r="DO25" s="347"/>
      <c r="DP25" s="347"/>
    </row>
    <row r="26" spans="1:126" s="236" customFormat="1" ht="15.75" customHeight="1" x14ac:dyDescent="0.2">
      <c r="B26" s="284" t="s">
        <v>47</v>
      </c>
      <c r="D26" s="243"/>
      <c r="F26" s="285"/>
      <c r="J26" s="286"/>
      <c r="K26" s="286"/>
      <c r="L26" s="286"/>
      <c r="M26" s="286"/>
      <c r="N26" s="243"/>
      <c r="O26" s="287"/>
      <c r="P26" s="287"/>
      <c r="Q26" s="287"/>
      <c r="R26" s="287"/>
      <c r="T26" s="370" t="s">
        <v>48</v>
      </c>
      <c r="U26" s="370"/>
      <c r="V26" s="370"/>
      <c r="W26" s="370"/>
      <c r="X26" s="370"/>
      <c r="Y26" s="370"/>
      <c r="Z26" s="370"/>
      <c r="AA26" s="370"/>
      <c r="AB26" s="370"/>
      <c r="AC26" s="370"/>
      <c r="AD26" s="370"/>
      <c r="AE26" s="370"/>
      <c r="AF26" s="370"/>
      <c r="AG26" s="370"/>
      <c r="AH26" s="370"/>
      <c r="AI26" s="370"/>
      <c r="AJ26" s="370"/>
      <c r="AK26" s="370"/>
      <c r="AL26" s="370"/>
      <c r="AM26" s="370"/>
      <c r="AN26" s="370"/>
      <c r="AO26" s="370"/>
      <c r="AP26" s="370"/>
      <c r="AQ26" s="370"/>
      <c r="AR26" s="370"/>
      <c r="AS26" s="370"/>
      <c r="AT26" s="370"/>
      <c r="AU26" s="370"/>
      <c r="AV26" s="370"/>
      <c r="AW26" s="370"/>
      <c r="AX26" s="370"/>
      <c r="AY26" s="370"/>
      <c r="AZ26" s="370"/>
      <c r="BA26" s="370"/>
      <c r="BB26" s="370"/>
      <c r="BC26" s="370"/>
      <c r="BD26" s="370"/>
      <c r="BE26" s="370"/>
      <c r="BF26" s="370"/>
      <c r="BG26" s="370"/>
      <c r="BH26" s="370"/>
      <c r="BI26" s="370"/>
      <c r="BJ26" s="331"/>
      <c r="BK26" s="331"/>
      <c r="BL26" s="331"/>
      <c r="BM26" s="331"/>
      <c r="BN26" s="331"/>
      <c r="BO26" s="331"/>
      <c r="BP26" s="331"/>
      <c r="BQ26" s="331"/>
      <c r="BR26" s="331"/>
      <c r="BS26" s="331"/>
      <c r="BT26" s="331"/>
      <c r="BU26" s="331"/>
      <c r="BV26" s="331"/>
      <c r="BW26" s="331"/>
      <c r="BX26" s="331"/>
      <c r="BY26" s="331"/>
      <c r="BZ26" s="331"/>
      <c r="CA26" s="331"/>
      <c r="CB26" s="331"/>
      <c r="CC26" s="331"/>
      <c r="CD26" s="331"/>
      <c r="CE26" s="331"/>
      <c r="CF26" s="331"/>
      <c r="CG26" s="331"/>
      <c r="CH26" s="331"/>
      <c r="CI26" s="331"/>
      <c r="CJ26" s="331"/>
      <c r="CK26" s="331"/>
      <c r="CL26" s="331"/>
      <c r="CM26" s="331"/>
      <c r="CN26" s="331"/>
      <c r="CO26" s="331"/>
      <c r="CP26" s="331"/>
      <c r="CQ26" s="331"/>
      <c r="CR26" s="331"/>
      <c r="CS26" s="331"/>
      <c r="CT26" s="331"/>
      <c r="CU26" s="331"/>
      <c r="CV26" s="331"/>
      <c r="CW26" s="331"/>
      <c r="CX26" s="331"/>
      <c r="CY26" s="331"/>
      <c r="CZ26" s="331"/>
      <c r="DA26" s="331"/>
      <c r="DB26" s="331"/>
      <c r="DC26" s="331"/>
      <c r="DD26" s="331"/>
      <c r="DE26" s="331"/>
      <c r="DF26" s="331"/>
      <c r="DG26" s="331"/>
      <c r="DH26" s="331"/>
      <c r="DI26" s="331"/>
      <c r="DJ26" s="331"/>
      <c r="DK26" s="331"/>
      <c r="DL26" s="331"/>
      <c r="DM26" s="331"/>
      <c r="DN26" s="331"/>
      <c r="DO26" s="331"/>
      <c r="DP26" s="331"/>
    </row>
    <row r="27" spans="1:126" s="290" customFormat="1" ht="15.75" customHeight="1" x14ac:dyDescent="0.2">
      <c r="A27" s="236"/>
      <c r="B27" s="288" t="s">
        <v>49</v>
      </c>
      <c r="C27" s="289"/>
      <c r="D27" s="243"/>
      <c r="F27" s="291"/>
      <c r="G27" s="236"/>
      <c r="H27" s="236"/>
      <c r="J27" s="292"/>
      <c r="K27" s="292"/>
      <c r="L27" s="292"/>
      <c r="M27" s="292"/>
      <c r="N27" s="243"/>
      <c r="O27" s="293"/>
      <c r="P27" s="293"/>
      <c r="Q27" s="293"/>
      <c r="R27" s="293"/>
      <c r="T27" s="370" t="s">
        <v>50</v>
      </c>
      <c r="U27" s="370"/>
      <c r="V27" s="370"/>
      <c r="W27" s="370"/>
      <c r="X27" s="370"/>
      <c r="Y27" s="370"/>
      <c r="Z27" s="370"/>
      <c r="AA27" s="370"/>
      <c r="AB27" s="370"/>
      <c r="AC27" s="370"/>
      <c r="AD27" s="370"/>
      <c r="AE27" s="370"/>
      <c r="AF27" s="370"/>
      <c r="AG27" s="370"/>
      <c r="AH27" s="370"/>
      <c r="AI27" s="370"/>
      <c r="AJ27" s="370"/>
      <c r="AK27" s="370"/>
      <c r="AL27" s="370"/>
      <c r="AM27" s="370"/>
      <c r="AN27" s="370"/>
      <c r="AO27" s="370"/>
      <c r="AP27" s="370"/>
      <c r="AQ27" s="370"/>
      <c r="AR27" s="370"/>
      <c r="AS27" s="370"/>
      <c r="AT27" s="370"/>
      <c r="AU27" s="370"/>
      <c r="AV27" s="370"/>
      <c r="AW27" s="370"/>
      <c r="AX27" s="370"/>
      <c r="AY27" s="370"/>
      <c r="AZ27" s="370"/>
      <c r="BA27" s="370"/>
      <c r="BB27" s="370"/>
      <c r="BC27" s="370"/>
      <c r="BD27" s="370"/>
      <c r="BE27" s="370"/>
      <c r="BF27" s="370"/>
      <c r="BG27" s="370"/>
      <c r="BH27" s="370"/>
      <c r="BI27" s="370"/>
      <c r="BJ27" s="296"/>
      <c r="BK27" s="296"/>
      <c r="BL27" s="296"/>
      <c r="BM27" s="296"/>
      <c r="BN27" s="296"/>
      <c r="BO27" s="296"/>
      <c r="BP27" s="296"/>
      <c r="BQ27" s="296"/>
      <c r="BR27" s="296"/>
      <c r="BS27" s="296"/>
      <c r="BT27" s="296"/>
      <c r="BU27" s="296"/>
      <c r="BV27" s="296"/>
      <c r="BW27" s="296"/>
      <c r="BX27" s="296"/>
      <c r="BY27" s="296"/>
    </row>
    <row r="28" spans="1:126" s="290" customFormat="1" ht="15.75" customHeight="1" x14ac:dyDescent="0.2">
      <c r="A28" s="236"/>
      <c r="B28" s="288" t="s">
        <v>51</v>
      </c>
      <c r="C28" s="289"/>
      <c r="D28" s="243"/>
      <c r="F28" s="291"/>
      <c r="G28" s="236"/>
      <c r="H28" s="236"/>
      <c r="J28" s="236"/>
      <c r="K28" s="236"/>
      <c r="L28" s="236"/>
      <c r="M28" s="236"/>
      <c r="N28" s="243"/>
      <c r="O28" s="243"/>
      <c r="P28" s="236"/>
      <c r="Q28" s="236"/>
      <c r="R28" s="236"/>
      <c r="T28" s="370"/>
      <c r="U28" s="370"/>
      <c r="V28" s="370"/>
      <c r="W28" s="370"/>
      <c r="X28" s="370"/>
      <c r="Y28" s="370"/>
      <c r="Z28" s="370"/>
      <c r="AA28" s="370"/>
      <c r="AB28" s="370"/>
      <c r="AC28" s="370"/>
      <c r="AD28" s="370"/>
      <c r="AE28" s="370"/>
      <c r="AF28" s="370"/>
      <c r="AG28" s="370"/>
      <c r="AH28" s="370"/>
      <c r="AI28" s="370"/>
      <c r="AJ28" s="370"/>
      <c r="AK28" s="370"/>
      <c r="AL28" s="370"/>
      <c r="AM28" s="370"/>
      <c r="AN28" s="370"/>
      <c r="AO28" s="370"/>
      <c r="AP28" s="370"/>
      <c r="AQ28" s="370"/>
      <c r="AR28" s="370"/>
      <c r="AS28" s="370"/>
      <c r="AT28" s="370"/>
      <c r="AU28" s="370"/>
      <c r="AV28" s="370"/>
      <c r="AW28" s="370"/>
      <c r="AX28" s="370"/>
      <c r="AY28" s="370"/>
      <c r="AZ28" s="370"/>
      <c r="BA28" s="370"/>
      <c r="BB28" s="370"/>
      <c r="BC28" s="370"/>
      <c r="BD28" s="370"/>
      <c r="BE28" s="370"/>
      <c r="BF28" s="370"/>
      <c r="BG28" s="370"/>
      <c r="BH28" s="370"/>
      <c r="BI28" s="370"/>
      <c r="BJ28" s="296"/>
      <c r="BK28" s="296"/>
      <c r="BL28" s="296"/>
      <c r="BM28" s="296"/>
      <c r="BN28" s="296"/>
      <c r="BO28" s="296"/>
      <c r="BP28" s="296"/>
      <c r="BQ28" s="296"/>
      <c r="BR28" s="296"/>
      <c r="BS28" s="296"/>
      <c r="BT28" s="296"/>
      <c r="BU28" s="296"/>
      <c r="BV28" s="296"/>
      <c r="BW28" s="296"/>
      <c r="BX28" s="296"/>
      <c r="BY28" s="296"/>
    </row>
    <row r="29" spans="1:126" s="236" customFormat="1" ht="12.75" customHeight="1" x14ac:dyDescent="0.2">
      <c r="B29" s="288" t="s">
        <v>53</v>
      </c>
      <c r="D29" s="243"/>
      <c r="N29" s="243"/>
      <c r="O29" s="243"/>
      <c r="T29" s="371" t="s">
        <v>89</v>
      </c>
      <c r="U29" s="371"/>
      <c r="V29" s="371"/>
      <c r="W29" s="371"/>
      <c r="X29" s="371"/>
      <c r="Y29" s="371"/>
      <c r="Z29" s="371"/>
      <c r="AA29" s="371"/>
      <c r="AB29" s="371"/>
      <c r="AC29" s="371"/>
      <c r="AD29" s="371"/>
      <c r="AE29" s="371"/>
      <c r="AF29" s="371"/>
      <c r="AG29" s="371"/>
      <c r="AH29" s="371"/>
      <c r="AI29" s="371"/>
      <c r="AJ29" s="371"/>
      <c r="AK29" s="371"/>
      <c r="AL29" s="371"/>
      <c r="AM29" s="371"/>
      <c r="AN29" s="371"/>
      <c r="AO29" s="371"/>
      <c r="AP29" s="371"/>
      <c r="AQ29" s="371"/>
      <c r="AR29" s="371"/>
      <c r="AS29" s="371"/>
      <c r="AT29" s="371"/>
      <c r="AU29" s="371"/>
      <c r="AV29" s="371"/>
      <c r="AW29" s="371"/>
      <c r="AX29" s="371"/>
      <c r="AY29" s="371"/>
      <c r="AZ29" s="371"/>
      <c r="BA29" s="371"/>
      <c r="BB29" s="371"/>
      <c r="BC29" s="371"/>
      <c r="BD29" s="371"/>
      <c r="BE29" s="371"/>
      <c r="BF29" s="371"/>
      <c r="BG29" s="371"/>
      <c r="BH29" s="371"/>
      <c r="BI29" s="371"/>
      <c r="BJ29" s="253"/>
      <c r="BK29" s="253"/>
      <c r="BL29" s="253"/>
      <c r="BM29" s="253"/>
      <c r="BN29" s="253"/>
      <c r="BO29" s="253"/>
      <c r="BP29" s="253"/>
      <c r="BQ29" s="253"/>
      <c r="BR29" s="253"/>
      <c r="BS29" s="253"/>
      <c r="BT29" s="253"/>
      <c r="BU29" s="253"/>
      <c r="BV29" s="253"/>
      <c r="BW29" s="253"/>
      <c r="BX29" s="253"/>
      <c r="BY29" s="253"/>
    </row>
    <row r="30" spans="1:126" s="290" customFormat="1" ht="0.75" customHeight="1" x14ac:dyDescent="0.25">
      <c r="A30" s="236"/>
      <c r="C30" s="289"/>
      <c r="D30" s="243"/>
      <c r="F30" s="291"/>
      <c r="G30" s="236"/>
      <c r="H30" s="236"/>
      <c r="J30" s="236"/>
      <c r="K30" s="236"/>
      <c r="L30" s="236"/>
      <c r="M30" s="236"/>
      <c r="N30" s="243"/>
      <c r="O30" s="243"/>
      <c r="P30" s="236"/>
      <c r="Q30" s="236"/>
      <c r="R30" s="236"/>
      <c r="T30" s="294"/>
    </row>
    <row r="31" spans="1:126" s="236" customFormat="1" ht="18.75" customHeight="1" x14ac:dyDescent="0.25">
      <c r="B31" s="251"/>
      <c r="D31" s="243"/>
      <c r="F31" s="285"/>
      <c r="N31" s="243"/>
      <c r="O31" s="243"/>
      <c r="T31" s="366" t="s">
        <v>155</v>
      </c>
      <c r="U31" s="366"/>
      <c r="V31" s="366"/>
      <c r="W31" s="366"/>
      <c r="X31" s="366"/>
      <c r="Y31" s="366"/>
      <c r="Z31" s="366"/>
      <c r="AA31" s="366"/>
      <c r="AB31" s="366"/>
      <c r="AC31" s="366"/>
      <c r="AD31" s="366"/>
      <c r="AE31" s="366"/>
      <c r="AF31" s="366"/>
      <c r="AG31" s="366"/>
      <c r="AH31" s="366"/>
      <c r="AI31" s="366"/>
      <c r="AJ31" s="366"/>
      <c r="AK31" s="366"/>
      <c r="AL31" s="366"/>
      <c r="AM31" s="366"/>
      <c r="AN31" s="366"/>
      <c r="AO31" s="366"/>
      <c r="AP31" s="366"/>
      <c r="AQ31" s="366"/>
      <c r="AR31" s="366"/>
      <c r="AS31" s="366"/>
      <c r="AT31" s="366"/>
      <c r="AU31" s="366"/>
      <c r="AV31" s="366"/>
      <c r="AW31" s="366"/>
      <c r="AX31" s="366"/>
      <c r="AY31" s="366"/>
      <c r="AZ31" s="366"/>
      <c r="BA31" s="366"/>
      <c r="BB31" s="366"/>
      <c r="BC31" s="366"/>
      <c r="BD31" s="366"/>
      <c r="BE31" s="366"/>
      <c r="BF31" s="366"/>
      <c r="BG31" s="366"/>
      <c r="BH31" s="366"/>
      <c r="BI31" s="366"/>
    </row>
  </sheetData>
  <mergeCells count="30">
    <mergeCell ref="AW16:AX16"/>
    <mergeCell ref="AY16:BA16"/>
    <mergeCell ref="T31:BI31"/>
    <mergeCell ref="T26:BI26"/>
    <mergeCell ref="T27:BI27"/>
    <mergeCell ref="T28:BI28"/>
    <mergeCell ref="T29:BI29"/>
    <mergeCell ref="N16:O16"/>
    <mergeCell ref="R16:T16"/>
    <mergeCell ref="AU16:AV16"/>
    <mergeCell ref="B1:N1"/>
    <mergeCell ref="O1:BA1"/>
    <mergeCell ref="B2:N2"/>
    <mergeCell ref="O2:BA2"/>
    <mergeCell ref="O3:BA3"/>
    <mergeCell ref="B4:BI4"/>
    <mergeCell ref="B13:B14"/>
    <mergeCell ref="D13:D14"/>
    <mergeCell ref="E13:E14"/>
    <mergeCell ref="N13:O14"/>
    <mergeCell ref="R13:T14"/>
    <mergeCell ref="U13:U14"/>
    <mergeCell ref="AU13:BA13"/>
    <mergeCell ref="BH13:BH14"/>
    <mergeCell ref="BI13:BI14"/>
    <mergeCell ref="AU14:AV14"/>
    <mergeCell ref="AW14:AX14"/>
    <mergeCell ref="AY14:BA14"/>
    <mergeCell ref="BC13:BC14"/>
    <mergeCell ref="BD13:BD14"/>
  </mergeCells>
  <conditionalFormatting sqref="BJ6:BJ9">
    <cfRule type="cellIs" dxfId="1" priority="1" stopIfTrue="1" operator="between">
      <formula>"720"</formula>
      <formula>"720"</formula>
    </cfRule>
    <cfRule type="cellIs" dxfId="0" priority="2" stopIfTrue="1" operator="between">
      <formula>"660"</formula>
      <formula>"660"</formula>
    </cfRule>
  </conditionalFormatting>
  <pageMargins left="0.45" right="0.2" top="0.25" bottom="0.2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DS nang luong thang 4.2016</vt:lpstr>
      <vt:lpstr>DS nang PCTN NG thang 4.2016</vt:lpstr>
      <vt:lpstr>'DS nang luong thang 4.2016'!Print_Titles</vt:lpstr>
      <vt:lpstr>'DS nang PCTN NG thang 4.2016'!Print_Titles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HVHC</dc:creator>
  <cp:lastModifiedBy>Duyet_TCCB</cp:lastModifiedBy>
  <cp:lastPrinted>2015-08-04T08:35:00Z</cp:lastPrinted>
  <dcterms:created xsi:type="dcterms:W3CDTF">2015-03-03T06:48:17Z</dcterms:created>
  <dcterms:modified xsi:type="dcterms:W3CDTF">2016-04-05T02:21:40Z</dcterms:modified>
</cp:coreProperties>
</file>