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35" windowWidth="20115" windowHeight="7125" activeTab="1"/>
  </bookViews>
  <sheets>
    <sheet name="DS nang luong thang 8.2016" sheetId="1" r:id="rId1"/>
    <sheet name="DS nang PCTN NG thang 8.2016" sheetId="2" r:id="rId2"/>
  </sheets>
  <externalReferences>
    <externalReference r:id="rId3"/>
  </externalReferences>
  <definedNames>
    <definedName name="_xlnm.Print_Titles" localSheetId="0">'DS nang luong thang 8.2016'!$13:$15</definedName>
    <definedName name="_xlnm.Print_Titles" localSheetId="1">'DS nang PCTN NG thang 8.2016'!$14:$17</definedName>
  </definedNames>
  <calcPr calcId="144525"/>
</workbook>
</file>

<file path=xl/calcChain.xml><?xml version="1.0" encoding="utf-8"?>
<calcChain xmlns="http://schemas.openxmlformats.org/spreadsheetml/2006/main">
  <c r="DO29" i="2" l="1"/>
  <c r="DP29" i="2" s="1"/>
  <c r="CY29" i="2"/>
  <c r="CT29" i="2"/>
  <c r="CU29" i="2" s="1"/>
  <c r="CS29" i="2"/>
  <c r="CR29" i="2"/>
  <c r="CJ29" i="2" s="1"/>
  <c r="CP29" i="2"/>
  <c r="CI29" i="2"/>
  <c r="CN29" i="2" s="1"/>
  <c r="CB29" i="2"/>
  <c r="BW29" i="2"/>
  <c r="BQ29" i="2"/>
  <c r="BN29" i="2"/>
  <c r="BM29" i="2"/>
  <c r="BI29" i="2"/>
  <c r="BG29" i="2"/>
  <c r="AX29" i="2"/>
  <c r="AU29" i="2"/>
  <c r="AS29" i="2"/>
  <c r="AA29" i="2" s="1"/>
  <c r="AR29" i="2"/>
  <c r="AO29" i="2"/>
  <c r="AC29" i="2"/>
  <c r="AB29" i="2"/>
  <c r="W29" i="2"/>
  <c r="T29" i="2"/>
  <c r="R29" i="2"/>
  <c r="Q29" i="2"/>
  <c r="N29" i="2"/>
  <c r="L29" i="2" s="1"/>
  <c r="D29" i="2"/>
  <c r="DO28" i="2"/>
  <c r="DP28" i="2" s="1"/>
  <c r="CY28" i="2"/>
  <c r="CU28" i="2"/>
  <c r="CT28" i="2"/>
  <c r="CX28" i="2" s="1"/>
  <c r="CS28" i="2"/>
  <c r="CH28" i="2" s="1"/>
  <c r="CR28" i="2"/>
  <c r="CP28" i="2"/>
  <c r="CJ28" i="2"/>
  <c r="CI28" i="2"/>
  <c r="CM28" i="2" s="1"/>
  <c r="CB28" i="2"/>
  <c r="BW28" i="2"/>
  <c r="BQ28" i="2"/>
  <c r="BN28" i="2"/>
  <c r="BM28" i="2"/>
  <c r="BI28" i="2"/>
  <c r="BG28" i="2"/>
  <c r="AX28" i="2"/>
  <c r="AU28" i="2"/>
  <c r="AS28" i="2"/>
  <c r="AR28" i="2"/>
  <c r="AB28" i="2" s="1"/>
  <c r="AO28" i="2"/>
  <c r="AC28" i="2"/>
  <c r="AA28" i="2"/>
  <c r="W28" i="2"/>
  <c r="T28" i="2"/>
  <c r="R28" i="2"/>
  <c r="Q28" i="2"/>
  <c r="N28" i="2"/>
  <c r="D28" i="2"/>
  <c r="DP27" i="2"/>
  <c r="DO27" i="2"/>
  <c r="CY27" i="2"/>
  <c r="CT27" i="2"/>
  <c r="CX27" i="2" s="1"/>
  <c r="CS27" i="2"/>
  <c r="CR27" i="2"/>
  <c r="CP27" i="2"/>
  <c r="CJ27" i="2"/>
  <c r="CN27" i="2" s="1"/>
  <c r="CI27" i="2"/>
  <c r="CM27" i="2" s="1"/>
  <c r="CH27" i="2"/>
  <c r="BH27" i="2" s="1"/>
  <c r="CB27" i="2"/>
  <c r="BW27" i="2"/>
  <c r="BQ27" i="2"/>
  <c r="BN27" i="2"/>
  <c r="BM27" i="2"/>
  <c r="BI27" i="2"/>
  <c r="BG27" i="2"/>
  <c r="AX27" i="2"/>
  <c r="AU27" i="2"/>
  <c r="AS27" i="2"/>
  <c r="AR27" i="2"/>
  <c r="AB27" i="2" s="1"/>
  <c r="AO27" i="2"/>
  <c r="AC27" i="2"/>
  <c r="AA27" i="2"/>
  <c r="W27" i="2"/>
  <c r="T27" i="2"/>
  <c r="R27" i="2"/>
  <c r="Q27" i="2"/>
  <c r="N27" i="2"/>
  <c r="L27" i="2" s="1"/>
  <c r="D27" i="2"/>
  <c r="DO26" i="2"/>
  <c r="DP26" i="2" s="1"/>
  <c r="CY26" i="2"/>
  <c r="CT26" i="2"/>
  <c r="CU26" i="2" s="1"/>
  <c r="CS26" i="2"/>
  <c r="CR26" i="2"/>
  <c r="CJ26" i="2" s="1"/>
  <c r="CP26" i="2"/>
  <c r="CI26" i="2"/>
  <c r="CN26" i="2" s="1"/>
  <c r="CB26" i="2"/>
  <c r="BW26" i="2"/>
  <c r="BQ26" i="2"/>
  <c r="BN26" i="2"/>
  <c r="BM26" i="2"/>
  <c r="BI26" i="2"/>
  <c r="BG26" i="2"/>
  <c r="AX26" i="2"/>
  <c r="AU26" i="2"/>
  <c r="AS26" i="2"/>
  <c r="AA26" i="2" s="1"/>
  <c r="AR26" i="2"/>
  <c r="AO26" i="2"/>
  <c r="AC26" i="2"/>
  <c r="AB26" i="2"/>
  <c r="W26" i="2"/>
  <c r="T26" i="2"/>
  <c r="U26" i="2" s="1"/>
  <c r="BV26" i="2" s="1"/>
  <c r="R26" i="2"/>
  <c r="Q26" i="2"/>
  <c r="N26" i="2"/>
  <c r="L26" i="2"/>
  <c r="D26" i="2"/>
  <c r="DP25" i="2"/>
  <c r="DO25" i="2"/>
  <c r="CY25" i="2"/>
  <c r="CT25" i="2"/>
  <c r="CX25" i="2" s="1"/>
  <c r="CS25" i="2"/>
  <c r="CR25" i="2"/>
  <c r="CP25" i="2"/>
  <c r="CJ25" i="2"/>
  <c r="CN25" i="2" s="1"/>
  <c r="CI25" i="2"/>
  <c r="CM25" i="2" s="1"/>
  <c r="CH25" i="2"/>
  <c r="CB25" i="2"/>
  <c r="BW25" i="2"/>
  <c r="BQ25" i="2"/>
  <c r="BN25" i="2"/>
  <c r="BM25" i="2"/>
  <c r="BI25" i="2"/>
  <c r="BG25" i="2"/>
  <c r="AX25" i="2"/>
  <c r="AU25" i="2"/>
  <c r="AS25" i="2"/>
  <c r="DW25" i="2" s="1"/>
  <c r="AR25" i="2"/>
  <c r="AO25" i="2"/>
  <c r="AC25" i="2"/>
  <c r="AA25" i="2"/>
  <c r="W25" i="2"/>
  <c r="T25" i="2"/>
  <c r="U25" i="2" s="1"/>
  <c r="BV25" i="2" s="1"/>
  <c r="R25" i="2"/>
  <c r="Q25" i="2"/>
  <c r="N25" i="2"/>
  <c r="L25" i="2" s="1"/>
  <c r="D25" i="2"/>
  <c r="DO24" i="2"/>
  <c r="DP24" i="2" s="1"/>
  <c r="CY24" i="2"/>
  <c r="CT24" i="2"/>
  <c r="CU24" i="2" s="1"/>
  <c r="CS24" i="2"/>
  <c r="CR24" i="2"/>
  <c r="CJ24" i="2" s="1"/>
  <c r="CP24" i="2"/>
  <c r="CI24" i="2"/>
  <c r="CN24" i="2" s="1"/>
  <c r="CB24" i="2"/>
  <c r="BW24" i="2"/>
  <c r="BQ24" i="2"/>
  <c r="BN24" i="2"/>
  <c r="BM24" i="2"/>
  <c r="BI24" i="2"/>
  <c r="BG24" i="2"/>
  <c r="AX24" i="2"/>
  <c r="AU24" i="2"/>
  <c r="AS24" i="2"/>
  <c r="AA24" i="2" s="1"/>
  <c r="AR24" i="2"/>
  <c r="AB24" i="2" s="1"/>
  <c r="AO24" i="2"/>
  <c r="AC24" i="2"/>
  <c r="W24" i="2"/>
  <c r="T24" i="2"/>
  <c r="R24" i="2"/>
  <c r="Q24" i="2"/>
  <c r="N24" i="2"/>
  <c r="D24" i="2"/>
  <c r="DO23" i="2"/>
  <c r="DP23" i="2" s="1"/>
  <c r="CY23" i="2"/>
  <c r="CX23" i="2"/>
  <c r="CT23" i="2"/>
  <c r="CU23" i="2" s="1"/>
  <c r="CS23" i="2"/>
  <c r="CR23" i="2"/>
  <c r="CJ23" i="2" s="1"/>
  <c r="CP23" i="2"/>
  <c r="CI23" i="2"/>
  <c r="CN23" i="2" s="1"/>
  <c r="CH23" i="2"/>
  <c r="DX23" i="2" s="1"/>
  <c r="CB23" i="2"/>
  <c r="BW23" i="2"/>
  <c r="BQ23" i="2"/>
  <c r="BN23" i="2"/>
  <c r="BM23" i="2"/>
  <c r="BI23" i="2"/>
  <c r="BG23" i="2"/>
  <c r="AX23" i="2"/>
  <c r="AU23" i="2"/>
  <c r="AS23" i="2"/>
  <c r="AR23" i="2"/>
  <c r="AB23" i="2" s="1"/>
  <c r="AO23" i="2"/>
  <c r="AC23" i="2"/>
  <c r="W23" i="2"/>
  <c r="T23" i="2"/>
  <c r="R23" i="2"/>
  <c r="Q23" i="2"/>
  <c r="N23" i="2"/>
  <c r="D23" i="2"/>
  <c r="DO22" i="2"/>
  <c r="DP22" i="2" s="1"/>
  <c r="CY22" i="2"/>
  <c r="CT22" i="2"/>
  <c r="CX22" i="2" s="1"/>
  <c r="CS22" i="2"/>
  <c r="CR22" i="2"/>
  <c r="CJ22" i="2" s="1"/>
  <c r="CP22" i="2"/>
  <c r="CI22" i="2"/>
  <c r="CM22" i="2" s="1"/>
  <c r="CB22" i="2"/>
  <c r="BW22" i="2"/>
  <c r="BQ22" i="2"/>
  <c r="BN22" i="2"/>
  <c r="BM22" i="2"/>
  <c r="BI22" i="2"/>
  <c r="BG22" i="2"/>
  <c r="AX22" i="2"/>
  <c r="AU22" i="2"/>
  <c r="AS22" i="2"/>
  <c r="DW22" i="2" s="1"/>
  <c r="AR22" i="2"/>
  <c r="AO22" i="2"/>
  <c r="AC22" i="2"/>
  <c r="AB22" i="2"/>
  <c r="W22" i="2"/>
  <c r="T22" i="2"/>
  <c r="U22" i="2" s="1"/>
  <c r="BV22" i="2" s="1"/>
  <c r="R22" i="2"/>
  <c r="Q22" i="2"/>
  <c r="N22" i="2"/>
  <c r="L22" i="2"/>
  <c r="D22" i="2"/>
  <c r="DP21" i="2"/>
  <c r="DO21" i="2"/>
  <c r="CY21" i="2"/>
  <c r="CT21" i="2"/>
  <c r="CX21" i="2" s="1"/>
  <c r="CS21" i="2"/>
  <c r="CR21" i="2"/>
  <c r="CP21" i="2"/>
  <c r="CJ21" i="2"/>
  <c r="CN21" i="2" s="1"/>
  <c r="CI21" i="2"/>
  <c r="CM21" i="2" s="1"/>
  <c r="CH21" i="2"/>
  <c r="DX21" i="2" s="1"/>
  <c r="CB21" i="2"/>
  <c r="BW21" i="2"/>
  <c r="BQ21" i="2"/>
  <c r="BN21" i="2"/>
  <c r="BM21" i="2"/>
  <c r="BI21" i="2"/>
  <c r="BG21" i="2"/>
  <c r="AX21" i="2"/>
  <c r="AU21" i="2"/>
  <c r="AS21" i="2"/>
  <c r="DW21" i="2" s="1"/>
  <c r="AR21" i="2"/>
  <c r="AO21" i="2"/>
  <c r="AC21" i="2"/>
  <c r="AA21" i="2"/>
  <c r="AN21" i="2" s="1"/>
  <c r="W21" i="2"/>
  <c r="U21" i="2"/>
  <c r="BV21" i="2" s="1"/>
  <c r="T21" i="2"/>
  <c r="R21" i="2"/>
  <c r="Q21" i="2"/>
  <c r="N21" i="2"/>
  <c r="L21" i="2" s="1"/>
  <c r="D21" i="2"/>
  <c r="DO20" i="2"/>
  <c r="DP20" i="2" s="1"/>
  <c r="CY20" i="2"/>
  <c r="CT20" i="2"/>
  <c r="CX20" i="2" s="1"/>
  <c r="CS20" i="2"/>
  <c r="CR20" i="2"/>
  <c r="CJ20" i="2" s="1"/>
  <c r="CP20" i="2"/>
  <c r="CI20" i="2"/>
  <c r="CM20" i="2" s="1"/>
  <c r="CB20" i="2"/>
  <c r="BW20" i="2"/>
  <c r="BQ20" i="2"/>
  <c r="BN20" i="2"/>
  <c r="BM20" i="2"/>
  <c r="BI20" i="2"/>
  <c r="BG20" i="2"/>
  <c r="AX20" i="2"/>
  <c r="AU20" i="2"/>
  <c r="AS20" i="2"/>
  <c r="DW20" i="2" s="1"/>
  <c r="AR20" i="2"/>
  <c r="AO20" i="2"/>
  <c r="AC20" i="2"/>
  <c r="AB20" i="2"/>
  <c r="W20" i="2"/>
  <c r="T20" i="2"/>
  <c r="U20" i="2" s="1"/>
  <c r="BV20" i="2" s="1"/>
  <c r="R20" i="2"/>
  <c r="Q20" i="2"/>
  <c r="N20" i="2"/>
  <c r="L20" i="2"/>
  <c r="D20" i="2"/>
  <c r="DP19" i="2"/>
  <c r="DO19" i="2"/>
  <c r="CY19" i="2"/>
  <c r="CT19" i="2"/>
  <c r="CX19" i="2" s="1"/>
  <c r="CS19" i="2"/>
  <c r="CR19" i="2"/>
  <c r="CP19" i="2"/>
  <c r="CJ19" i="2"/>
  <c r="CN19" i="2" s="1"/>
  <c r="CI19" i="2"/>
  <c r="CM19" i="2" s="1"/>
  <c r="CH19" i="2"/>
  <c r="DX19" i="2" s="1"/>
  <c r="CB19" i="2"/>
  <c r="BW19" i="2"/>
  <c r="BQ19" i="2"/>
  <c r="BN19" i="2"/>
  <c r="BM19" i="2"/>
  <c r="BI19" i="2"/>
  <c r="BG19" i="2"/>
  <c r="AX19" i="2"/>
  <c r="AU19" i="2"/>
  <c r="AS19" i="2"/>
  <c r="AR19" i="2"/>
  <c r="AO19" i="2"/>
  <c r="AC19" i="2"/>
  <c r="AA19" i="2"/>
  <c r="W19" i="2"/>
  <c r="U19" i="2"/>
  <c r="BV19" i="2" s="1"/>
  <c r="T19" i="2"/>
  <c r="R19" i="2"/>
  <c r="Q19" i="2"/>
  <c r="N19" i="2"/>
  <c r="D19" i="2"/>
  <c r="DP18" i="2"/>
  <c r="DO18" i="2"/>
  <c r="CY18" i="2"/>
  <c r="CT18" i="2"/>
  <c r="CX18" i="2" s="1"/>
  <c r="CS18" i="2"/>
  <c r="CR18" i="2"/>
  <c r="CP18" i="2"/>
  <c r="CJ18" i="2"/>
  <c r="CN18" i="2" s="1"/>
  <c r="CI18" i="2"/>
  <c r="CM18" i="2" s="1"/>
  <c r="CB18" i="2"/>
  <c r="BW18" i="2"/>
  <c r="BQ18" i="2"/>
  <c r="BN18" i="2"/>
  <c r="BM18" i="2"/>
  <c r="BI18" i="2"/>
  <c r="BG18" i="2"/>
  <c r="AU18" i="2" s="1"/>
  <c r="AX18" i="2"/>
  <c r="AS18" i="2"/>
  <c r="AA18" i="2" s="1"/>
  <c r="AN18" i="2" s="1"/>
  <c r="AR18" i="2"/>
  <c r="AO18" i="2"/>
  <c r="AC18" i="2"/>
  <c r="W18" i="2"/>
  <c r="U18" i="2"/>
  <c r="BV18" i="2" s="1"/>
  <c r="T18" i="2"/>
  <c r="R18" i="2"/>
  <c r="Q18" i="2"/>
  <c r="N18" i="2"/>
  <c r="D18" i="2"/>
  <c r="BP18" i="2" l="1"/>
  <c r="X18" i="2"/>
  <c r="AB18" i="2"/>
  <c r="AF18" i="2" s="1"/>
  <c r="CH18" i="2"/>
  <c r="CU18" i="2"/>
  <c r="AB19" i="2"/>
  <c r="CU19" i="2"/>
  <c r="AB21" i="2"/>
  <c r="CU21" i="2"/>
  <c r="U23" i="2"/>
  <c r="BV23" i="2" s="1"/>
  <c r="DW23" i="2"/>
  <c r="BH23" i="2"/>
  <c r="U24" i="2"/>
  <c r="BV24" i="2" s="1"/>
  <c r="AB25" i="2"/>
  <c r="CU25" i="2"/>
  <c r="U27" i="2"/>
  <c r="BV27" i="2" s="1"/>
  <c r="AF27" i="2"/>
  <c r="DW27" i="2"/>
  <c r="CU27" i="2"/>
  <c r="U28" i="2"/>
  <c r="BV28" i="2" s="1"/>
  <c r="AF28" i="2"/>
  <c r="DW28" i="2"/>
  <c r="CN28" i="2"/>
  <c r="U29" i="2"/>
  <c r="BV29" i="2" s="1"/>
  <c r="CO18" i="2"/>
  <c r="CG18" i="2" s="1"/>
  <c r="BH18" i="2"/>
  <c r="DX18" i="2"/>
  <c r="AD18" i="2"/>
  <c r="Z18" i="2"/>
  <c r="AE18" i="2"/>
  <c r="DW18" i="2"/>
  <c r="AF19" i="2"/>
  <c r="AD19" i="2"/>
  <c r="Z19" i="2"/>
  <c r="AN19" i="2"/>
  <c r="CO19" i="2" s="1"/>
  <c r="AE19" i="2"/>
  <c r="DW19" i="2"/>
  <c r="BP21" i="2"/>
  <c r="BO21" i="2" s="1"/>
  <c r="X21" i="2"/>
  <c r="BO18" i="2"/>
  <c r="CK18" i="2"/>
  <c r="CL18" i="2" s="1"/>
  <c r="BH19" i="2"/>
  <c r="CK19" i="2"/>
  <c r="CL19" i="2" s="1"/>
  <c r="AA20" i="2"/>
  <c r="CH20" i="2"/>
  <c r="CN20" i="2"/>
  <c r="CU20" i="2"/>
  <c r="Z21" i="2"/>
  <c r="AD21" i="2"/>
  <c r="AF21" i="2"/>
  <c r="BH21" i="2"/>
  <c r="CK21" i="2"/>
  <c r="CL21" i="2" s="1"/>
  <c r="CO21" i="2"/>
  <c r="CG21" i="2" s="1"/>
  <c r="AA22" i="2"/>
  <c r="CH22" i="2"/>
  <c r="CN22" i="2"/>
  <c r="CU22" i="2"/>
  <c r="AA23" i="2"/>
  <c r="CK23" i="2"/>
  <c r="CL23" i="2" s="1"/>
  <c r="AF25" i="2"/>
  <c r="AN26" i="2"/>
  <c r="BP26" i="2" s="1"/>
  <c r="BO26" i="2" s="1"/>
  <c r="AE26" i="2"/>
  <c r="AF26" i="2"/>
  <c r="AD26" i="2"/>
  <c r="Z26" i="2"/>
  <c r="CK20" i="2"/>
  <c r="CL20" i="2" s="1"/>
  <c r="AE21" i="2"/>
  <c r="CK22" i="2"/>
  <c r="CL22" i="2" s="1"/>
  <c r="CM23" i="2"/>
  <c r="AN24" i="2"/>
  <c r="BP24" i="2" s="1"/>
  <c r="BO24" i="2" s="1"/>
  <c r="AE24" i="2"/>
  <c r="AF24" i="2"/>
  <c r="AD24" i="2"/>
  <c r="Z24" i="2"/>
  <c r="X29" i="2"/>
  <c r="AN29" i="2"/>
  <c r="BP29" i="2" s="1"/>
  <c r="BO29" i="2" s="1"/>
  <c r="AE29" i="2"/>
  <c r="AF29" i="2"/>
  <c r="AD29" i="2"/>
  <c r="Z29" i="2"/>
  <c r="CK24" i="2"/>
  <c r="CL24" i="2" s="1"/>
  <c r="CM24" i="2"/>
  <c r="CX24" i="2"/>
  <c r="DW24" i="2"/>
  <c r="AE25" i="2"/>
  <c r="AN25" i="2"/>
  <c r="CO25" i="2" s="1"/>
  <c r="CG25" i="2" s="1"/>
  <c r="DX25" i="2"/>
  <c r="CK26" i="2"/>
  <c r="CL26" i="2" s="1"/>
  <c r="CM26" i="2"/>
  <c r="CX26" i="2"/>
  <c r="DW26" i="2"/>
  <c r="AE27" i="2"/>
  <c r="AN27" i="2"/>
  <c r="DX27" i="2"/>
  <c r="AE28" i="2"/>
  <c r="AN28" i="2"/>
  <c r="DX28" i="2"/>
  <c r="CK29" i="2"/>
  <c r="CL29" i="2" s="1"/>
  <c r="CM29" i="2"/>
  <c r="CX29" i="2"/>
  <c r="DW29" i="2"/>
  <c r="CH24" i="2"/>
  <c r="Z25" i="2"/>
  <c r="AD25" i="2"/>
  <c r="BH25" i="2"/>
  <c r="CK25" i="2"/>
  <c r="CL25" i="2" s="1"/>
  <c r="CH26" i="2"/>
  <c r="Z27" i="2"/>
  <c r="AD27" i="2"/>
  <c r="CK27" i="2"/>
  <c r="CL27" i="2" s="1"/>
  <c r="Z28" i="2"/>
  <c r="AD28" i="2"/>
  <c r="BH28" i="2"/>
  <c r="CK28" i="2"/>
  <c r="CL28" i="2" s="1"/>
  <c r="CH29" i="2"/>
  <c r="DO29" i="1"/>
  <c r="DP29" i="1" s="1"/>
  <c r="CY29" i="1"/>
  <c r="CT29" i="1"/>
  <c r="CU29" i="1" s="1"/>
  <c r="CS29" i="1"/>
  <c r="CR29" i="1"/>
  <c r="CP29" i="1"/>
  <c r="CJ29" i="1"/>
  <c r="CI29" i="1"/>
  <c r="CH29" i="1"/>
  <c r="DX29" i="1" s="1"/>
  <c r="CB29" i="1"/>
  <c r="BW29" i="1"/>
  <c r="BQ29" i="1"/>
  <c r="BN29" i="1"/>
  <c r="BM29" i="1"/>
  <c r="BI29" i="1"/>
  <c r="BG29" i="1"/>
  <c r="AX29" i="1"/>
  <c r="AU29" i="1"/>
  <c r="AS29" i="1"/>
  <c r="AR29" i="1"/>
  <c r="AO29" i="1"/>
  <c r="AB29" i="1"/>
  <c r="AA29" i="1"/>
  <c r="AN29" i="1" s="1"/>
  <c r="W29" i="1"/>
  <c r="T29" i="1"/>
  <c r="R29" i="1"/>
  <c r="Q29" i="1"/>
  <c r="N29" i="1"/>
  <c r="D29" i="1"/>
  <c r="DO28" i="1"/>
  <c r="DP28" i="1" s="1"/>
  <c r="CY28" i="1"/>
  <c r="CT28" i="1"/>
  <c r="CX28" i="1" s="1"/>
  <c r="CS28" i="1"/>
  <c r="CR28" i="1"/>
  <c r="CJ28" i="1" s="1"/>
  <c r="CP28" i="1"/>
  <c r="CI28" i="1"/>
  <c r="CM28" i="1" s="1"/>
  <c r="CB28" i="1"/>
  <c r="BW28" i="1"/>
  <c r="BQ28" i="1"/>
  <c r="BN28" i="1"/>
  <c r="BM28" i="1"/>
  <c r="BI28" i="1"/>
  <c r="BG28" i="1"/>
  <c r="AX28" i="1"/>
  <c r="AU28" i="1"/>
  <c r="AS28" i="1"/>
  <c r="DW28" i="1" s="1"/>
  <c r="AR28" i="1"/>
  <c r="AO28" i="1"/>
  <c r="W28" i="1"/>
  <c r="T28" i="1"/>
  <c r="U28" i="1" s="1"/>
  <c r="BV28" i="1" s="1"/>
  <c r="R28" i="1"/>
  <c r="Q28" i="1"/>
  <c r="N28" i="1"/>
  <c r="D28" i="1"/>
  <c r="DO27" i="1"/>
  <c r="DP27" i="1" s="1"/>
  <c r="CY27" i="1"/>
  <c r="CT27" i="1"/>
  <c r="CU27" i="1" s="1"/>
  <c r="CS27" i="1"/>
  <c r="CR27" i="1"/>
  <c r="CP27" i="1"/>
  <c r="CJ27" i="1"/>
  <c r="CI27" i="1"/>
  <c r="CH27" i="1"/>
  <c r="DX27" i="1" s="1"/>
  <c r="CB27" i="1"/>
  <c r="BW27" i="1"/>
  <c r="BQ27" i="1"/>
  <c r="BN27" i="1"/>
  <c r="BM27" i="1"/>
  <c r="BI27" i="1"/>
  <c r="BG27" i="1"/>
  <c r="AX27" i="1"/>
  <c r="AU27" i="1"/>
  <c r="AS27" i="1"/>
  <c r="AR27" i="1"/>
  <c r="AO27" i="1"/>
  <c r="AB27" i="1"/>
  <c r="AA27" i="1"/>
  <c r="AN27" i="1" s="1"/>
  <c r="W27" i="1"/>
  <c r="T27" i="1"/>
  <c r="U27" i="1" s="1"/>
  <c r="BV27" i="1" s="1"/>
  <c r="R27" i="1"/>
  <c r="Q27" i="1"/>
  <c r="N27" i="1"/>
  <c r="L27" i="1" s="1"/>
  <c r="D27" i="1"/>
  <c r="DO26" i="1"/>
  <c r="DP26" i="1" s="1"/>
  <c r="CY26" i="1"/>
  <c r="CT26" i="1"/>
  <c r="CU26" i="1" s="1"/>
  <c r="CS26" i="1"/>
  <c r="CR26" i="1"/>
  <c r="CJ26" i="1" s="1"/>
  <c r="CP26" i="1"/>
  <c r="CI26" i="1"/>
  <c r="CN26" i="1" s="1"/>
  <c r="CB26" i="1"/>
  <c r="BW26" i="1"/>
  <c r="BQ26" i="1"/>
  <c r="BN26" i="1"/>
  <c r="BM26" i="1"/>
  <c r="BI26" i="1"/>
  <c r="BG26" i="1"/>
  <c r="AX26" i="1"/>
  <c r="AU26" i="1"/>
  <c r="AS26" i="1"/>
  <c r="AB26" i="1" s="1"/>
  <c r="AR26" i="1"/>
  <c r="AO26" i="1"/>
  <c r="W26" i="1"/>
  <c r="T26" i="1"/>
  <c r="U26" i="1" s="1"/>
  <c r="BV26" i="1" s="1"/>
  <c r="R26" i="1"/>
  <c r="Q26" i="1"/>
  <c r="N26" i="1"/>
  <c r="L26" i="1" s="1"/>
  <c r="D26" i="1"/>
  <c r="DO24" i="1"/>
  <c r="DP24" i="1" s="1"/>
  <c r="CY24" i="1"/>
  <c r="CT24" i="1"/>
  <c r="CU24" i="1" s="1"/>
  <c r="CS24" i="1"/>
  <c r="CR24" i="1"/>
  <c r="CJ24" i="1" s="1"/>
  <c r="CP24" i="1"/>
  <c r="CI24" i="1"/>
  <c r="CN24" i="1" s="1"/>
  <c r="CB24" i="1"/>
  <c r="BW24" i="1"/>
  <c r="BQ24" i="1"/>
  <c r="BN24" i="1"/>
  <c r="BM24" i="1"/>
  <c r="BI24" i="1"/>
  <c r="BG24" i="1"/>
  <c r="AX24" i="1"/>
  <c r="AU24" i="1"/>
  <c r="AS24" i="1"/>
  <c r="AA24" i="1" s="1"/>
  <c r="AR24" i="1"/>
  <c r="AB24" i="1" s="1"/>
  <c r="AO24" i="1"/>
  <c r="AC24" i="1"/>
  <c r="W24" i="1"/>
  <c r="T24" i="1"/>
  <c r="R24" i="1"/>
  <c r="Q24" i="1"/>
  <c r="N24" i="1"/>
  <c r="D24" i="1"/>
  <c r="DO23" i="1"/>
  <c r="DP23" i="1" s="1"/>
  <c r="CY23" i="1"/>
  <c r="CT23" i="1"/>
  <c r="CU23" i="1" s="1"/>
  <c r="CS23" i="1"/>
  <c r="CR23" i="1"/>
  <c r="CP23" i="1"/>
  <c r="CK23" i="1"/>
  <c r="CI23" i="1"/>
  <c r="CB23" i="1"/>
  <c r="BW23" i="1"/>
  <c r="BQ23" i="1"/>
  <c r="BN23" i="1"/>
  <c r="BM23" i="1"/>
  <c r="BI23" i="1"/>
  <c r="BG23" i="1"/>
  <c r="AX23" i="1"/>
  <c r="AU23" i="1"/>
  <c r="AS23" i="1"/>
  <c r="AA23" i="1" s="1"/>
  <c r="AR23" i="1"/>
  <c r="AO23" i="1"/>
  <c r="AD23" i="1"/>
  <c r="AC23" i="1"/>
  <c r="AB23" i="1"/>
  <c r="W23" i="1"/>
  <c r="T23" i="1"/>
  <c r="R23" i="1"/>
  <c r="Q23" i="1"/>
  <c r="N23" i="1"/>
  <c r="D23" i="1"/>
  <c r="DO22" i="1"/>
  <c r="DP22" i="1" s="1"/>
  <c r="CY22" i="1"/>
  <c r="CT22" i="1"/>
  <c r="CU22" i="1" s="1"/>
  <c r="CS22" i="1"/>
  <c r="CR22" i="1"/>
  <c r="CP22" i="1"/>
  <c r="CI22" i="1"/>
  <c r="CK22" i="1" s="1"/>
  <c r="CB22" i="1"/>
  <c r="BW22" i="1"/>
  <c r="BQ22" i="1"/>
  <c r="BN22" i="1"/>
  <c r="BM22" i="1"/>
  <c r="BI22" i="1"/>
  <c r="BG22" i="1"/>
  <c r="AX22" i="1"/>
  <c r="AU22" i="1"/>
  <c r="AS22" i="1"/>
  <c r="DW22" i="1" s="1"/>
  <c r="AR22" i="1"/>
  <c r="AO22" i="1"/>
  <c r="X22" i="1" s="1"/>
  <c r="AC22" i="1"/>
  <c r="AA22" i="1"/>
  <c r="AN22" i="1" s="1"/>
  <c r="BP22" i="1" s="1"/>
  <c r="W22" i="1"/>
  <c r="T22" i="1"/>
  <c r="U22" i="1" s="1"/>
  <c r="BV22" i="1" s="1"/>
  <c r="R22" i="1"/>
  <c r="Q22" i="1"/>
  <c r="N22" i="1"/>
  <c r="D22" i="1"/>
  <c r="DO21" i="1"/>
  <c r="DP21" i="1" s="1"/>
  <c r="CY21" i="1"/>
  <c r="CU21" i="1"/>
  <c r="CT21" i="1"/>
  <c r="CX21" i="1" s="1"/>
  <c r="CS21" i="1"/>
  <c r="CH21" i="1" s="1"/>
  <c r="DX21" i="1" s="1"/>
  <c r="CR21" i="1"/>
  <c r="CP21" i="1"/>
  <c r="CJ21" i="1"/>
  <c r="CI21" i="1"/>
  <c r="CM21" i="1" s="1"/>
  <c r="CB21" i="1"/>
  <c r="BW21" i="1"/>
  <c r="BQ21" i="1"/>
  <c r="BN21" i="1"/>
  <c r="BM21" i="1"/>
  <c r="BI21" i="1"/>
  <c r="BG21" i="1"/>
  <c r="AX21" i="1"/>
  <c r="AU21" i="1"/>
  <c r="AS21" i="1"/>
  <c r="AR21" i="1"/>
  <c r="AB21" i="1" s="1"/>
  <c r="AO21" i="1"/>
  <c r="AC21" i="1"/>
  <c r="AA21" i="1"/>
  <c r="AN21" i="1" s="1"/>
  <c r="W21" i="1"/>
  <c r="T21" i="1"/>
  <c r="U21" i="1" s="1"/>
  <c r="BV21" i="1" s="1"/>
  <c r="R21" i="1"/>
  <c r="Q21" i="1"/>
  <c r="N21" i="1"/>
  <c r="D21" i="1"/>
  <c r="DO20" i="1"/>
  <c r="DP20" i="1" s="1"/>
  <c r="CY20" i="1"/>
  <c r="CU20" i="1"/>
  <c r="CT20" i="1"/>
  <c r="CX20" i="1" s="1"/>
  <c r="CS20" i="1"/>
  <c r="CH20" i="1" s="1"/>
  <c r="DX20" i="1" s="1"/>
  <c r="CR20" i="1"/>
  <c r="CP20" i="1"/>
  <c r="CJ20" i="1"/>
  <c r="CI20" i="1"/>
  <c r="CM20" i="1" s="1"/>
  <c r="CB20" i="1"/>
  <c r="BW20" i="1"/>
  <c r="BQ20" i="1"/>
  <c r="BN20" i="1"/>
  <c r="BM20" i="1"/>
  <c r="BI20" i="1"/>
  <c r="BG20" i="1"/>
  <c r="AX20" i="1"/>
  <c r="AU20" i="1"/>
  <c r="AS20" i="1"/>
  <c r="AR20" i="1"/>
  <c r="AB20" i="1" s="1"/>
  <c r="AO20" i="1"/>
  <c r="AC20" i="1"/>
  <c r="AA20" i="1"/>
  <c r="AN20" i="1" s="1"/>
  <c r="W20" i="1"/>
  <c r="T20" i="1"/>
  <c r="U20" i="1" s="1"/>
  <c r="BV20" i="1" s="1"/>
  <c r="R20" i="1"/>
  <c r="Q20" i="1"/>
  <c r="N20" i="1"/>
  <c r="D20" i="1"/>
  <c r="DO19" i="1"/>
  <c r="DP19" i="1" s="1"/>
  <c r="CY19" i="1"/>
  <c r="CU19" i="1"/>
  <c r="CT19" i="1"/>
  <c r="CX19" i="1" s="1"/>
  <c r="CS19" i="1"/>
  <c r="CH19" i="1" s="1"/>
  <c r="DX19" i="1" s="1"/>
  <c r="CR19" i="1"/>
  <c r="CP19" i="1"/>
  <c r="CJ19" i="1"/>
  <c r="CI19" i="1"/>
  <c r="CM19" i="1" s="1"/>
  <c r="CB19" i="1"/>
  <c r="BW19" i="1"/>
  <c r="BQ19" i="1"/>
  <c r="BN19" i="1"/>
  <c r="BM19" i="1"/>
  <c r="BI19" i="1"/>
  <c r="BG19" i="1"/>
  <c r="AX19" i="1"/>
  <c r="AU19" i="1"/>
  <c r="AS19" i="1"/>
  <c r="AR19" i="1"/>
  <c r="AB19" i="1" s="1"/>
  <c r="AO19" i="1"/>
  <c r="AC19" i="1"/>
  <c r="AA19" i="1"/>
  <c r="AN19" i="1" s="1"/>
  <c r="W19" i="1"/>
  <c r="T19" i="1"/>
  <c r="U19" i="1" s="1"/>
  <c r="BV19" i="1" s="1"/>
  <c r="R19" i="1"/>
  <c r="Q19" i="1"/>
  <c r="N19" i="1"/>
  <c r="L19" i="1" s="1"/>
  <c r="D19" i="1"/>
  <c r="DO18" i="1"/>
  <c r="DP18" i="1" s="1"/>
  <c r="CY18" i="1"/>
  <c r="CT18" i="1"/>
  <c r="CX18" i="1" s="1"/>
  <c r="CS18" i="1"/>
  <c r="CR18" i="1"/>
  <c r="CJ18" i="1" s="1"/>
  <c r="CP18" i="1"/>
  <c r="CI18" i="1"/>
  <c r="CM18" i="1" s="1"/>
  <c r="CB18" i="1"/>
  <c r="BW18" i="1"/>
  <c r="BQ18" i="1"/>
  <c r="BN18" i="1"/>
  <c r="BM18" i="1"/>
  <c r="BI18" i="1"/>
  <c r="BG18" i="1"/>
  <c r="AX18" i="1"/>
  <c r="AU18" i="1"/>
  <c r="AS18" i="1"/>
  <c r="AR18" i="1"/>
  <c r="AB18" i="1" s="1"/>
  <c r="AO18" i="1"/>
  <c r="AC18" i="1"/>
  <c r="W18" i="1"/>
  <c r="T18" i="1"/>
  <c r="R18" i="1"/>
  <c r="Q18" i="1"/>
  <c r="N18" i="1"/>
  <c r="D18" i="1"/>
  <c r="DO17" i="1"/>
  <c r="DP17" i="1" s="1"/>
  <c r="CY17" i="1"/>
  <c r="CT17" i="1"/>
  <c r="CX17" i="1" s="1"/>
  <c r="CS17" i="1"/>
  <c r="CR17" i="1"/>
  <c r="CJ17" i="1" s="1"/>
  <c r="CP17" i="1"/>
  <c r="CI17" i="1"/>
  <c r="CB17" i="1"/>
  <c r="BW17" i="1"/>
  <c r="BQ17" i="1"/>
  <c r="BN17" i="1"/>
  <c r="BM17" i="1"/>
  <c r="BI17" i="1"/>
  <c r="BG17" i="1"/>
  <c r="AX17" i="1"/>
  <c r="AU17" i="1"/>
  <c r="AS17" i="1"/>
  <c r="AR17" i="1"/>
  <c r="AO17" i="1"/>
  <c r="AC17" i="1"/>
  <c r="W17" i="1"/>
  <c r="T17" i="1"/>
  <c r="R17" i="1"/>
  <c r="Q17" i="1"/>
  <c r="N17" i="1"/>
  <c r="D17" i="1"/>
  <c r="CG19" i="2" l="1"/>
  <c r="BP27" i="2"/>
  <c r="BO27" i="2" s="1"/>
  <c r="X27" i="2"/>
  <c r="DX29" i="2"/>
  <c r="CO29" i="2"/>
  <c r="CG29" i="2" s="1"/>
  <c r="BH29" i="2"/>
  <c r="DX26" i="2"/>
  <c r="CO26" i="2"/>
  <c r="CG26" i="2" s="1"/>
  <c r="BH26" i="2"/>
  <c r="DX24" i="2"/>
  <c r="CO24" i="2"/>
  <c r="CG24" i="2" s="1"/>
  <c r="BH24" i="2"/>
  <c r="BP28" i="2"/>
  <c r="BO28" i="2" s="1"/>
  <c r="X28" i="2"/>
  <c r="BP25" i="2"/>
  <c r="BO25" i="2" s="1"/>
  <c r="X25" i="2"/>
  <c r="CO28" i="2"/>
  <c r="CG28" i="2" s="1"/>
  <c r="X24" i="2"/>
  <c r="X26" i="2"/>
  <c r="AF23" i="2"/>
  <c r="AD23" i="2"/>
  <c r="Z23" i="2"/>
  <c r="AN23" i="2"/>
  <c r="AE23" i="2"/>
  <c r="AF22" i="2"/>
  <c r="AD22" i="2"/>
  <c r="Z22" i="2"/>
  <c r="AN22" i="2"/>
  <c r="CO22" i="2" s="1"/>
  <c r="AE22" i="2"/>
  <c r="CO20" i="2"/>
  <c r="CG20" i="2" s="1"/>
  <c r="BH20" i="2"/>
  <c r="DX20" i="2"/>
  <c r="CO27" i="2"/>
  <c r="CG27" i="2" s="1"/>
  <c r="BH22" i="2"/>
  <c r="DX22" i="2"/>
  <c r="AF20" i="2"/>
  <c r="AD20" i="2"/>
  <c r="Z20" i="2"/>
  <c r="AN20" i="2"/>
  <c r="AE20" i="2"/>
  <c r="BP19" i="2"/>
  <c r="BO19" i="2" s="1"/>
  <c r="X19" i="2"/>
  <c r="U18" i="1"/>
  <c r="BV18" i="1" s="1"/>
  <c r="DW18" i="1"/>
  <c r="DW19" i="1"/>
  <c r="CN19" i="1"/>
  <c r="DW20" i="1"/>
  <c r="CN20" i="1"/>
  <c r="DW21" i="1"/>
  <c r="CN21" i="1"/>
  <c r="BO22" i="1"/>
  <c r="AF23" i="1"/>
  <c r="U24" i="1"/>
  <c r="BV24" i="1" s="1"/>
  <c r="AA26" i="1"/>
  <c r="AN26" i="1" s="1"/>
  <c r="DW27" i="1"/>
  <c r="BH27" i="1"/>
  <c r="CN27" i="1"/>
  <c r="AA28" i="1"/>
  <c r="U29" i="1"/>
  <c r="BV29" i="1" s="1"/>
  <c r="DW29" i="1"/>
  <c r="BH29" i="1"/>
  <c r="CN29" i="1"/>
  <c r="AA17" i="1"/>
  <c r="DW17" i="1"/>
  <c r="BP19" i="1"/>
  <c r="BO19" i="1" s="1"/>
  <c r="X19" i="1"/>
  <c r="BP20" i="1"/>
  <c r="X20" i="1"/>
  <c r="BP21" i="1"/>
  <c r="BO21" i="1" s="1"/>
  <c r="X21" i="1"/>
  <c r="AB17" i="1"/>
  <c r="U17" i="1"/>
  <c r="BV17" i="1" s="1"/>
  <c r="CN17" i="1"/>
  <c r="CM17" i="1"/>
  <c r="CK17" i="1"/>
  <c r="CL17" i="1" s="1"/>
  <c r="BO20" i="1"/>
  <c r="CH17" i="1"/>
  <c r="CU17" i="1"/>
  <c r="AA18" i="1"/>
  <c r="CH18" i="1"/>
  <c r="CN18" i="1"/>
  <c r="CU18" i="1"/>
  <c r="Z19" i="1"/>
  <c r="AD19" i="1"/>
  <c r="AF19" i="1"/>
  <c r="BH19" i="1"/>
  <c r="CK19" i="1"/>
  <c r="CL19" i="1" s="1"/>
  <c r="CO19" i="1"/>
  <c r="CG19" i="1" s="1"/>
  <c r="Z20" i="1"/>
  <c r="AD20" i="1"/>
  <c r="AF20" i="1"/>
  <c r="BH20" i="1"/>
  <c r="CK20" i="1"/>
  <c r="CL20" i="1" s="1"/>
  <c r="CO20" i="1"/>
  <c r="CG20" i="1" s="1"/>
  <c r="Z21" i="1"/>
  <c r="AD21" i="1"/>
  <c r="AF21" i="1"/>
  <c r="BH21" i="1"/>
  <c r="CK21" i="1"/>
  <c r="CL21" i="1" s="1"/>
  <c r="CO21" i="1"/>
  <c r="CG21" i="1" s="1"/>
  <c r="Z22" i="1"/>
  <c r="AB22" i="1"/>
  <c r="AD22" i="1"/>
  <c r="AF22" i="1"/>
  <c r="CM22" i="1"/>
  <c r="CX22" i="1"/>
  <c r="U23" i="1"/>
  <c r="BV23" i="1" s="1"/>
  <c r="Z23" i="1"/>
  <c r="CM23" i="1"/>
  <c r="CX23" i="1"/>
  <c r="AN24" i="1"/>
  <c r="BP24" i="1" s="1"/>
  <c r="AE24" i="1"/>
  <c r="BO24" i="1"/>
  <c r="AF24" i="1"/>
  <c r="AD24" i="1"/>
  <c r="Z24" i="1"/>
  <c r="BP26" i="1"/>
  <c r="X26" i="1"/>
  <c r="BP27" i="1"/>
  <c r="X27" i="1"/>
  <c r="BP29" i="1"/>
  <c r="X29" i="1"/>
  <c r="CK18" i="1"/>
  <c r="CL18" i="1" s="1"/>
  <c r="AE19" i="1"/>
  <c r="AE20" i="1"/>
  <c r="AE21" i="1"/>
  <c r="AE22" i="1"/>
  <c r="CJ22" i="1"/>
  <c r="CN22" i="1" s="1"/>
  <c r="CH22" i="1"/>
  <c r="AN23" i="1"/>
  <c r="BP23" i="1" s="1"/>
  <c r="AE23" i="1"/>
  <c r="BO23" i="1"/>
  <c r="CJ23" i="1"/>
  <c r="CN23" i="1" s="1"/>
  <c r="CH23" i="1"/>
  <c r="DW23" i="1"/>
  <c r="CK24" i="1"/>
  <c r="CL24" i="1" s="1"/>
  <c r="CM24" i="1"/>
  <c r="CX24" i="1"/>
  <c r="DW24" i="1"/>
  <c r="AD26" i="1"/>
  <c r="AF26" i="1"/>
  <c r="BO26" i="1"/>
  <c r="CK26" i="1"/>
  <c r="CL26" i="1" s="1"/>
  <c r="CM26" i="1"/>
  <c r="CX26" i="1"/>
  <c r="DW26" i="1"/>
  <c r="AD27" i="1"/>
  <c r="AF27" i="1"/>
  <c r="BO27" i="1"/>
  <c r="CK27" i="1"/>
  <c r="CL27" i="1" s="1"/>
  <c r="CM27" i="1"/>
  <c r="CO27" i="1"/>
  <c r="CG27" i="1" s="1"/>
  <c r="CX27" i="1"/>
  <c r="Z28" i="1"/>
  <c r="AB28" i="1"/>
  <c r="AE28" i="1"/>
  <c r="AN28" i="1"/>
  <c r="CH28" i="1"/>
  <c r="CN28" i="1"/>
  <c r="CU28" i="1"/>
  <c r="AD29" i="1"/>
  <c r="AF29" i="1"/>
  <c r="BO29" i="1"/>
  <c r="CG29" i="1"/>
  <c r="CK29" i="1"/>
  <c r="CL29" i="1" s="1"/>
  <c r="CM29" i="1"/>
  <c r="CO29" i="1"/>
  <c r="CX29" i="1"/>
  <c r="CH24" i="1"/>
  <c r="Z26" i="1"/>
  <c r="AE26" i="1"/>
  <c r="CH26" i="1"/>
  <c r="Z27" i="1"/>
  <c r="AE27" i="1"/>
  <c r="AD28" i="1"/>
  <c r="AF28" i="1"/>
  <c r="CK28" i="1"/>
  <c r="CL28" i="1" s="1"/>
  <c r="Z29" i="1"/>
  <c r="AE29" i="1"/>
  <c r="CG22" i="2" l="1"/>
  <c r="BP20" i="2"/>
  <c r="BO20" i="2" s="1"/>
  <c r="X20" i="2"/>
  <c r="BP22" i="2"/>
  <c r="BO22" i="2" s="1"/>
  <c r="X22" i="2"/>
  <c r="BP23" i="2"/>
  <c r="BO23" i="2" s="1"/>
  <c r="X23" i="2"/>
  <c r="CO23" i="2"/>
  <c r="CG23" i="2" s="1"/>
  <c r="CL22" i="1"/>
  <c r="DX24" i="1"/>
  <c r="CO24" i="1"/>
  <c r="CG24" i="1" s="1"/>
  <c r="BH24" i="1"/>
  <c r="X28" i="1"/>
  <c r="BP28" i="1"/>
  <c r="BO28" i="1" s="1"/>
  <c r="DX23" i="1"/>
  <c r="CO23" i="1"/>
  <c r="BH23" i="1"/>
  <c r="CL23" i="1"/>
  <c r="X23" i="1"/>
  <c r="X24" i="1"/>
  <c r="BH18" i="1"/>
  <c r="DX18" i="1"/>
  <c r="DX26" i="1"/>
  <c r="CO26" i="1"/>
  <c r="CG26" i="1"/>
  <c r="BH26" i="1"/>
  <c r="CO28" i="1"/>
  <c r="CG28" i="1" s="1"/>
  <c r="BH28" i="1"/>
  <c r="DX28" i="1"/>
  <c r="DX22" i="1"/>
  <c r="CO22" i="1"/>
  <c r="CG22" i="1" s="1"/>
  <c r="BH22" i="1"/>
  <c r="AF18" i="1"/>
  <c r="AD18" i="1"/>
  <c r="Z18" i="1"/>
  <c r="AN18" i="1"/>
  <c r="AE18" i="1"/>
  <c r="DX17" i="1"/>
  <c r="BH17" i="1"/>
  <c r="AN17" i="1"/>
  <c r="AE17" i="1"/>
  <c r="AF17" i="1"/>
  <c r="Z17" i="1"/>
  <c r="AD17" i="1"/>
  <c r="CG23" i="1" l="1"/>
  <c r="BP17" i="1"/>
  <c r="BO17" i="1" s="1"/>
  <c r="X17" i="1"/>
  <c r="BP18" i="1"/>
  <c r="BO18" i="1" s="1"/>
  <c r="X18" i="1"/>
  <c r="CO18" i="1"/>
  <c r="CG18" i="1" s="1"/>
  <c r="CO17" i="1"/>
  <c r="CG17" i="1" s="1"/>
  <c r="E5" i="2" l="1"/>
  <c r="DU14" i="1"/>
  <c r="DM14" i="1"/>
  <c r="DN14" i="1" s="1"/>
  <c r="CW14" i="1"/>
  <c r="CR14" i="1"/>
  <c r="CS14" i="1" s="1"/>
  <c r="CQ14" i="1"/>
  <c r="CP14" i="1"/>
  <c r="CH14" i="1" s="1"/>
  <c r="CN14" i="1"/>
  <c r="CG14" i="1"/>
  <c r="CL14" i="1" s="1"/>
  <c r="BZ14" i="1"/>
  <c r="BU14" i="1"/>
  <c r="BT14" i="1"/>
  <c r="BO14" i="1"/>
  <c r="BL14" i="1"/>
  <c r="DU12" i="1"/>
  <c r="DM12" i="1"/>
  <c r="DN12" i="1" s="1"/>
  <c r="CW12" i="1"/>
  <c r="CR12" i="1"/>
  <c r="CV12" i="1" s="1"/>
  <c r="CQ12" i="1"/>
  <c r="CP12" i="1"/>
  <c r="CN12" i="1"/>
  <c r="CH12" i="1"/>
  <c r="CG12" i="1"/>
  <c r="CK12" i="1" s="1"/>
  <c r="BZ12" i="1"/>
  <c r="BU12" i="1"/>
  <c r="BT12" i="1"/>
  <c r="BO12" i="1"/>
  <c r="BL12" i="1"/>
  <c r="E6" i="1"/>
  <c r="CF12" i="1" l="1"/>
  <c r="DV12" i="1" s="1"/>
  <c r="CS12" i="1"/>
  <c r="CL12" i="1"/>
  <c r="CI14" i="1"/>
  <c r="CJ14" i="1" s="1"/>
  <c r="CK14" i="1"/>
  <c r="CV14" i="1"/>
  <c r="CI12" i="1"/>
  <c r="CJ12" i="1" s="1"/>
  <c r="CF14" i="1"/>
  <c r="DV14" i="1" l="1"/>
  <c r="BN12" i="1" l="1"/>
  <c r="BM12" i="1" s="1"/>
  <c r="CM12" i="1"/>
  <c r="CE12" i="1" s="1"/>
  <c r="BN14" i="1"/>
  <c r="BM14" i="1" s="1"/>
  <c r="CM14" i="1"/>
  <c r="CE14" i="1" s="1"/>
</calcChain>
</file>

<file path=xl/sharedStrings.xml><?xml version="1.0" encoding="utf-8"?>
<sst xmlns="http://schemas.openxmlformats.org/spreadsheetml/2006/main" count="782" uniqueCount="200">
  <si>
    <t xml:space="preserve"> HỌC VIỆN HÀNH CHÍNH QUỐC GIA</t>
  </si>
  <si>
    <t>CỘNG HÒA XÃ HỘI CHỦ NGHĨA VIỆT NAM</t>
  </si>
  <si>
    <t>BAN TỔ CHỨC - CÁN BỘ</t>
  </si>
  <si>
    <t>Độc lập - Tự do - Hạnh phúc</t>
  </si>
  <si>
    <t>Tổng số:</t>
  </si>
  <si>
    <t>trường hợp</t>
  </si>
  <si>
    <t xml:space="preserve">           </t>
  </si>
  <si>
    <t>công chức, viên chức</t>
  </si>
  <si>
    <t>01</t>
  </si>
  <si>
    <t>/</t>
  </si>
  <si>
    <t>7</t>
  </si>
  <si>
    <t>SỐ
TT</t>
  </si>
  <si>
    <t>HỌ TÊN</t>
  </si>
  <si>
    <t>GIỚI TÍNH</t>
  </si>
  <si>
    <t>ĐƠN VỊ</t>
  </si>
  <si>
    <t>NGẠCH/
CHỨC DANH NGHỀ NGHIỆP
VÀ MÃ SỐ</t>
  </si>
  <si>
    <t>NGẠCH</t>
  </si>
  <si>
    <t>MÃ SỐ NGẠCH</t>
  </si>
  <si>
    <t>ĐỦ ĐIỀU KIỆN, TIÊU CHUẨN NÂNG LƯƠNG</t>
  </si>
  <si>
    <t>GHI CHÚ</t>
  </si>
  <si>
    <t>Ghi 
chú</t>
  </si>
  <si>
    <t>GHI 
CHÚ</t>
  </si>
  <si>
    <t>Từ 
bậc</t>
  </si>
  <si>
    <t>lao động hợp đồng</t>
  </si>
  <si>
    <t>Bộ môn Khoa học hành chính,</t>
  </si>
  <si>
    <t>8</t>
  </si>
  <si>
    <t>2011</t>
  </si>
  <si>
    <t>Nữ</t>
  </si>
  <si>
    <t>Chức danh nghề nghiệp</t>
  </si>
  <si>
    <t>Giảng viên (hạng III)</t>
  </si>
  <si>
    <t>02</t>
  </si>
  <si>
    <t>%</t>
  </si>
  <si>
    <t>Nam</t>
  </si>
  <si>
    <t>11</t>
  </si>
  <si>
    <t>Ngạch</t>
  </si>
  <si>
    <t>12</t>
  </si>
  <si>
    <t>người lao động</t>
  </si>
  <si>
    <t>10</t>
  </si>
  <si>
    <t xml:space="preserve">Nơi nhận: </t>
  </si>
  <si>
    <t>KT. TRƯỞNG BAN</t>
  </si>
  <si>
    <t>- Các cơ sở, phân viện thuộc Học viện;</t>
  </si>
  <si>
    <t xml:space="preserve">PHÓ TRƯỞNG BAN </t>
  </si>
  <si>
    <t>- Trung tâm THHC&amp;CNTT (để đăng Website Học viện);</t>
  </si>
  <si>
    <t>(Đã ký)</t>
  </si>
  <si>
    <t>- Lưu: TC-CB.</t>
  </si>
  <si>
    <r>
      <t xml:space="preserve"> </t>
    </r>
    <r>
      <rPr>
        <b/>
        <sz val="11"/>
        <rFont val="Arial Narrow"/>
        <family val="2"/>
      </rPr>
      <t xml:space="preserve">* </t>
    </r>
    <r>
      <rPr>
        <b/>
        <u/>
        <sz val="11"/>
        <rFont val="Arial Narrow"/>
        <family val="2"/>
      </rPr>
      <t>Lưu ý:</t>
    </r>
    <r>
      <rPr>
        <b/>
        <sz val="11"/>
        <rFont val="Arial Narrow"/>
        <family val="2"/>
      </rPr>
      <t xml:space="preserve">   </t>
    </r>
    <r>
      <rPr>
        <sz val="11"/>
        <rFont val="Arial Narrow"/>
        <family val="2"/>
      </rPr>
      <t xml:space="preserve">- Danh sách này thay cho thông báo, được công khai trên bảng tin nhà A tại trụ sở Học viện ở Hà Nội, bảng tin tại các cơ sở, phân viện thuộc Học viện </t>
    </r>
  </si>
  <si>
    <t xml:space="preserve"> </t>
  </si>
  <si>
    <t xml:space="preserve">Tổng số: </t>
  </si>
  <si>
    <t>nhà giáo</t>
  </si>
  <si>
    <t>Tháng</t>
  </si>
  <si>
    <r>
      <t xml:space="preserve">* </t>
    </r>
    <r>
      <rPr>
        <b/>
        <u/>
        <sz val="11"/>
        <rFont val="Arial Narrow"/>
        <family val="2"/>
      </rPr>
      <t>Lưu ý:</t>
    </r>
    <r>
      <rPr>
        <sz val="11"/>
        <rFont val="Arial Narrow"/>
        <family val="2"/>
      </rPr>
      <t xml:space="preserve"> - Danh sách này thay cho thông báo, được công khai trên bảng tin nhà A tại trụ sở Học viện ở Hà Nội, bảng tin tại các  cơ sở, </t>
    </r>
  </si>
  <si>
    <t>HỌ TÊN 
NHÀ GIÁO</t>
  </si>
  <si>
    <t>ĐƠN VỊ CÔNG TÁC</t>
  </si>
  <si>
    <t>NGẠCH/ 
CHỨC DANH NGHỀ NGHIỆP
VÀ MÃ SỐ</t>
  </si>
  <si>
    <t>ĐỦ ĐIỀU KIỆN 
NÂNG PCTN</t>
  </si>
  <si>
    <t>ĐỦ ĐIỀU KIỆN NÂNG PCTN</t>
  </si>
  <si>
    <t>GHI
CHÚ</t>
  </si>
  <si>
    <t>Từ mức</t>
  </si>
  <si>
    <t>Lên mức</t>
  </si>
  <si>
    <t>Kể từ</t>
  </si>
  <si>
    <t>Thời gian Ko đc tính</t>
  </si>
  <si>
    <t>Thời gian giữ mức Pc</t>
  </si>
  <si>
    <t>Ds đủ ĐK nâng PC</t>
  </si>
  <si>
    <t>TT</t>
  </si>
  <si>
    <t>TEN</t>
  </si>
  <si>
    <t>GT</t>
  </si>
  <si>
    <t>BP</t>
  </si>
  <si>
    <t>DV</t>
  </si>
  <si>
    <t>Ma Ngach</t>
  </si>
  <si>
    <t>Pc1</t>
  </si>
  <si>
    <t>Pc2</t>
  </si>
  <si>
    <t>m</t>
  </si>
  <si>
    <t>y</t>
  </si>
  <si>
    <t>1</t>
  </si>
  <si>
    <t>Giảng viên cao cấp (hạng I)</t>
  </si>
  <si>
    <t>3</t>
  </si>
  <si>
    <t xml:space="preserve">(Đã ký) </t>
  </si>
  <si>
    <t>và trên Website Học viện Hành chính Quốc gia;</t>
  </si>
  <si>
    <t>9</t>
  </si>
  <si>
    <t>viên chức</t>
  </si>
  <si>
    <t>Chuyên viên</t>
  </si>
  <si>
    <t>5</t>
  </si>
  <si>
    <t>Khoa Hành chính học</t>
  </si>
  <si>
    <t>Cơ sở Học viện Hành chính Quốc gia tại Thành phố Hồ Chí Minh</t>
  </si>
  <si>
    <t>4</t>
  </si>
  <si>
    <t>6</t>
  </si>
  <si>
    <t>Khoa Nhà nước và Pháp luật</t>
  </si>
  <si>
    <t>Trung tâm Tin học - Thư viện</t>
  </si>
  <si>
    <t>ThS. Nguyễn Tiến Hiệp</t>
  </si>
  <si>
    <t>(người tiếp nhận: Vũ Thị Hồng Diệp, ĐT: 0438 359 295/ 01687.02.55.99).</t>
  </si>
  <si>
    <t>Khoa Quản lý Tài chính công</t>
  </si>
  <si>
    <r>
      <t xml:space="preserve">          - Các ý kiến thắc mắc liên quan (nếu có), đề nghị phản hồi tới Ban Tổ chức - Cán bộ trước ngày</t>
    </r>
    <r>
      <rPr>
        <b/>
        <sz val="11"/>
        <rFont val="Arial Narrow"/>
        <family val="2"/>
      </rPr>
      <t xml:space="preserve"> </t>
    </r>
    <r>
      <rPr>
        <b/>
        <sz val="11"/>
        <color indexed="12"/>
        <rFont val="Arial Narrow"/>
        <family val="2"/>
      </rPr>
      <t xml:space="preserve"> 08/5/2016</t>
    </r>
  </si>
  <si>
    <t>1962</t>
  </si>
  <si>
    <t>14</t>
  </si>
  <si>
    <t>Văn phòng Học viện</t>
  </si>
  <si>
    <t>II</t>
  </si>
  <si>
    <t>CÁC TRƯỜNG HỢP ĐỦ ĐIỀU KIỆN NÂNG PHỤ THÂM NIÊN VƯỢT KHUNG</t>
  </si>
  <si>
    <t>V.07.01.01</t>
  </si>
  <si>
    <t>Từ bậc</t>
  </si>
  <si>
    <t>Hệ số</t>
  </si>
  <si>
    <t>Lên bậc</t>
  </si>
  <si>
    <t>Kể từ ngày</t>
  </si>
  <si>
    <t>I</t>
  </si>
  <si>
    <t>CÁC TRƯỜNG HỢP ĐỦ ĐIỀU KIỆN NÂNG BẬC LƯƠNG THƯỜNG XUYÊN</t>
  </si>
  <si>
    <t>05</t>
  </si>
  <si>
    <t>Trùng tên</t>
  </si>
  <si>
    <t>19</t>
  </si>
  <si>
    <t>13</t>
  </si>
  <si>
    <t>1979</t>
  </si>
  <si>
    <t>18</t>
  </si>
  <si>
    <t>17</t>
  </si>
  <si>
    <t>Bộ môn Quản lý ngân sách nhà nước,</t>
  </si>
  <si>
    <t>Lái xe cơ quan</t>
  </si>
  <si>
    <t>1964</t>
  </si>
  <si>
    <t>15.110</t>
  </si>
  <si>
    <r>
      <t xml:space="preserve">DANH SÁCH CÔNG CHỨC, VIÊN CHỨC VÀ NGƯỜI LAO ĐỘNG THUỘC HỌC VIỆN HÀNH CHÍNH QUỐC GIA TẠI HÀ NỘI
ĐỦ ĐIỀU KIỆN, TIÊU CHUẨN NÂNG LƯƠNG TRONG THÁNG 8 NĂM </t>
    </r>
    <r>
      <rPr>
        <b/>
        <sz val="12"/>
        <color indexed="12"/>
        <rFont val="Arial Narrow"/>
        <family val="2"/>
      </rPr>
      <t>2016</t>
    </r>
  </si>
  <si>
    <r>
      <t xml:space="preserve">          - Các ý kiến thắc mắc liên quan (nếu có), đề nghị phản hồi tới Ban Tổ chức - Cán bộ trước ngày</t>
    </r>
    <r>
      <rPr>
        <b/>
        <sz val="11"/>
        <rFont val="Arial Narrow"/>
        <family val="2"/>
      </rPr>
      <t xml:space="preserve"> </t>
    </r>
    <r>
      <rPr>
        <b/>
        <sz val="11"/>
        <color indexed="12"/>
        <rFont val="Arial Narrow"/>
        <family val="2"/>
      </rPr>
      <t xml:space="preserve"> 16/8/2016</t>
    </r>
  </si>
  <si>
    <t>Bùi Thị Hải</t>
  </si>
  <si>
    <t>1978</t>
  </si>
  <si>
    <t>Bộ môn Thanh tra,</t>
  </si>
  <si>
    <t>V.07.01.03</t>
  </si>
  <si>
    <t>Nguyễn Xuân Nhã</t>
  </si>
  <si>
    <t>28</t>
  </si>
  <si>
    <t>Khoa Quản lý nhà nước về Đô thị và Nông thôn</t>
  </si>
  <si>
    <t>15</t>
  </si>
  <si>
    <t>Nguyễn Xuân Thu</t>
  </si>
  <si>
    <t>1974</t>
  </si>
  <si>
    <t>Phó Trưởng bộ môn</t>
  </si>
  <si>
    <t>Nguyễn Thị Thu Hương</t>
  </si>
  <si>
    <t>Ban Biên tập,</t>
  </si>
  <si>
    <t>Tạp chí Quản lý nhà nước</t>
  </si>
  <si>
    <t>Biên tập viên</t>
  </si>
  <si>
    <t>Lê Thị Thanh Trang</t>
  </si>
  <si>
    <t>06</t>
  </si>
  <si>
    <t>Trung tâm Ngoại ngữ</t>
  </si>
  <si>
    <t>Lê Thị Thanh Bình</t>
  </si>
  <si>
    <t>04</t>
  </si>
  <si>
    <t>Cán sự</t>
  </si>
  <si>
    <t>Vũ Thanh Vân</t>
  </si>
  <si>
    <t>nghiỉ ko lương ? Nghỉ ốm</t>
  </si>
  <si>
    <t>Đỗ Sĩ Mạnh</t>
  </si>
  <si>
    <t>Phòng Quản trị,</t>
  </si>
  <si>
    <t>Đinh Văn Tiến</t>
  </si>
  <si>
    <t>Nguyên Phó Giám đốc Học viện</t>
  </si>
  <si>
    <t>Phòng Liên kết đào tạo,</t>
  </si>
  <si>
    <t>Khoa Sau đại học</t>
  </si>
  <si>
    <t>GS</t>
  </si>
  <si>
    <t>Trần Quốc Hưng</t>
  </si>
  <si>
    <t>Đội Trưởng</t>
  </si>
  <si>
    <t>Đội Xe,</t>
  </si>
  <si>
    <t>Trần Thị Hòe</t>
  </si>
  <si>
    <t>08</t>
  </si>
  <si>
    <t>1968</t>
  </si>
  <si>
    <t>Nhân viên phục vụ</t>
  </si>
  <si>
    <t>Lê Thị Dân</t>
  </si>
  <si>
    <t>16</t>
  </si>
  <si>
    <t>Thủ kho bảo quản</t>
  </si>
  <si>
    <t>Ko hạn</t>
  </si>
  <si>
    <t>Tổng số: 12 người</t>
  </si>
  <si>
    <t>Hà Nội, ngày 09 tháng 8 năm 2016</t>
  </si>
  <si>
    <r>
      <t>DANH SÁCH NHÀ GIÁO THUỘC HỌC VIỆN HÀNH CHÍNH QUỐC GIA ĐỦ ĐIỀU KIỆN NÂNG PHỤ CẤP THÂM NIÊN TRONG THÁNG 8</t>
    </r>
    <r>
      <rPr>
        <b/>
        <sz val="12"/>
        <color indexed="12"/>
        <rFont val="Arial Narrow"/>
        <family val="2"/>
      </rPr>
      <t xml:space="preserve"> NĂM 2016</t>
    </r>
  </si>
  <si>
    <t>Vũ Duy Yên</t>
  </si>
  <si>
    <t>1950</t>
  </si>
  <si>
    <t>Bộ môn Tâm lý học,</t>
  </si>
  <si>
    <t>PGS</t>
  </si>
  <si>
    <t>2012</t>
  </si>
  <si>
    <t>Đinh Thị Nguyệt</t>
  </si>
  <si>
    <t>1973</t>
  </si>
  <si>
    <t>Bộ môn Khoa học đại cương,</t>
  </si>
  <si>
    <t>Khoa Lý luận cơ sở</t>
  </si>
  <si>
    <t>Giảng viên chính (hạng II)</t>
  </si>
  <si>
    <t>Hoàng Sỹ Kim</t>
  </si>
  <si>
    <t>1957</t>
  </si>
  <si>
    <t>Trưởng khoa</t>
  </si>
  <si>
    <t>Ngô Thành Can</t>
  </si>
  <si>
    <t>30</t>
  </si>
  <si>
    <t>Phó Trưởng khoa</t>
  </si>
  <si>
    <t>Khoa Tổ chức và Quản lý nhân sự</t>
  </si>
  <si>
    <t>01.001</t>
  </si>
  <si>
    <t>Phạm Thị Giang</t>
  </si>
  <si>
    <t>25</t>
  </si>
  <si>
    <t>Bộ môn Tổ chức bộ máy,</t>
  </si>
  <si>
    <t>Xếp tháng 12/2015</t>
  </si>
  <si>
    <t>CN</t>
  </si>
  <si>
    <t>Đoàn Thị Bích Hạnh</t>
  </si>
  <si>
    <t>Bộ môn Tổ chức nhân sự,</t>
  </si>
  <si>
    <t>Ko Lg:4/2011-3/2014</t>
  </si>
  <si>
    <t>2008</t>
  </si>
  <si>
    <t>Nguyễn Văn Hậu</t>
  </si>
  <si>
    <t>1970</t>
  </si>
  <si>
    <t>Khoa Văn bản và Công nghệ hành chính</t>
  </si>
  <si>
    <t>Nguyễn Thị Hà</t>
  </si>
  <si>
    <t>27</t>
  </si>
  <si>
    <t>Nguyễn Thị Hà 70</t>
  </si>
  <si>
    <t>Trịnh Thanh Hà</t>
  </si>
  <si>
    <t>Bộ môn Kỹ thuật hành chính,</t>
  </si>
  <si>
    <t>Chu Thị Khánh Ly</t>
  </si>
  <si>
    <t>Bộ môn Văn bản hành chính,</t>
  </si>
  <si>
    <t>Nguyễn Hoàng Anh</t>
  </si>
  <si>
    <t>Bộ môn Mác - Lê nin và Tư tưởng Hồ Chí Minh,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</si>
</sst>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i/>
      <sz val="12"/>
      <name val="Arial Narrow"/>
      <family val="2"/>
    </font>
    <font>
      <i/>
      <sz val="11"/>
      <color indexed="12"/>
      <name val="Arial Narrow"/>
      <family val="2"/>
    </font>
    <font>
      <b/>
      <sz val="12"/>
      <color indexed="12"/>
      <name val="Arial Narrow"/>
      <family val="2"/>
    </font>
    <font>
      <sz val="12"/>
      <name val="Arial Narrow"/>
      <family val="2"/>
    </font>
    <font>
      <sz val="14"/>
      <color indexed="8"/>
      <name val="Times New Roman"/>
      <family val="1"/>
    </font>
    <font>
      <b/>
      <sz val="11"/>
      <color indexed="12"/>
      <name val="Arial Narrow"/>
      <family val="2"/>
    </font>
    <font>
      <b/>
      <sz val="11"/>
      <color indexed="8"/>
      <name val="Arial Narrow"/>
      <family val="2"/>
    </font>
    <font>
      <b/>
      <sz val="11"/>
      <color indexed="13"/>
      <name val="Arial Narrow"/>
      <family val="2"/>
    </font>
    <font>
      <b/>
      <sz val="11"/>
      <color indexed="58"/>
      <name val="Arial Narrow"/>
      <family val="2"/>
    </font>
    <font>
      <b/>
      <sz val="11"/>
      <color indexed="16"/>
      <name val="Arial Narrow"/>
      <family val="2"/>
    </font>
    <font>
      <b/>
      <sz val="10"/>
      <name val="Arial Narrow"/>
      <family val="2"/>
    </font>
    <font>
      <b/>
      <u/>
      <sz val="11"/>
      <name val="Arial Narrow"/>
      <family val="2"/>
    </font>
    <font>
      <sz val="11"/>
      <color indexed="12"/>
      <name val="Arial Narrow"/>
      <family val="2"/>
    </font>
    <font>
      <sz val="11"/>
      <color indexed="8"/>
      <name val="Arial Narrow"/>
      <family val="2"/>
    </font>
    <font>
      <sz val="11"/>
      <color indexed="13"/>
      <name val="Arial Narrow"/>
      <family val="2"/>
    </font>
    <font>
      <sz val="11"/>
      <color indexed="58"/>
      <name val="Arial Narrow"/>
      <family val="2"/>
    </font>
    <font>
      <sz val="11"/>
      <color indexed="16"/>
      <name val="Arial Narrow"/>
      <family val="2"/>
    </font>
    <font>
      <sz val="11"/>
      <color indexed="10"/>
      <name val="Arial Narrow"/>
      <family val="2"/>
    </font>
    <font>
      <b/>
      <sz val="11"/>
      <color indexed="9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indexed="10"/>
      <name val="Arial Narrow"/>
      <family val="2"/>
    </font>
    <font>
      <b/>
      <i/>
      <sz val="11"/>
      <name val="Arial Narrow"/>
      <family val="2"/>
    </font>
    <font>
      <b/>
      <sz val="12"/>
      <name val="Arial"/>
      <family val="2"/>
    </font>
    <font>
      <sz val="8"/>
      <name val="Arial Narrow"/>
      <family val="2"/>
    </font>
    <font>
      <b/>
      <sz val="12"/>
      <color indexed="8"/>
      <name val="Arial Narrow"/>
      <family val="2"/>
    </font>
    <font>
      <b/>
      <i/>
      <sz val="12"/>
      <color indexed="9"/>
      <name val="Arial Narrow"/>
      <family val="2"/>
    </font>
    <font>
      <b/>
      <sz val="13"/>
      <name val="Arial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i/>
      <sz val="10"/>
      <color theme="0"/>
      <name val="Arial"/>
      <family val="2"/>
    </font>
    <font>
      <sz val="12"/>
      <color theme="0"/>
      <name val="Arial Narrow"/>
      <family val="2"/>
    </font>
    <font>
      <b/>
      <sz val="12"/>
      <color theme="0"/>
      <name val="Arial Narrow"/>
      <family val="2"/>
    </font>
    <font>
      <sz val="8"/>
      <color theme="0"/>
      <name val="Arial Narrow"/>
      <family val="2"/>
    </font>
    <font>
      <sz val="9"/>
      <color theme="0"/>
      <name val="Arial Narrow"/>
      <family val="2"/>
    </font>
    <font>
      <b/>
      <sz val="8"/>
      <color theme="0"/>
      <name val="Arial Narrow"/>
      <family val="2"/>
    </font>
    <font>
      <b/>
      <i/>
      <sz val="11"/>
      <color indexed="12"/>
      <name val="Arial Narrow"/>
      <family val="2"/>
    </font>
    <font>
      <b/>
      <i/>
      <sz val="12"/>
      <name val="Arial"/>
      <family val="2"/>
    </font>
    <font>
      <sz val="10"/>
      <name val="Arial"/>
      <family val="2"/>
    </font>
    <font>
      <b/>
      <i/>
      <sz val="12"/>
      <color rgb="FF0000FF"/>
      <name val="Arial Narrow"/>
      <family val="2"/>
    </font>
    <font>
      <sz val="11"/>
      <color theme="0"/>
      <name val="Calibri"/>
      <family val="2"/>
      <scheme val="minor"/>
    </font>
    <font>
      <sz val="10"/>
      <color theme="0"/>
      <name val="Arial Narrow"/>
      <family val="2"/>
    </font>
    <font>
      <b/>
      <sz val="13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9">
    <xf numFmtId="0" fontId="0" fillId="0" borderId="0" xfId="0"/>
    <xf numFmtId="0" fontId="1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/>
    <xf numFmtId="49" fontId="1" fillId="2" borderId="0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/>
    <xf numFmtId="0" fontId="2" fillId="2" borderId="0" xfId="0" applyNumberFormat="1" applyFont="1" applyFill="1" applyAlignment="1">
      <alignment horizontal="center" wrapText="1"/>
    </xf>
    <xf numFmtId="0" fontId="2" fillId="2" borderId="0" xfId="0" applyNumberFormat="1" applyFont="1" applyFill="1" applyAlignment="1">
      <alignment horizontal="left" wrapText="1"/>
    </xf>
    <xf numFmtId="49" fontId="1" fillId="2" borderId="0" xfId="0" applyNumberFormat="1" applyFont="1" applyFill="1" applyBorder="1" applyAlignment="1">
      <alignment horizontal="left" wrapText="1"/>
    </xf>
    <xf numFmtId="49" fontId="1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Alignment="1"/>
    <xf numFmtId="2" fontId="2" fillId="2" borderId="0" xfId="0" applyNumberFormat="1" applyFont="1" applyFill="1" applyAlignment="1"/>
    <xf numFmtId="2" fontId="7" fillId="2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3" fontId="8" fillId="2" borderId="0" xfId="0" applyNumberFormat="1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7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2" fontId="9" fillId="2" borderId="0" xfId="0" applyNumberFormat="1" applyFont="1" applyFill="1" applyBorder="1" applyAlignment="1">
      <alignment horizontal="right"/>
    </xf>
    <xf numFmtId="2" fontId="9" fillId="2" borderId="0" xfId="0" applyNumberFormat="1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49" fontId="9" fillId="2" borderId="0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/>
    <xf numFmtId="0" fontId="9" fillId="0" borderId="0" xfId="0" applyNumberFormat="1" applyFont="1" applyBorder="1" applyAlignment="1"/>
    <xf numFmtId="0" fontId="9" fillId="0" borderId="0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right"/>
    </xf>
    <xf numFmtId="2" fontId="9" fillId="0" borderId="0" xfId="0" applyNumberFormat="1" applyFont="1" applyBorder="1" applyAlignment="1"/>
    <xf numFmtId="1" fontId="10" fillId="0" borderId="0" xfId="0" applyNumberFormat="1" applyFont="1" applyBorder="1" applyAlignment="1">
      <alignment horizontal="center" wrapText="1"/>
    </xf>
    <xf numFmtId="0" fontId="11" fillId="2" borderId="0" xfId="0" applyNumberFormat="1" applyFont="1" applyFill="1" applyBorder="1" applyAlignment="1">
      <alignment horizontal="center"/>
    </xf>
    <xf numFmtId="49" fontId="12" fillId="0" borderId="0" xfId="0" applyNumberFormat="1" applyFont="1" applyBorder="1" applyAlignment="1"/>
    <xf numFmtId="1" fontId="1" fillId="2" borderId="0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" fontId="9" fillId="2" borderId="0" xfId="0" applyNumberFormat="1" applyFont="1" applyFill="1" applyBorder="1" applyAlignment="1"/>
    <xf numFmtId="2" fontId="1" fillId="0" borderId="0" xfId="0" applyNumberFormat="1" applyFont="1" applyBorder="1" applyAlignment="1"/>
    <xf numFmtId="0" fontId="9" fillId="0" borderId="0" xfId="0" applyFont="1" applyBorder="1" applyAlignment="1">
      <alignment horizontal="center"/>
    </xf>
    <xf numFmtId="2" fontId="13" fillId="2" borderId="0" xfId="0" applyNumberFormat="1" applyFont="1" applyFill="1" applyBorder="1" applyAlignment="1"/>
    <xf numFmtId="2" fontId="13" fillId="2" borderId="0" xfId="0" applyNumberFormat="1" applyFont="1" applyFill="1" applyBorder="1" applyAlignment="1">
      <alignment horizontal="right"/>
    </xf>
    <xf numFmtId="0" fontId="9" fillId="0" borderId="0" xfId="0" applyFont="1" applyBorder="1" applyAlignment="1"/>
    <xf numFmtId="0" fontId="13" fillId="0" borderId="0" xfId="0" applyFont="1" applyBorder="1" applyAlignment="1"/>
    <xf numFmtId="2" fontId="9" fillId="0" borderId="0" xfId="0" applyNumberFormat="1" applyFont="1" applyBorder="1" applyAlignment="1">
      <alignment horizontal="right"/>
    </xf>
    <xf numFmtId="1" fontId="14" fillId="2" borderId="0" xfId="0" applyNumberFormat="1" applyFont="1" applyFill="1" applyAlignment="1"/>
    <xf numFmtId="2" fontId="1" fillId="2" borderId="0" xfId="0" applyNumberFormat="1" applyFont="1" applyFill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49" fontId="1" fillId="0" borderId="0" xfId="0" applyNumberFormat="1" applyFont="1" applyAlignment="1"/>
    <xf numFmtId="0" fontId="1" fillId="3" borderId="0" xfId="0" applyFont="1" applyFill="1" applyAlignment="1"/>
    <xf numFmtId="0" fontId="1" fillId="2" borderId="0" xfId="0" applyFont="1" applyFill="1" applyAlignment="1"/>
    <xf numFmtId="0" fontId="2" fillId="2" borderId="0" xfId="0" applyNumberFormat="1" applyFont="1" applyFill="1" applyBorder="1" applyAlignment="1">
      <alignment vertical="top"/>
    </xf>
    <xf numFmtId="0" fontId="2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vertical="top"/>
    </xf>
    <xf numFmtId="0" fontId="2" fillId="2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right" vertical="top"/>
    </xf>
    <xf numFmtId="0" fontId="2" fillId="2" borderId="0" xfId="0" applyNumberFormat="1" applyFont="1" applyFill="1" applyBorder="1" applyAlignment="1">
      <alignment horizontal="left" vertical="top"/>
    </xf>
    <xf numFmtId="0" fontId="16" fillId="2" borderId="0" xfId="0" applyNumberFormat="1" applyFont="1" applyFill="1" applyBorder="1" applyAlignment="1">
      <alignment horizontal="right" vertical="top"/>
    </xf>
    <xf numFmtId="0" fontId="16" fillId="2" borderId="0" xfId="0" applyNumberFormat="1" applyFont="1" applyFill="1" applyBorder="1" applyAlignment="1">
      <alignment horizontal="left" vertical="top" wrapText="1"/>
    </xf>
    <xf numFmtId="0" fontId="16" fillId="2" borderId="0" xfId="0" applyNumberFormat="1" applyFont="1" applyFill="1" applyBorder="1" applyAlignment="1">
      <alignment horizontal="center" vertical="top"/>
    </xf>
    <xf numFmtId="0" fontId="16" fillId="2" borderId="0" xfId="0" applyNumberFormat="1" applyFont="1" applyFill="1" applyBorder="1" applyAlignment="1">
      <alignment horizontal="left" vertical="top"/>
    </xf>
    <xf numFmtId="0" fontId="16" fillId="0" borderId="0" xfId="0" applyNumberFormat="1" applyFont="1" applyBorder="1" applyAlignment="1">
      <alignment vertical="top"/>
    </xf>
    <xf numFmtId="0" fontId="16" fillId="0" borderId="0" xfId="0" applyNumberFormat="1" applyFont="1" applyBorder="1" applyAlignment="1">
      <alignment horizontal="left" vertical="top"/>
    </xf>
    <xf numFmtId="0" fontId="16" fillId="0" borderId="0" xfId="0" applyNumberFormat="1" applyFont="1" applyBorder="1" applyAlignment="1">
      <alignment horizontal="center" vertical="top"/>
    </xf>
    <xf numFmtId="0" fontId="16" fillId="0" borderId="0" xfId="0" applyNumberFormat="1" applyFont="1" applyBorder="1" applyAlignment="1">
      <alignment horizontal="right" vertical="top"/>
    </xf>
    <xf numFmtId="0" fontId="2" fillId="2" borderId="0" xfId="0" applyNumberFormat="1" applyFont="1" applyFill="1" applyBorder="1" applyAlignment="1">
      <alignment horizontal="right" vertical="top"/>
    </xf>
    <xf numFmtId="0" fontId="2" fillId="2" borderId="0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center" vertical="top" wrapText="1"/>
    </xf>
    <xf numFmtId="0" fontId="18" fillId="2" borderId="0" xfId="0" applyNumberFormat="1" applyFont="1" applyFill="1" applyBorder="1" applyAlignment="1">
      <alignment horizontal="center" vertical="top"/>
    </xf>
    <xf numFmtId="0" fontId="19" fillId="0" borderId="0" xfId="0" applyNumberFormat="1" applyFont="1" applyBorder="1" applyAlignment="1">
      <alignment vertical="top"/>
    </xf>
    <xf numFmtId="0" fontId="1" fillId="2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16" fillId="2" borderId="0" xfId="0" applyNumberFormat="1" applyFont="1" applyFill="1" applyBorder="1" applyAlignment="1">
      <alignment vertical="top"/>
    </xf>
    <xf numFmtId="0" fontId="9" fillId="0" borderId="0" xfId="0" applyNumberFormat="1" applyFont="1" applyBorder="1" applyAlignment="1">
      <alignment horizontal="center" vertical="top"/>
    </xf>
    <xf numFmtId="0" fontId="9" fillId="2" borderId="0" xfId="0" applyNumberFormat="1" applyFont="1" applyFill="1" applyBorder="1" applyAlignment="1">
      <alignment vertical="top"/>
    </xf>
    <xf numFmtId="0" fontId="20" fillId="2" borderId="0" xfId="0" applyNumberFormat="1" applyFont="1" applyFill="1" applyBorder="1" applyAlignment="1">
      <alignment vertical="top"/>
    </xf>
    <xf numFmtId="0" fontId="20" fillId="2" borderId="0" xfId="0" applyNumberFormat="1" applyFont="1" applyFill="1" applyBorder="1" applyAlignment="1">
      <alignment horizontal="right" vertical="top"/>
    </xf>
    <xf numFmtId="0" fontId="20" fillId="0" borderId="0" xfId="0" applyNumberFormat="1" applyFont="1" applyBorder="1" applyAlignment="1">
      <alignment vertical="top"/>
    </xf>
    <xf numFmtId="0" fontId="2" fillId="2" borderId="0" xfId="0" applyNumberFormat="1" applyFont="1" applyFill="1" applyAlignment="1">
      <alignment vertical="top"/>
    </xf>
    <xf numFmtId="0" fontId="2" fillId="0" borderId="0" xfId="0" applyNumberFormat="1" applyFont="1" applyAlignment="1">
      <alignment horizontal="center" vertical="top"/>
    </xf>
    <xf numFmtId="0" fontId="17" fillId="2" borderId="0" xfId="0" applyNumberFormat="1" applyFont="1" applyFill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/>
    </xf>
    <xf numFmtId="0" fontId="2" fillId="3" borderId="0" xfId="0" applyNumberFormat="1" applyFont="1" applyFill="1" applyAlignment="1">
      <alignment vertical="top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>
      <alignment horizontal="right" vertical="top"/>
    </xf>
    <xf numFmtId="0" fontId="1" fillId="2" borderId="0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>
      <alignment vertical="top" wrapText="1"/>
    </xf>
    <xf numFmtId="0" fontId="1" fillId="2" borderId="0" xfId="0" applyNumberFormat="1" applyFont="1" applyFill="1" applyBorder="1" applyAlignment="1">
      <alignment horizontal="left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horizontal="right" vertical="top" wrapText="1"/>
    </xf>
    <xf numFmtId="0" fontId="2" fillId="2" borderId="0" xfId="0" applyNumberFormat="1" applyFont="1" applyFill="1" applyBorder="1" applyAlignment="1">
      <alignment vertical="top" wrapText="1"/>
    </xf>
    <xf numFmtId="0" fontId="2" fillId="4" borderId="0" xfId="0" applyNumberFormat="1" applyFont="1" applyFill="1" applyBorder="1" applyAlignment="1">
      <alignment horizontal="center" vertical="top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49" fontId="1" fillId="2" borderId="0" xfId="0" applyNumberFormat="1" applyFont="1" applyFill="1" applyBorder="1" applyAlignment="1">
      <alignment horizontal="right"/>
    </xf>
    <xf numFmtId="49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" fontId="22" fillId="0" borderId="0" xfId="0" applyNumberFormat="1" applyFont="1" applyFill="1" applyBorder="1" applyAlignment="1">
      <alignment horizontal="center" textRotation="90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1" fillId="5" borderId="0" xfId="0" applyFont="1" applyFill="1" applyAlignment="1">
      <alignment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3" fillId="2" borderId="0" xfId="0" applyNumberFormat="1" applyFont="1" applyFill="1" applyAlignment="1">
      <alignment horizontal="center" vertical="center"/>
    </xf>
    <xf numFmtId="0" fontId="23" fillId="2" borderId="0" xfId="0" applyNumberFormat="1" applyFont="1" applyFill="1" applyAlignment="1">
      <alignment horizontal="left" vertical="center" wrapText="1"/>
    </xf>
    <xf numFmtId="0" fontId="23" fillId="2" borderId="0" xfId="0" applyNumberFormat="1" applyFont="1" applyFill="1" applyAlignment="1">
      <alignment horizontal="center" vertical="center" wrapText="1"/>
    </xf>
    <xf numFmtId="0" fontId="23" fillId="2" borderId="0" xfId="0" applyNumberFormat="1" applyFont="1" applyFill="1" applyAlignment="1">
      <alignment vertical="center" wrapText="1"/>
    </xf>
    <xf numFmtId="0" fontId="23" fillId="2" borderId="0" xfId="0" applyNumberFormat="1" applyFont="1" applyFill="1" applyAlignment="1">
      <alignment vertical="center"/>
    </xf>
    <xf numFmtId="1" fontId="23" fillId="2" borderId="0" xfId="0" applyNumberFormat="1" applyFont="1" applyFill="1" applyBorder="1" applyAlignment="1">
      <alignment horizontal="left" vertical="center"/>
    </xf>
    <xf numFmtId="1" fontId="23" fillId="2" borderId="0" xfId="0" applyNumberFormat="1" applyFont="1" applyFill="1" applyBorder="1" applyAlignment="1">
      <alignment horizontal="left" vertical="center" wrapText="1"/>
    </xf>
    <xf numFmtId="1" fontId="23" fillId="2" borderId="0" xfId="0" applyNumberFormat="1" applyFont="1" applyFill="1" applyBorder="1" applyAlignment="1">
      <alignment horizontal="center" vertical="center"/>
    </xf>
    <xf numFmtId="2" fontId="23" fillId="2" borderId="0" xfId="0" applyNumberFormat="1" applyFont="1" applyFill="1" applyAlignment="1">
      <alignment horizontal="left" vertical="center"/>
    </xf>
    <xf numFmtId="49" fontId="23" fillId="2" borderId="0" xfId="0" applyNumberFormat="1" applyFont="1" applyFill="1" applyBorder="1" applyAlignment="1">
      <alignment horizontal="center" vertical="center"/>
    </xf>
    <xf numFmtId="49" fontId="23" fillId="2" borderId="0" xfId="0" applyNumberFormat="1" applyFont="1" applyFill="1" applyBorder="1" applyAlignment="1">
      <alignment vertical="center"/>
    </xf>
    <xf numFmtId="2" fontId="23" fillId="2" borderId="0" xfId="0" applyNumberFormat="1" applyFont="1" applyFill="1" applyBorder="1" applyAlignment="1">
      <alignment horizontal="center" vertical="center"/>
    </xf>
    <xf numFmtId="49" fontId="23" fillId="2" borderId="0" xfId="0" applyNumberFormat="1" applyFont="1" applyFill="1" applyBorder="1" applyAlignment="1">
      <alignment horizontal="right" vertical="center"/>
    </xf>
    <xf numFmtId="49" fontId="23" fillId="2" borderId="0" xfId="0" applyNumberFormat="1" applyFont="1" applyFill="1" applyBorder="1" applyAlignment="1">
      <alignment horizontal="left" vertical="center"/>
    </xf>
    <xf numFmtId="49" fontId="23" fillId="2" borderId="0" xfId="0" applyNumberFormat="1" applyFont="1" applyFill="1" applyBorder="1" applyAlignment="1">
      <alignment horizontal="right" vertical="center" wrapText="1"/>
    </xf>
    <xf numFmtId="2" fontId="23" fillId="2" borderId="0" xfId="0" applyNumberFormat="1" applyFont="1" applyFill="1" applyBorder="1" applyAlignment="1">
      <alignment horizontal="center" vertical="center" wrapText="1"/>
    </xf>
    <xf numFmtId="0" fontId="23" fillId="2" borderId="0" xfId="0" applyNumberFormat="1" applyFont="1" applyFill="1" applyBorder="1" applyAlignment="1">
      <alignment horizontal="center" vertical="center" wrapText="1"/>
    </xf>
    <xf numFmtId="0" fontId="23" fillId="2" borderId="0" xfId="0" applyNumberFormat="1" applyFont="1" applyFill="1" applyBorder="1" applyAlignment="1">
      <alignment vertical="center" wrapText="1"/>
    </xf>
    <xf numFmtId="0" fontId="23" fillId="2" borderId="0" xfId="0" applyNumberFormat="1" applyFont="1" applyFill="1" applyBorder="1" applyAlignment="1">
      <alignment horizontal="left" vertical="center" wrapText="1"/>
    </xf>
    <xf numFmtId="1" fontId="24" fillId="2" borderId="0" xfId="0" applyNumberFormat="1" applyFont="1" applyFill="1" applyAlignment="1">
      <alignment horizontal="center" vertical="center" wrapText="1"/>
    </xf>
    <xf numFmtId="2" fontId="23" fillId="2" borderId="0" xfId="0" applyNumberFormat="1" applyFont="1" applyFill="1" applyAlignment="1">
      <alignment vertical="center"/>
    </xf>
    <xf numFmtId="2" fontId="23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5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2" fontId="2" fillId="2" borderId="5" xfId="0" applyNumberFormat="1" applyFont="1" applyFill="1" applyBorder="1" applyAlignment="1">
      <alignment horizontal="left" vertical="center"/>
    </xf>
    <xf numFmtId="1" fontId="1" fillId="2" borderId="5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right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left" vertical="center" wrapText="1"/>
    </xf>
    <xf numFmtId="2" fontId="2" fillId="2" borderId="8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vertical="center" wrapText="1"/>
    </xf>
    <xf numFmtId="0" fontId="2" fillId="2" borderId="11" xfId="0" applyNumberFormat="1" applyFont="1" applyFill="1" applyBorder="1" applyAlignment="1">
      <alignment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right" vertical="center" wrapText="1"/>
    </xf>
    <xf numFmtId="49" fontId="2" fillId="0" borderId="8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0" fontId="2" fillId="0" borderId="12" xfId="0" applyNumberFormat="1" applyFont="1" applyBorder="1" applyAlignment="1">
      <alignment horizontal="left" vertical="center"/>
    </xf>
    <xf numFmtId="1" fontId="2" fillId="2" borderId="15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1" fontId="2" fillId="2" borderId="16" xfId="0" applyNumberFormat="1" applyFont="1" applyFill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/>
    </xf>
    <xf numFmtId="0" fontId="28" fillId="0" borderId="0" xfId="0" applyNumberFormat="1" applyFont="1" applyBorder="1" applyAlignment="1">
      <alignment horizontal="left"/>
    </xf>
    <xf numFmtId="2" fontId="23" fillId="0" borderId="0" xfId="0" applyNumberFormat="1" applyFont="1" applyAlignment="1"/>
    <xf numFmtId="0" fontId="3" fillId="0" borderId="0" xfId="0" applyNumberFormat="1" applyFont="1" applyBorder="1" applyAlignment="1">
      <alignment wrapText="1"/>
    </xf>
    <xf numFmtId="0" fontId="3" fillId="0" borderId="0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center" wrapText="1"/>
    </xf>
    <xf numFmtId="2" fontId="7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0" fontId="7" fillId="0" borderId="0" xfId="0" applyNumberFormat="1" applyFont="1" applyAlignment="1">
      <alignment wrapText="1"/>
    </xf>
    <xf numFmtId="0" fontId="7" fillId="0" borderId="0" xfId="0" applyNumberFormat="1" applyFont="1" applyBorder="1" applyAlignment="1">
      <alignment horizontal="center" wrapText="1"/>
    </xf>
    <xf numFmtId="0" fontId="7" fillId="0" borderId="0" xfId="0" applyNumberFormat="1" applyFont="1" applyAlignment="1">
      <alignment horizontal="left"/>
    </xf>
    <xf numFmtId="0" fontId="7" fillId="0" borderId="0" xfId="0" applyNumberFormat="1" applyFont="1" applyBorder="1" applyAlignment="1">
      <alignment wrapText="1"/>
    </xf>
    <xf numFmtId="0" fontId="7" fillId="0" borderId="0" xfId="0" applyNumberFormat="1" applyFont="1" applyBorder="1" applyAlignment="1">
      <alignment horizontal="left" wrapText="1"/>
    </xf>
    <xf numFmtId="2" fontId="7" fillId="2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/>
    <xf numFmtId="0" fontId="30" fillId="2" borderId="8" xfId="0" applyNumberFormat="1" applyFont="1" applyFill="1" applyBorder="1" applyAlignment="1">
      <alignment horizontal="center" vertical="center" wrapText="1"/>
    </xf>
    <xf numFmtId="0" fontId="23" fillId="0" borderId="0" xfId="0" quotePrefix="1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center" wrapText="1"/>
    </xf>
    <xf numFmtId="1" fontId="31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center" wrapText="1"/>
    </xf>
    <xf numFmtId="0" fontId="32" fillId="2" borderId="0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Alignment="1">
      <alignment horizontal="center" wrapText="1"/>
    </xf>
    <xf numFmtId="0" fontId="7" fillId="0" borderId="0" xfId="0" quotePrefix="1" applyNumberFormat="1" applyFont="1" applyBorder="1" applyAlignment="1">
      <alignment horizontal="left"/>
    </xf>
    <xf numFmtId="0" fontId="35" fillId="7" borderId="0" xfId="0" applyFont="1" applyFill="1" applyBorder="1" applyAlignment="1">
      <alignment horizontal="center" vertical="center"/>
    </xf>
    <xf numFmtId="0" fontId="35" fillId="7" borderId="0" xfId="0" applyNumberFormat="1" applyFont="1" applyFill="1" applyBorder="1" applyAlignment="1">
      <alignment horizontal="center" vertical="center" wrapText="1"/>
    </xf>
    <xf numFmtId="49" fontId="35" fillId="7" borderId="0" xfId="0" applyNumberFormat="1" applyFont="1" applyFill="1" applyBorder="1" applyAlignment="1">
      <alignment vertical="center"/>
    </xf>
    <xf numFmtId="0" fontId="35" fillId="7" borderId="0" xfId="0" applyFont="1" applyFill="1" applyBorder="1" applyAlignment="1">
      <alignment vertical="center" wrapText="1"/>
    </xf>
    <xf numFmtId="0" fontId="35" fillId="7" borderId="0" xfId="0" applyNumberFormat="1" applyFont="1" applyFill="1" applyBorder="1" applyAlignment="1">
      <alignment horizontal="left" vertical="center"/>
    </xf>
    <xf numFmtId="0" fontId="35" fillId="7" borderId="0" xfId="0" applyNumberFormat="1" applyFont="1" applyFill="1" applyBorder="1" applyAlignment="1">
      <alignment horizontal="center" vertical="center"/>
    </xf>
    <xf numFmtId="0" fontId="35" fillId="7" borderId="0" xfId="0" applyNumberFormat="1" applyFont="1" applyFill="1" applyBorder="1" applyAlignment="1">
      <alignment vertical="center"/>
    </xf>
    <xf numFmtId="0" fontId="35" fillId="7" borderId="0" xfId="0" applyFont="1" applyFill="1" applyBorder="1" applyAlignment="1">
      <alignment vertical="center"/>
    </xf>
    <xf numFmtId="49" fontId="35" fillId="7" borderId="0" xfId="0" applyNumberFormat="1" applyFont="1" applyFill="1" applyBorder="1" applyAlignment="1">
      <alignment horizontal="left" vertical="center"/>
    </xf>
    <xf numFmtId="2" fontId="35" fillId="7" borderId="0" xfId="0" applyNumberFormat="1" applyFont="1" applyFill="1" applyBorder="1" applyAlignment="1">
      <alignment horizontal="left" vertical="center"/>
    </xf>
    <xf numFmtId="0" fontId="34" fillId="7" borderId="0" xfId="0" applyNumberFormat="1" applyFont="1" applyFill="1" applyBorder="1" applyAlignment="1">
      <alignment horizontal="center" vertical="center" wrapText="1"/>
    </xf>
    <xf numFmtId="1" fontId="34" fillId="7" borderId="0" xfId="0" applyNumberFormat="1" applyFont="1" applyFill="1" applyBorder="1" applyAlignment="1">
      <alignment horizontal="center" vertical="center"/>
    </xf>
    <xf numFmtId="1" fontId="35" fillId="7" borderId="0" xfId="0" applyNumberFormat="1" applyFont="1" applyFill="1" applyBorder="1" applyAlignment="1">
      <alignment horizontal="center" vertical="center" wrapText="1"/>
    </xf>
    <xf numFmtId="1" fontId="35" fillId="7" borderId="0" xfId="0" applyNumberFormat="1" applyFont="1" applyFill="1" applyBorder="1" applyAlignment="1">
      <alignment horizontal="center" vertical="center"/>
    </xf>
    <xf numFmtId="0" fontId="34" fillId="7" borderId="0" xfId="0" applyFont="1" applyFill="1" applyBorder="1" applyAlignment="1">
      <alignment horizontal="center" vertical="center"/>
    </xf>
    <xf numFmtId="0" fontId="36" fillId="7" borderId="0" xfId="0" applyFont="1" applyFill="1" applyBorder="1" applyAlignment="1">
      <alignment horizontal="center" vertical="center"/>
    </xf>
    <xf numFmtId="0" fontId="39" fillId="7" borderId="0" xfId="0" applyFont="1" applyFill="1" applyBorder="1" applyAlignment="1">
      <alignment horizontal="center" vertical="center"/>
    </xf>
    <xf numFmtId="0" fontId="39" fillId="7" borderId="0" xfId="0" applyNumberFormat="1" applyFont="1" applyFill="1" applyBorder="1" applyAlignment="1">
      <alignment horizontal="center" vertical="center" wrapText="1"/>
    </xf>
    <xf numFmtId="49" fontId="39" fillId="7" borderId="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1" fontId="1" fillId="2" borderId="0" xfId="0" applyNumberFormat="1" applyFont="1" applyFill="1" applyBorder="1" applyAlignment="1">
      <alignment horizontal="right" vertical="center"/>
    </xf>
    <xf numFmtId="1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42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1" fillId="2" borderId="0" xfId="0" applyFont="1" applyFill="1" applyBorder="1" applyAlignment="1">
      <alignment horizontal="right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2" fontId="16" fillId="2" borderId="0" xfId="0" applyNumberFormat="1" applyFont="1" applyFill="1" applyBorder="1" applyAlignment="1">
      <alignment horizontal="right" vertical="center"/>
    </xf>
    <xf numFmtId="1" fontId="27" fillId="8" borderId="0" xfId="0" applyNumberFormat="1" applyFont="1" applyFill="1" applyBorder="1" applyAlignment="1">
      <alignment horizontal="center" vertical="center" wrapText="1"/>
    </xf>
    <xf numFmtId="1" fontId="11" fillId="8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2" fontId="20" fillId="2" borderId="0" xfId="0" applyNumberFormat="1" applyFont="1" applyFill="1" applyBorder="1" applyAlignment="1">
      <alignment horizontal="left" vertical="center"/>
    </xf>
    <xf numFmtId="2" fontId="20" fillId="2" borderId="0" xfId="0" applyNumberFormat="1" applyFont="1" applyFill="1" applyBorder="1" applyAlignment="1">
      <alignment vertical="center"/>
    </xf>
    <xf numFmtId="2" fontId="16" fillId="0" borderId="0" xfId="0" applyNumberFormat="1" applyFont="1" applyBorder="1" applyAlignment="1">
      <alignment horizontal="right" vertical="center"/>
    </xf>
    <xf numFmtId="2" fontId="16" fillId="2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49" fontId="1" fillId="2" borderId="0" xfId="0" applyNumberFormat="1" applyFont="1" applyFill="1" applyBorder="1" applyAlignment="1">
      <alignment horizontal="right" vertical="center"/>
    </xf>
    <xf numFmtId="49" fontId="1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2" fontId="9" fillId="2" borderId="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1" fontId="22" fillId="2" borderId="5" xfId="0" applyNumberFormat="1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 wrapText="1"/>
    </xf>
    <xf numFmtId="0" fontId="2" fillId="0" borderId="11" xfId="0" applyFont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44" fillId="0" borderId="0" xfId="0" quotePrefix="1" applyFont="1"/>
    <xf numFmtId="0" fontId="2" fillId="2" borderId="0" xfId="0" applyNumberFormat="1" applyFont="1" applyFill="1" applyAlignment="1">
      <alignment horizontal="center" vertical="center" wrapText="1"/>
    </xf>
    <xf numFmtId="2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2" fontId="2" fillId="2" borderId="0" xfId="0" applyNumberFormat="1" applyFont="1" applyFill="1" applyAlignment="1">
      <alignment horizontal="center" vertical="center"/>
    </xf>
    <xf numFmtId="2" fontId="2" fillId="2" borderId="0" xfId="0" applyNumberFormat="1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left" vertical="center" wrapText="1"/>
    </xf>
    <xf numFmtId="0" fontId="34" fillId="7" borderId="0" xfId="0" applyFont="1" applyFill="1" applyBorder="1" applyAlignment="1">
      <alignment vertical="center"/>
    </xf>
    <xf numFmtId="0" fontId="34" fillId="7" borderId="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/>
    </xf>
    <xf numFmtId="0" fontId="35" fillId="7" borderId="0" xfId="0" applyNumberFormat="1" applyFont="1" applyFill="1" applyBorder="1" applyAlignment="1">
      <alignment horizontal="center" vertical="top" wrapText="1"/>
    </xf>
    <xf numFmtId="0" fontId="35" fillId="7" borderId="0" xfId="0" applyNumberFormat="1" applyFont="1" applyFill="1" applyBorder="1" applyAlignment="1">
      <alignment horizontal="center" vertical="top"/>
    </xf>
    <xf numFmtId="0" fontId="35" fillId="7" borderId="0" xfId="0" applyNumberFormat="1" applyFont="1" applyFill="1" applyBorder="1" applyAlignment="1">
      <alignment vertical="top"/>
    </xf>
    <xf numFmtId="0" fontId="35" fillId="7" borderId="0" xfId="0" applyNumberFormat="1" applyFont="1" applyFill="1" applyBorder="1" applyAlignment="1">
      <alignment vertical="top" wrapText="1"/>
    </xf>
    <xf numFmtId="2" fontId="35" fillId="7" borderId="0" xfId="0" applyNumberFormat="1" applyFont="1" applyFill="1" applyBorder="1" applyAlignment="1">
      <alignment horizontal="center" vertical="center"/>
    </xf>
    <xf numFmtId="1" fontId="34" fillId="7" borderId="0" xfId="0" applyNumberFormat="1" applyFont="1" applyFill="1" applyBorder="1" applyAlignment="1">
      <alignment horizontal="right" vertical="center"/>
    </xf>
    <xf numFmtId="2" fontId="34" fillId="7" borderId="0" xfId="0" applyNumberFormat="1" applyFont="1" applyFill="1" applyBorder="1" applyAlignment="1">
      <alignment horizontal="center" vertical="center"/>
    </xf>
    <xf numFmtId="0" fontId="46" fillId="7" borderId="0" xfId="0" applyFont="1" applyFill="1" applyBorder="1"/>
    <xf numFmtId="0" fontId="2" fillId="2" borderId="11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 vertical="center"/>
    </xf>
    <xf numFmtId="1" fontId="39" fillId="7" borderId="0" xfId="0" applyNumberFormat="1" applyFont="1" applyFill="1" applyBorder="1" applyAlignment="1">
      <alignment horizontal="center" vertical="center"/>
    </xf>
    <xf numFmtId="2" fontId="37" fillId="7" borderId="0" xfId="0" applyNumberFormat="1" applyFont="1" applyFill="1" applyBorder="1" applyAlignment="1"/>
    <xf numFmtId="2" fontId="38" fillId="7" borderId="0" xfId="0" applyNumberFormat="1" applyFont="1" applyFill="1" applyBorder="1" applyAlignment="1"/>
    <xf numFmtId="0" fontId="39" fillId="7" borderId="0" xfId="0" applyFont="1" applyFill="1" applyBorder="1" applyAlignment="1">
      <alignment vertical="center" wrapText="1"/>
    </xf>
    <xf numFmtId="0" fontId="39" fillId="7" borderId="0" xfId="0" applyNumberFormat="1" applyFont="1" applyFill="1" applyBorder="1" applyAlignment="1">
      <alignment horizontal="left" vertical="center"/>
    </xf>
    <xf numFmtId="0" fontId="39" fillId="7" borderId="0" xfId="0" applyNumberFormat="1" applyFont="1" applyFill="1" applyBorder="1" applyAlignment="1">
      <alignment horizontal="center" vertical="center"/>
    </xf>
    <xf numFmtId="0" fontId="39" fillId="7" borderId="0" xfId="0" applyNumberFormat="1" applyFont="1" applyFill="1" applyBorder="1" applyAlignment="1">
      <alignment vertical="center"/>
    </xf>
    <xf numFmtId="0" fontId="39" fillId="7" borderId="0" xfId="0" applyFont="1" applyFill="1" applyBorder="1" applyAlignment="1">
      <alignment vertical="center"/>
    </xf>
    <xf numFmtId="49" fontId="39" fillId="7" borderId="0" xfId="0" applyNumberFormat="1" applyFont="1" applyFill="1" applyBorder="1" applyAlignment="1">
      <alignment horizontal="left" vertical="center"/>
    </xf>
    <xf numFmtId="0" fontId="39" fillId="2" borderId="0" xfId="0" applyFont="1" applyFill="1" applyBorder="1" applyAlignment="1">
      <alignment vertical="center"/>
    </xf>
    <xf numFmtId="0" fontId="2" fillId="2" borderId="5" xfId="0" applyNumberFormat="1" applyFont="1" applyFill="1" applyBorder="1" applyAlignment="1">
      <alignment horizontal="left" vertical="center" wrapText="1"/>
    </xf>
    <xf numFmtId="0" fontId="40" fillId="7" borderId="0" xfId="0" applyNumberFormat="1" applyFont="1" applyFill="1" applyBorder="1" applyAlignment="1">
      <alignment horizontal="center" vertical="center"/>
    </xf>
    <xf numFmtId="2" fontId="39" fillId="7" borderId="0" xfId="0" applyNumberFormat="1" applyFont="1" applyFill="1" applyBorder="1" applyAlignment="1">
      <alignment horizontal="left" vertical="center"/>
    </xf>
    <xf numFmtId="0" fontId="41" fillId="7" borderId="0" xfId="0" applyNumberFormat="1" applyFont="1" applyFill="1" applyBorder="1" applyAlignment="1">
      <alignment horizontal="center" vertical="center" wrapText="1"/>
    </xf>
    <xf numFmtId="1" fontId="41" fillId="7" borderId="0" xfId="0" applyNumberFormat="1" applyFont="1" applyFill="1" applyBorder="1" applyAlignment="1">
      <alignment horizontal="center" vertical="center"/>
    </xf>
    <xf numFmtId="1" fontId="39" fillId="7" borderId="0" xfId="0" applyNumberFormat="1" applyFont="1" applyFill="1" applyBorder="1" applyAlignment="1">
      <alignment horizontal="center" vertical="center" wrapText="1"/>
    </xf>
    <xf numFmtId="0" fontId="41" fillId="7" borderId="0" xfId="0" applyFont="1" applyFill="1" applyBorder="1" applyAlignment="1">
      <alignment horizontal="center" vertical="center"/>
    </xf>
    <xf numFmtId="2" fontId="39" fillId="7" borderId="0" xfId="0" applyNumberFormat="1" applyFont="1" applyFill="1" applyBorder="1" applyAlignment="1">
      <alignment horizontal="center" vertical="center"/>
    </xf>
    <xf numFmtId="2" fontId="38" fillId="0" borderId="0" xfId="0" applyNumberFormat="1" applyFont="1" applyBorder="1" applyAlignment="1"/>
    <xf numFmtId="1" fontId="41" fillId="2" borderId="0" xfId="0" applyNumberFormat="1" applyFont="1" applyFill="1" applyBorder="1" applyAlignment="1">
      <alignment horizontal="right" vertical="center"/>
    </xf>
    <xf numFmtId="2" fontId="41" fillId="2" borderId="0" xfId="0" applyNumberFormat="1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vertical="center"/>
    </xf>
    <xf numFmtId="0" fontId="48" fillId="0" borderId="0" xfId="0" applyNumberFormat="1" applyFont="1" applyBorder="1" applyAlignment="1"/>
    <xf numFmtId="0" fontId="2" fillId="2" borderId="12" xfId="0" applyFont="1" applyFill="1" applyBorder="1" applyAlignment="1">
      <alignment horizontal="center" vertical="center"/>
    </xf>
    <xf numFmtId="0" fontId="46" fillId="0" borderId="0" xfId="0" applyFont="1" applyBorder="1"/>
    <xf numFmtId="0" fontId="43" fillId="0" borderId="0" xfId="0" applyFont="1" applyAlignment="1"/>
    <xf numFmtId="0" fontId="2" fillId="0" borderId="0" xfId="0" applyFont="1" applyAlignment="1">
      <alignment wrapText="1"/>
    </xf>
    <xf numFmtId="0" fontId="1" fillId="2" borderId="0" xfId="0" applyNumberFormat="1" applyFont="1" applyFill="1" applyBorder="1" applyAlignment="1">
      <alignment horizontal="center" wrapText="1"/>
    </xf>
    <xf numFmtId="0" fontId="1" fillId="2" borderId="0" xfId="0" applyNumberFormat="1" applyFont="1" applyFill="1" applyBorder="1" applyAlignment="1">
      <alignment wrapText="1"/>
    </xf>
    <xf numFmtId="0" fontId="1" fillId="2" borderId="0" xfId="0" applyNumberFormat="1" applyFont="1" applyFill="1" applyBorder="1" applyAlignment="1">
      <alignment horizontal="left" wrapText="1"/>
    </xf>
    <xf numFmtId="0" fontId="35" fillId="0" borderId="0" xfId="0" applyFont="1" applyBorder="1" applyAlignment="1"/>
    <xf numFmtId="0" fontId="26" fillId="6" borderId="21" xfId="0" applyFont="1" applyFill="1" applyBorder="1" applyAlignment="1">
      <alignment horizontal="center" vertical="center"/>
    </xf>
    <xf numFmtId="2" fontId="23" fillId="2" borderId="0" xfId="0" applyNumberFormat="1" applyFont="1" applyFill="1" applyBorder="1" applyAlignment="1">
      <alignment horizontal="center"/>
    </xf>
    <xf numFmtId="0" fontId="35" fillId="7" borderId="1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 wrapText="1"/>
    </xf>
    <xf numFmtId="0" fontId="35" fillId="2" borderId="11" xfId="0" applyFont="1" applyFill="1" applyBorder="1" applyAlignment="1">
      <alignment horizontal="left" vertical="center" wrapText="1"/>
    </xf>
    <xf numFmtId="1" fontId="2" fillId="2" borderId="12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wrapText="1"/>
    </xf>
    <xf numFmtId="0" fontId="1" fillId="9" borderId="0" xfId="0" applyNumberFormat="1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/>
    </xf>
    <xf numFmtId="0" fontId="1" fillId="9" borderId="9" xfId="0" applyNumberFormat="1" applyFont="1" applyFill="1" applyBorder="1" applyAlignment="1">
      <alignment horizontal="left" vertical="center" wrapText="1"/>
    </xf>
    <xf numFmtId="2" fontId="1" fillId="9" borderId="10" xfId="0" applyNumberFormat="1" applyFont="1" applyFill="1" applyBorder="1" applyAlignment="1">
      <alignment horizontal="center" vertical="center"/>
    </xf>
    <xf numFmtId="2" fontId="1" fillId="9" borderId="8" xfId="0" applyNumberFormat="1" applyFont="1" applyFill="1" applyBorder="1" applyAlignment="1">
      <alignment horizontal="center" vertical="center"/>
    </xf>
    <xf numFmtId="0" fontId="1" fillId="9" borderId="8" xfId="0" applyNumberFormat="1" applyFont="1" applyFill="1" applyBorder="1" applyAlignment="1">
      <alignment vertical="center" wrapText="1"/>
    </xf>
    <xf numFmtId="0" fontId="1" fillId="9" borderId="11" xfId="0" applyNumberFormat="1" applyFont="1" applyFill="1" applyBorder="1" applyAlignment="1">
      <alignment vertical="center" wrapText="1"/>
    </xf>
    <xf numFmtId="0" fontId="1" fillId="9" borderId="12" xfId="0" applyNumberFormat="1" applyFont="1" applyFill="1" applyBorder="1" applyAlignment="1">
      <alignment horizontal="left" vertical="center" wrapText="1"/>
    </xf>
    <xf numFmtId="2" fontId="1" fillId="9" borderId="5" xfId="0" applyNumberFormat="1" applyFont="1" applyFill="1" applyBorder="1" applyAlignment="1">
      <alignment horizontal="center" vertical="center" wrapText="1"/>
    </xf>
    <xf numFmtId="0" fontId="1" fillId="9" borderId="8" xfId="0" applyNumberFormat="1" applyFont="1" applyFill="1" applyBorder="1" applyAlignment="1">
      <alignment horizontal="right" vertical="center" wrapText="1"/>
    </xf>
    <xf numFmtId="0" fontId="1" fillId="9" borderId="11" xfId="0" applyNumberFormat="1" applyFont="1" applyFill="1" applyBorder="1" applyAlignment="1">
      <alignment horizontal="center" vertical="center" wrapText="1"/>
    </xf>
    <xf numFmtId="0" fontId="1" fillId="9" borderId="11" xfId="0" applyNumberFormat="1" applyFont="1" applyFill="1" applyBorder="1" applyAlignment="1">
      <alignment horizontal="left" vertical="center" wrapText="1"/>
    </xf>
    <xf numFmtId="2" fontId="1" fillId="9" borderId="11" xfId="0" applyNumberFormat="1" applyFont="1" applyFill="1" applyBorder="1" applyAlignment="1">
      <alignment horizontal="center" vertical="center" wrapText="1"/>
    </xf>
    <xf numFmtId="49" fontId="1" fillId="9" borderId="8" xfId="0" applyNumberFormat="1" applyFont="1" applyFill="1" applyBorder="1" applyAlignment="1">
      <alignment horizontal="right" vertical="center"/>
    </xf>
    <xf numFmtId="2" fontId="1" fillId="9" borderId="11" xfId="0" applyNumberFormat="1" applyFont="1" applyFill="1" applyBorder="1" applyAlignment="1">
      <alignment horizontal="center" vertical="center"/>
    </xf>
    <xf numFmtId="49" fontId="1" fillId="9" borderId="11" xfId="0" applyNumberFormat="1" applyFont="1" applyFill="1" applyBorder="1" applyAlignment="1">
      <alignment horizontal="center" vertical="center"/>
    </xf>
    <xf numFmtId="49" fontId="1" fillId="9" borderId="11" xfId="0" applyNumberFormat="1" applyFont="1" applyFill="1" applyBorder="1" applyAlignment="1">
      <alignment vertical="center"/>
    </xf>
    <xf numFmtId="0" fontId="1" fillId="9" borderId="12" xfId="0" applyNumberFormat="1" applyFont="1" applyFill="1" applyBorder="1" applyAlignment="1">
      <alignment horizontal="left" vertical="center"/>
    </xf>
    <xf numFmtId="1" fontId="1" fillId="9" borderId="15" xfId="0" applyNumberFormat="1" applyFont="1" applyFill="1" applyBorder="1" applyAlignment="1">
      <alignment horizontal="center" vertical="center" wrapText="1"/>
    </xf>
    <xf numFmtId="0" fontId="1" fillId="9" borderId="11" xfId="0" applyNumberFormat="1" applyFont="1" applyFill="1" applyBorder="1" applyAlignment="1">
      <alignment horizontal="center" vertical="center"/>
    </xf>
    <xf numFmtId="2" fontId="1" fillId="9" borderId="5" xfId="0" applyNumberFormat="1" applyFont="1" applyFill="1" applyBorder="1" applyAlignment="1">
      <alignment horizontal="left" vertical="center"/>
    </xf>
    <xf numFmtId="0" fontId="1" fillId="9" borderId="5" xfId="0" applyNumberFormat="1" applyFont="1" applyFill="1" applyBorder="1" applyAlignment="1">
      <alignment horizontal="center" vertical="center" wrapText="1"/>
    </xf>
    <xf numFmtId="1" fontId="1" fillId="9" borderId="8" xfId="0" applyNumberFormat="1" applyFont="1" applyFill="1" applyBorder="1" applyAlignment="1">
      <alignment horizontal="center" vertical="center"/>
    </xf>
    <xf numFmtId="1" fontId="1" fillId="9" borderId="5" xfId="0" applyNumberFormat="1" applyFont="1" applyFill="1" applyBorder="1" applyAlignment="1">
      <alignment horizontal="center" vertical="center" wrapText="1"/>
    </xf>
    <xf numFmtId="1" fontId="1" fillId="9" borderId="5" xfId="0" applyNumberFormat="1" applyFont="1" applyFill="1" applyBorder="1" applyAlignment="1">
      <alignment horizontal="center" vertical="center"/>
    </xf>
    <xf numFmtId="1" fontId="1" fillId="9" borderId="9" xfId="0" applyNumberFormat="1" applyFont="1" applyFill="1" applyBorder="1" applyAlignment="1">
      <alignment horizontal="center" vertical="center"/>
    </xf>
    <xf numFmtId="2" fontId="1" fillId="9" borderId="5" xfId="0" applyNumberFormat="1" applyFont="1" applyFill="1" applyBorder="1" applyAlignment="1">
      <alignment horizontal="center" vertical="center"/>
    </xf>
    <xf numFmtId="1" fontId="1" fillId="9" borderId="16" xfId="0" applyNumberFormat="1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vertical="center"/>
    </xf>
    <xf numFmtId="0" fontId="1" fillId="9" borderId="5" xfId="0" applyFont="1" applyFill="1" applyBorder="1" applyAlignment="1">
      <alignment vertical="center"/>
    </xf>
    <xf numFmtId="1" fontId="1" fillId="9" borderId="17" xfId="0" applyNumberFormat="1" applyFont="1" applyFill="1" applyBorder="1" applyAlignment="1">
      <alignment horizontal="center" vertical="center" wrapText="1"/>
    </xf>
    <xf numFmtId="1" fontId="1" fillId="9" borderId="12" xfId="0" applyNumberFormat="1" applyFont="1" applyFill="1" applyBorder="1" applyAlignment="1">
      <alignment horizontal="center" vertical="center"/>
    </xf>
    <xf numFmtId="0" fontId="1" fillId="9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22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2" fontId="2" fillId="2" borderId="15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25" fillId="0" borderId="8" xfId="0" applyFont="1" applyBorder="1" applyAlignment="1">
      <alignment vertical="center" wrapText="1"/>
    </xf>
    <xf numFmtId="0" fontId="25" fillId="0" borderId="5" xfId="0" applyFont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 vertical="top"/>
    </xf>
    <xf numFmtId="49" fontId="34" fillId="7" borderId="0" xfId="0" applyNumberFormat="1" applyFont="1" applyFill="1" applyBorder="1" applyAlignment="1">
      <alignment vertical="center"/>
    </xf>
    <xf numFmtId="0" fontId="34" fillId="7" borderId="0" xfId="0" applyNumberFormat="1" applyFont="1" applyFill="1" applyBorder="1" applyAlignment="1">
      <alignment horizontal="left" vertical="center"/>
    </xf>
    <xf numFmtId="0" fontId="34" fillId="7" borderId="0" xfId="0" applyNumberFormat="1" applyFont="1" applyFill="1" applyBorder="1" applyAlignment="1">
      <alignment horizontal="center" vertical="center"/>
    </xf>
    <xf numFmtId="0" fontId="34" fillId="7" borderId="0" xfId="0" applyNumberFormat="1" applyFont="1" applyFill="1" applyBorder="1" applyAlignment="1">
      <alignment vertical="center"/>
    </xf>
    <xf numFmtId="49" fontId="34" fillId="7" borderId="0" xfId="0" applyNumberFormat="1" applyFont="1" applyFill="1" applyBorder="1" applyAlignment="1">
      <alignment horizontal="left" vertical="center"/>
    </xf>
    <xf numFmtId="2" fontId="34" fillId="7" borderId="0" xfId="0" applyNumberFormat="1" applyFont="1" applyFill="1" applyBorder="1" applyAlignment="1">
      <alignment horizontal="left" vertical="center"/>
    </xf>
    <xf numFmtId="1" fontId="34" fillId="7" borderId="0" xfId="0" applyNumberFormat="1" applyFont="1" applyFill="1" applyBorder="1" applyAlignment="1">
      <alignment horizontal="center" vertical="center" wrapText="1"/>
    </xf>
    <xf numFmtId="0" fontId="34" fillId="7" borderId="0" xfId="0" applyFont="1" applyFill="1" applyBorder="1" applyAlignment="1">
      <alignment vertical="center" wrapText="1"/>
    </xf>
    <xf numFmtId="0" fontId="35" fillId="7" borderId="0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2" fillId="0" borderId="11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2" fillId="2" borderId="30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2" fontId="2" fillId="2" borderId="5" xfId="0" applyNumberFormat="1" applyFont="1" applyFill="1" applyBorder="1" applyAlignment="1">
      <alignment horizontal="left" vertical="center" wrapText="1"/>
    </xf>
    <xf numFmtId="49" fontId="2" fillId="2" borderId="8" xfId="0" applyNumberFormat="1" applyFont="1" applyFill="1" applyBorder="1" applyAlignment="1">
      <alignment horizontal="right" vertical="center"/>
    </xf>
    <xf numFmtId="0" fontId="35" fillId="0" borderId="10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5" fillId="7" borderId="19" xfId="0" applyFont="1" applyFill="1" applyBorder="1" applyAlignment="1">
      <alignment horizontal="center" vertical="center" wrapText="1"/>
    </xf>
    <xf numFmtId="0" fontId="25" fillId="7" borderId="26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left" vertical="center" wrapText="1"/>
    </xf>
    <xf numFmtId="0" fontId="1" fillId="9" borderId="11" xfId="0" applyFont="1" applyFill="1" applyBorder="1" applyAlignment="1">
      <alignment horizontal="left" vertical="center" wrapText="1"/>
    </xf>
    <xf numFmtId="0" fontId="1" fillId="9" borderId="12" xfId="0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left" vertical="top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0" fontId="45" fillId="2" borderId="0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26" fillId="6" borderId="5" xfId="0" applyFont="1" applyFill="1" applyBorder="1" applyAlignment="1">
      <alignment horizontal="center" vertical="center"/>
    </xf>
    <xf numFmtId="0" fontId="0" fillId="0" borderId="0" xfId="0"/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25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6" fillId="6" borderId="8" xfId="0" applyFont="1" applyFill="1" applyBorder="1" applyAlignment="1">
      <alignment horizontal="center" vertical="center"/>
    </xf>
    <xf numFmtId="0" fontId="26" fillId="6" borderId="11" xfId="0" applyFont="1" applyFill="1" applyBorder="1" applyAlignment="1">
      <alignment horizontal="center" vertical="center"/>
    </xf>
    <xf numFmtId="0" fontId="26" fillId="6" borderId="12" xfId="0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7" borderId="8" xfId="0" applyNumberFormat="1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left" vertical="center"/>
    </xf>
    <xf numFmtId="49" fontId="2" fillId="7" borderId="30" xfId="0" applyNumberFormat="1" applyFont="1" applyFill="1" applyBorder="1" applyAlignment="1">
      <alignment horizontal="center" vertical="center" wrapText="1"/>
    </xf>
    <xf numFmtId="49" fontId="2" fillId="7" borderId="13" xfId="0" applyNumberFormat="1" applyFont="1" applyFill="1" applyBorder="1" applyAlignment="1">
      <alignment horizontal="center" vertical="center" wrapText="1"/>
    </xf>
    <xf numFmtId="0" fontId="2" fillId="7" borderId="14" xfId="0" applyNumberFormat="1" applyFont="1" applyFill="1" applyBorder="1" applyAlignment="1">
      <alignment horizontal="center" vertical="center" wrapText="1"/>
    </xf>
    <xf numFmtId="0" fontId="2" fillId="7" borderId="11" xfId="0" applyNumberFormat="1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2" fillId="7" borderId="10" xfId="0" applyNumberFormat="1" applyFont="1" applyFill="1" applyBorder="1" applyAlignment="1">
      <alignment horizontal="left" vertical="center" wrapText="1"/>
    </xf>
    <xf numFmtId="2" fontId="2" fillId="7" borderId="5" xfId="0" applyNumberFormat="1" applyFont="1" applyFill="1" applyBorder="1" applyAlignment="1">
      <alignment horizontal="right" vertical="center"/>
    </xf>
    <xf numFmtId="2" fontId="2" fillId="7" borderId="9" xfId="0" applyNumberFormat="1" applyFont="1" applyFill="1" applyBorder="1" applyAlignment="1">
      <alignment horizontal="left" vertical="center" wrapText="1"/>
    </xf>
    <xf numFmtId="2" fontId="2" fillId="7" borderId="10" xfId="0" applyNumberFormat="1" applyFont="1" applyFill="1" applyBorder="1" applyAlignment="1">
      <alignment horizontal="center" vertical="center"/>
    </xf>
    <xf numFmtId="0" fontId="2" fillId="7" borderId="9" xfId="0" applyNumberFormat="1" applyFont="1" applyFill="1" applyBorder="1" applyAlignment="1">
      <alignment horizontal="left" vertical="center" wrapText="1"/>
    </xf>
    <xf numFmtId="2" fontId="2" fillId="7" borderId="8" xfId="0" applyNumberFormat="1" applyFont="1" applyFill="1" applyBorder="1" applyAlignment="1">
      <alignment horizontal="center" vertical="center"/>
    </xf>
    <xf numFmtId="0" fontId="2" fillId="7" borderId="8" xfId="0" applyNumberFormat="1" applyFont="1" applyFill="1" applyBorder="1" applyAlignment="1">
      <alignment vertical="center" wrapText="1"/>
    </xf>
    <xf numFmtId="0" fontId="2" fillId="7" borderId="11" xfId="0" applyNumberFormat="1" applyFont="1" applyFill="1" applyBorder="1" applyAlignment="1">
      <alignment vertical="center" wrapText="1"/>
    </xf>
    <xf numFmtId="0" fontId="2" fillId="7" borderId="12" xfId="0" applyNumberFormat="1" applyFont="1" applyFill="1" applyBorder="1" applyAlignment="1">
      <alignment horizontal="left" vertical="center" wrapText="1"/>
    </xf>
    <xf numFmtId="2" fontId="2" fillId="7" borderId="5" xfId="0" applyNumberFormat="1" applyFont="1" applyFill="1" applyBorder="1" applyAlignment="1">
      <alignment horizontal="center" vertical="center" wrapText="1"/>
    </xf>
    <xf numFmtId="0" fontId="2" fillId="7" borderId="8" xfId="0" applyNumberFormat="1" applyFont="1" applyFill="1" applyBorder="1" applyAlignment="1">
      <alignment horizontal="right" vertical="center" wrapText="1"/>
    </xf>
    <xf numFmtId="2" fontId="2" fillId="7" borderId="8" xfId="0" applyNumberFormat="1" applyFont="1" applyFill="1" applyBorder="1" applyAlignment="1">
      <alignment horizontal="center" vertical="center" wrapText="1"/>
    </xf>
    <xf numFmtId="49" fontId="2" fillId="7" borderId="8" xfId="0" applyNumberFormat="1" applyFont="1" applyFill="1" applyBorder="1" applyAlignment="1">
      <alignment horizontal="right" vertical="center"/>
    </xf>
    <xf numFmtId="2" fontId="2" fillId="7" borderId="11" xfId="0" applyNumberFormat="1" applyFont="1" applyFill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11" xfId="0" applyNumberFormat="1" applyFont="1" applyFill="1" applyBorder="1" applyAlignment="1">
      <alignment vertical="center"/>
    </xf>
    <xf numFmtId="0" fontId="2" fillId="7" borderId="12" xfId="0" applyNumberFormat="1" applyFont="1" applyFill="1" applyBorder="1" applyAlignment="1">
      <alignment horizontal="left" vertical="center"/>
    </xf>
    <xf numFmtId="1" fontId="2" fillId="7" borderId="15" xfId="0" applyNumberFormat="1" applyFont="1" applyFill="1" applyBorder="1" applyAlignment="1">
      <alignment horizontal="center" vertical="center" wrapText="1"/>
    </xf>
    <xf numFmtId="0" fontId="2" fillId="7" borderId="11" xfId="0" applyNumberFormat="1" applyFont="1" applyFill="1" applyBorder="1" applyAlignment="1">
      <alignment horizontal="center" vertical="center"/>
    </xf>
    <xf numFmtId="2" fontId="2" fillId="7" borderId="5" xfId="0" applyNumberFormat="1" applyFont="1" applyFill="1" applyBorder="1" applyAlignment="1">
      <alignment horizontal="left" vertical="center"/>
    </xf>
    <xf numFmtId="0" fontId="2" fillId="7" borderId="5" xfId="0" applyNumberFormat="1" applyFont="1" applyFill="1" applyBorder="1" applyAlignment="1">
      <alignment horizontal="center" vertical="center" wrapText="1"/>
    </xf>
    <xf numFmtId="1" fontId="1" fillId="7" borderId="8" xfId="0" applyNumberFormat="1" applyFont="1" applyFill="1" applyBorder="1" applyAlignment="1">
      <alignment horizontal="center" vertical="center"/>
    </xf>
    <xf numFmtId="1" fontId="2" fillId="7" borderId="5" xfId="0" applyNumberFormat="1" applyFont="1" applyFill="1" applyBorder="1" applyAlignment="1">
      <alignment horizontal="center" vertical="center" wrapText="1"/>
    </xf>
    <xf numFmtId="1" fontId="2" fillId="7" borderId="5" xfId="0" applyNumberFormat="1" applyFont="1" applyFill="1" applyBorder="1" applyAlignment="1">
      <alignment horizontal="center" vertical="center"/>
    </xf>
    <xf numFmtId="1" fontId="1" fillId="7" borderId="9" xfId="0" applyNumberFormat="1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2" fontId="2" fillId="7" borderId="5" xfId="0" applyNumberFormat="1" applyFont="1" applyFill="1" applyBorder="1" applyAlignment="1">
      <alignment horizontal="center" vertical="center"/>
    </xf>
    <xf numFmtId="1" fontId="2" fillId="7" borderId="16" xfId="0" applyNumberFormat="1" applyFont="1" applyFill="1" applyBorder="1" applyAlignment="1">
      <alignment horizontal="center" vertical="center"/>
    </xf>
    <xf numFmtId="2" fontId="1" fillId="7" borderId="12" xfId="0" applyNumberFormat="1" applyFont="1" applyFill="1" applyBorder="1" applyAlignment="1">
      <alignment horizontal="center" vertical="center"/>
    </xf>
    <xf numFmtId="0" fontId="2" fillId="7" borderId="5" xfId="0" applyFont="1" applyFill="1" applyBorder="1" applyAlignment="1">
      <alignment vertical="center"/>
    </xf>
    <xf numFmtId="1" fontId="1" fillId="7" borderId="5" xfId="0" applyNumberFormat="1" applyFont="1" applyFill="1" applyBorder="1" applyAlignment="1">
      <alignment horizontal="center" vertical="center"/>
    </xf>
    <xf numFmtId="1" fontId="1" fillId="7" borderId="17" xfId="0" applyNumberFormat="1" applyFont="1" applyFill="1" applyBorder="1" applyAlignment="1">
      <alignment horizontal="center" vertical="center" wrapText="1"/>
    </xf>
    <xf numFmtId="1" fontId="2" fillId="7" borderId="12" xfId="0" applyNumberFormat="1" applyFont="1" applyFill="1" applyBorder="1" applyAlignment="1">
      <alignment horizontal="center" vertical="center"/>
    </xf>
    <xf numFmtId="0" fontId="2" fillId="7" borderId="5" xfId="0" applyNumberFormat="1" applyFont="1" applyFill="1" applyBorder="1" applyAlignment="1">
      <alignment horizontal="left" vertical="center" wrapText="1"/>
    </xf>
    <xf numFmtId="0" fontId="2" fillId="7" borderId="0" xfId="0" applyFont="1" applyFill="1" applyAlignment="1">
      <alignment vertical="center"/>
    </xf>
    <xf numFmtId="0" fontId="1" fillId="7" borderId="5" xfId="0" applyNumberFormat="1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left" vertical="center" wrapText="1"/>
    </xf>
    <xf numFmtId="0" fontId="35" fillId="2" borderId="17" xfId="0" applyFont="1" applyFill="1" applyBorder="1" applyAlignment="1">
      <alignment horizontal="left" vertical="center" wrapText="1"/>
    </xf>
    <xf numFmtId="1" fontId="34" fillId="9" borderId="0" xfId="0" applyNumberFormat="1" applyFont="1" applyFill="1" applyBorder="1" applyAlignment="1">
      <alignment horizontal="center" vertical="center"/>
    </xf>
    <xf numFmtId="0" fontId="34" fillId="9" borderId="0" xfId="0" applyFont="1" applyFill="1" applyBorder="1" applyAlignment="1">
      <alignment horizontal="center" vertical="center"/>
    </xf>
    <xf numFmtId="0" fontId="34" fillId="9" borderId="0" xfId="0" applyNumberFormat="1" applyFont="1" applyFill="1" applyBorder="1" applyAlignment="1">
      <alignment horizontal="center" vertical="center" wrapText="1"/>
    </xf>
    <xf numFmtId="49" fontId="34" fillId="9" borderId="0" xfId="0" applyNumberFormat="1" applyFont="1" applyFill="1" applyBorder="1" applyAlignment="1">
      <alignment vertical="center"/>
    </xf>
    <xf numFmtId="0" fontId="34" fillId="9" borderId="0" xfId="0" applyNumberFormat="1" applyFont="1" applyFill="1" applyBorder="1" applyAlignment="1">
      <alignment horizontal="left" vertical="center"/>
    </xf>
    <xf numFmtId="0" fontId="34" fillId="9" borderId="0" xfId="0" applyNumberFormat="1" applyFont="1" applyFill="1" applyBorder="1" applyAlignment="1">
      <alignment horizontal="center" vertical="center"/>
    </xf>
    <xf numFmtId="0" fontId="34" fillId="9" borderId="0" xfId="0" applyNumberFormat="1" applyFont="1" applyFill="1" applyBorder="1" applyAlignment="1">
      <alignment vertical="center"/>
    </xf>
    <xf numFmtId="49" fontId="34" fillId="9" borderId="0" xfId="0" applyNumberFormat="1" applyFont="1" applyFill="1" applyBorder="1" applyAlignment="1">
      <alignment horizontal="left" vertical="center"/>
    </xf>
    <xf numFmtId="2" fontId="34" fillId="9" borderId="0" xfId="0" applyNumberFormat="1" applyFont="1" applyFill="1" applyBorder="1" applyAlignment="1">
      <alignment horizontal="left" vertical="center"/>
    </xf>
    <xf numFmtId="1" fontId="34" fillId="9" borderId="0" xfId="0" applyNumberFormat="1" applyFont="1" applyFill="1" applyBorder="1" applyAlignment="1">
      <alignment horizontal="center" vertical="center" wrapText="1"/>
    </xf>
    <xf numFmtId="2" fontId="34" fillId="9" borderId="0" xfId="0" applyNumberFormat="1" applyFont="1" applyFill="1" applyBorder="1" applyAlignment="1">
      <alignment horizontal="center" vertical="center"/>
    </xf>
    <xf numFmtId="1" fontId="34" fillId="9" borderId="0" xfId="0" applyNumberFormat="1" applyFont="1" applyFill="1" applyBorder="1" applyAlignment="1">
      <alignment horizontal="right" vertical="center"/>
    </xf>
    <xf numFmtId="0" fontId="34" fillId="9" borderId="0" xfId="0" applyFont="1" applyFill="1" applyBorder="1" applyAlignment="1">
      <alignment vertical="center"/>
    </xf>
    <xf numFmtId="1" fontId="35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5" fillId="2" borderId="0" xfId="0" applyNumberFormat="1" applyFont="1" applyFill="1" applyBorder="1" applyAlignment="1">
      <alignment horizontal="center" vertical="center" wrapText="1"/>
    </xf>
    <xf numFmtId="0" fontId="35" fillId="2" borderId="0" xfId="0" applyNumberFormat="1" applyFont="1" applyFill="1" applyBorder="1" applyAlignment="1">
      <alignment horizontal="left" vertical="center" wrapText="1"/>
    </xf>
    <xf numFmtId="49" fontId="35" fillId="2" borderId="0" xfId="0" applyNumberFormat="1" applyFont="1" applyFill="1" applyBorder="1" applyAlignment="1">
      <alignment vertical="center"/>
    </xf>
    <xf numFmtId="0" fontId="35" fillId="2" borderId="0" xfId="0" applyFont="1" applyFill="1" applyBorder="1" applyAlignment="1">
      <alignment vertical="center" wrapText="1"/>
    </xf>
    <xf numFmtId="0" fontId="35" fillId="2" borderId="0" xfId="0" applyNumberFormat="1" applyFont="1" applyFill="1" applyBorder="1" applyAlignment="1">
      <alignment horizontal="left" vertical="center"/>
    </xf>
    <xf numFmtId="0" fontId="35" fillId="2" borderId="0" xfId="0" applyNumberFormat="1" applyFont="1" applyFill="1" applyBorder="1" applyAlignment="1">
      <alignment horizontal="center" vertical="center"/>
    </xf>
    <xf numFmtId="0" fontId="35" fillId="2" borderId="0" xfId="0" applyNumberFormat="1" applyFont="1" applyFill="1" applyBorder="1" applyAlignment="1">
      <alignment vertical="center"/>
    </xf>
    <xf numFmtId="0" fontId="35" fillId="2" borderId="0" xfId="0" applyFont="1" applyFill="1" applyBorder="1" applyAlignment="1">
      <alignment vertical="center"/>
    </xf>
    <xf numFmtId="49" fontId="35" fillId="2" borderId="0" xfId="0" applyNumberFormat="1" applyFont="1" applyFill="1" applyBorder="1" applyAlignment="1">
      <alignment horizontal="left" vertical="center"/>
    </xf>
    <xf numFmtId="2" fontId="35" fillId="2" borderId="0" xfId="0" applyNumberFormat="1" applyFont="1" applyFill="1" applyBorder="1" applyAlignment="1">
      <alignment horizontal="left" vertical="center"/>
    </xf>
    <xf numFmtId="0" fontId="34" fillId="2" borderId="0" xfId="0" applyNumberFormat="1" applyFont="1" applyFill="1" applyBorder="1" applyAlignment="1">
      <alignment horizontal="center" vertical="center" wrapText="1"/>
    </xf>
    <xf numFmtId="1" fontId="34" fillId="2" borderId="0" xfId="0" applyNumberFormat="1" applyFont="1" applyFill="1" applyBorder="1" applyAlignment="1">
      <alignment horizontal="center" vertical="center"/>
    </xf>
    <xf numFmtId="1" fontId="35" fillId="2" borderId="0" xfId="0" applyNumberFormat="1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/>
    </xf>
    <xf numFmtId="2" fontId="35" fillId="2" borderId="0" xfId="0" applyNumberFormat="1" applyFont="1" applyFill="1" applyBorder="1" applyAlignment="1">
      <alignment horizontal="center" vertical="center"/>
    </xf>
    <xf numFmtId="1" fontId="34" fillId="2" borderId="0" xfId="0" applyNumberFormat="1" applyFont="1" applyFill="1" applyBorder="1" applyAlignment="1">
      <alignment horizontal="right" vertical="center"/>
    </xf>
    <xf numFmtId="2" fontId="34" fillId="2" borderId="0" xfId="0" applyNumberFormat="1" applyFont="1" applyFill="1" applyBorder="1" applyAlignment="1">
      <alignment horizontal="center" vertical="center"/>
    </xf>
    <xf numFmtId="0" fontId="34" fillId="9" borderId="0" xfId="0" applyFont="1" applyFill="1" applyBorder="1" applyAlignment="1">
      <alignment vertical="center" wrapText="1"/>
    </xf>
    <xf numFmtId="2" fontId="39" fillId="2" borderId="0" xfId="0" applyNumberFormat="1" applyFont="1" applyFill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 wrapText="1"/>
    </xf>
    <xf numFmtId="49" fontId="39" fillId="0" borderId="0" xfId="0" applyNumberFormat="1" applyFont="1" applyBorder="1" applyAlignment="1">
      <alignment vertical="center"/>
    </xf>
    <xf numFmtId="0" fontId="39" fillId="3" borderId="0" xfId="0" applyFont="1" applyFill="1" applyBorder="1" applyAlignment="1">
      <alignment vertical="center"/>
    </xf>
    <xf numFmtId="0" fontId="26" fillId="6" borderId="5" xfId="0" applyFont="1" applyFill="1" applyBorder="1" applyAlignment="1">
      <alignment vertical="center"/>
    </xf>
    <xf numFmtId="2" fontId="2" fillId="2" borderId="8" xfId="0" applyNumberFormat="1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/>
    </xf>
    <xf numFmtId="49" fontId="2" fillId="7" borderId="5" xfId="0" applyNumberFormat="1" applyFont="1" applyFill="1" applyBorder="1" applyAlignment="1">
      <alignment horizontal="center" vertical="center" wrapText="1"/>
    </xf>
    <xf numFmtId="0" fontId="2" fillId="7" borderId="5" xfId="0" applyNumberFormat="1" applyFont="1" applyFill="1" applyBorder="1" applyAlignment="1">
      <alignment horizontal="center" vertical="center"/>
    </xf>
    <xf numFmtId="0" fontId="2" fillId="7" borderId="8" xfId="0" applyNumberFormat="1" applyFont="1" applyFill="1" applyBorder="1" applyAlignment="1">
      <alignment horizontal="left" vertical="center" wrapText="1"/>
    </xf>
    <xf numFmtId="0" fontId="35" fillId="7" borderId="10" xfId="0" applyFont="1" applyFill="1" applyBorder="1" applyAlignment="1">
      <alignment vertical="center" wrapText="1"/>
    </xf>
    <xf numFmtId="2" fontId="2" fillId="7" borderId="5" xfId="0" applyNumberFormat="1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right" vertical="center" wrapText="1"/>
    </xf>
    <xf numFmtId="0" fontId="2" fillId="7" borderId="11" xfId="0" applyFont="1" applyFill="1" applyBorder="1" applyAlignment="1">
      <alignment horizontal="right" vertical="center" wrapText="1"/>
    </xf>
    <xf numFmtId="0" fontId="2" fillId="7" borderId="8" xfId="0" applyFont="1" applyFill="1" applyBorder="1" applyAlignment="1">
      <alignment horizontal="right" vertical="center"/>
    </xf>
    <xf numFmtId="0" fontId="2" fillId="7" borderId="11" xfId="0" applyFont="1" applyFill="1" applyBorder="1" applyAlignment="1">
      <alignment horizontal="left" vertical="center"/>
    </xf>
    <xf numFmtId="0" fontId="2" fillId="7" borderId="11" xfId="0" applyFont="1" applyFill="1" applyBorder="1" applyAlignment="1">
      <alignment vertical="center"/>
    </xf>
    <xf numFmtId="0" fontId="2" fillId="7" borderId="12" xfId="0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2" fillId="7" borderId="0" xfId="0" applyFont="1" applyFill="1" applyBorder="1" applyAlignment="1">
      <alignment vertical="center"/>
    </xf>
  </cellXfs>
  <cellStyles count="1">
    <cellStyle name="Normal" xfId="0" builtinId="0"/>
  </cellStyles>
  <dxfs count="391"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5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15"/>
        </patternFill>
      </fill>
    </dxf>
    <dxf>
      <fill>
        <patternFill>
          <bgColor indexed="5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fgColor indexed="46"/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51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fgColor indexed="46"/>
          <bgColor indexed="42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5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1</xdr:row>
      <xdr:rowOff>485775</xdr:rowOff>
    </xdr:from>
    <xdr:to>
      <xdr:col>1</xdr:col>
      <xdr:colOff>295275</xdr:colOff>
      <xdr:row>1</xdr:row>
      <xdr:rowOff>485775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95275" y="41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990600</xdr:colOff>
      <xdr:row>2</xdr:row>
      <xdr:rowOff>9525</xdr:rowOff>
    </xdr:from>
    <xdr:to>
      <xdr:col>26</xdr:col>
      <xdr:colOff>47625</xdr:colOff>
      <xdr:row>2</xdr:row>
      <xdr:rowOff>9525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 flipV="1">
          <a:off x="4714875" y="428625"/>
          <a:ext cx="1590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276225</xdr:colOff>
      <xdr:row>2</xdr:row>
      <xdr:rowOff>9525</xdr:rowOff>
    </xdr:from>
    <xdr:to>
      <xdr:col>5</xdr:col>
      <xdr:colOff>9525</xdr:colOff>
      <xdr:row>2</xdr:row>
      <xdr:rowOff>9526</xdr:rowOff>
    </xdr:to>
    <xdr:cxnSp macro="">
      <xdr:nvCxnSpPr>
        <xdr:cNvPr id="4" name="Straight Connector 3"/>
        <xdr:cNvCxnSpPr/>
      </xdr:nvCxnSpPr>
      <xdr:spPr>
        <a:xfrm flipV="1">
          <a:off x="276225" y="428625"/>
          <a:ext cx="11906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2</xdr:row>
      <xdr:rowOff>28575</xdr:rowOff>
    </xdr:from>
    <xdr:to>
      <xdr:col>3</xdr:col>
      <xdr:colOff>1390650</xdr:colOff>
      <xdr:row>2</xdr:row>
      <xdr:rowOff>28575</xdr:rowOff>
    </xdr:to>
    <xdr:sp macro="" textlink="">
      <xdr:nvSpPr>
        <xdr:cNvPr id="2" name="Line 33"/>
        <xdr:cNvSpPr>
          <a:spLocks noChangeShapeType="1"/>
        </xdr:cNvSpPr>
      </xdr:nvSpPr>
      <xdr:spPr bwMode="auto">
        <a:xfrm>
          <a:off x="904875" y="447675"/>
          <a:ext cx="857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485775</xdr:colOff>
      <xdr:row>2</xdr:row>
      <xdr:rowOff>19049</xdr:rowOff>
    </xdr:from>
    <xdr:to>
      <xdr:col>19</xdr:col>
      <xdr:colOff>285750</xdr:colOff>
      <xdr:row>2</xdr:row>
      <xdr:rowOff>19050</xdr:rowOff>
    </xdr:to>
    <xdr:sp macro="" textlink="">
      <xdr:nvSpPr>
        <xdr:cNvPr id="3" name="Line 47"/>
        <xdr:cNvSpPr>
          <a:spLocks noChangeShapeType="1"/>
        </xdr:cNvSpPr>
      </xdr:nvSpPr>
      <xdr:spPr bwMode="auto">
        <a:xfrm>
          <a:off x="4695825" y="438149"/>
          <a:ext cx="1285875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400050</xdr:colOff>
      <xdr:row>1</xdr:row>
      <xdr:rowOff>485775</xdr:rowOff>
    </xdr:from>
    <xdr:to>
      <xdr:col>1</xdr:col>
      <xdr:colOff>304800</xdr:colOff>
      <xdr:row>1</xdr:row>
      <xdr:rowOff>485775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04800" y="41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</xdr:row>
      <xdr:rowOff>9525</xdr:rowOff>
    </xdr:from>
    <xdr:to>
      <xdr:col>4</xdr:col>
      <xdr:colOff>1257300</xdr:colOff>
      <xdr:row>2</xdr:row>
      <xdr:rowOff>9525</xdr:rowOff>
    </xdr:to>
    <xdr:cxnSp macro="">
      <xdr:nvCxnSpPr>
        <xdr:cNvPr id="6" name="Straight Connector 5"/>
        <xdr:cNvCxnSpPr/>
      </xdr:nvCxnSpPr>
      <xdr:spPr>
        <a:xfrm>
          <a:off x="438150" y="428625"/>
          <a:ext cx="1190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%20+PC%208-2016%20(Q&#272;%20m&#7899;i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GiaoQĐ-$"/>
      <sheetName val="Ds QĐ=$"/>
      <sheetName val="TTr=$"/>
      <sheetName val="TB=$ "/>
      <sheetName val="@@ DL"/>
      <sheetName val="TB--%"/>
      <sheetName val="TTr--%"/>
      <sheetName val="Ds QĐ - %"/>
      <sheetName val="Giao QĐ - %"/>
      <sheetName val="Ds Huu+Thoi.."/>
      <sheetName val="TH số liệu"/>
      <sheetName val="- DLiêu Gốc -"/>
      <sheetName val="Sheet2"/>
      <sheetName val="CƠ CẤU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 t="str">
            <v>NGẠCH</v>
          </cell>
          <cell r="C1" t="str">
            <v>MÃ SỐ</v>
          </cell>
          <cell r="D1" t="str">
            <v>HS bậc 1</v>
          </cell>
          <cell r="E1" t="str">
            <v>BƯỚC</v>
          </cell>
          <cell r="F1" t="str">
            <v>LOẠI</v>
          </cell>
          <cell r="G1" t="str">
            <v>NHÓM</v>
          </cell>
        </row>
        <row r="2">
          <cell r="B2" t="str">
            <v>Giảng viên cao cấp (hạng I)</v>
          </cell>
          <cell r="C2" t="str">
            <v>V.07.01.01</v>
          </cell>
          <cell r="D2">
            <v>6.2</v>
          </cell>
          <cell r="E2">
            <v>0.36</v>
          </cell>
          <cell r="F2" t="str">
            <v>A3</v>
          </cell>
          <cell r="G2" t="str">
            <v>A3.1</v>
          </cell>
        </row>
        <row r="3">
          <cell r="B3" t="str">
            <v>Giảng viên chính (hạng II)</v>
          </cell>
          <cell r="C3" t="str">
            <v>V.07.01.02</v>
          </cell>
          <cell r="D3">
            <v>4.4000000000000004</v>
          </cell>
          <cell r="E3">
            <v>0.34</v>
          </cell>
          <cell r="F3" t="str">
            <v>A2</v>
          </cell>
          <cell r="G3" t="str">
            <v>A2.1</v>
          </cell>
        </row>
        <row r="4">
          <cell r="B4" t="str">
            <v>Giảng viên (hạng III)</v>
          </cell>
          <cell r="C4" t="str">
            <v>V.07.01.03</v>
          </cell>
          <cell r="D4">
            <v>2.34</v>
          </cell>
          <cell r="E4">
            <v>0.33</v>
          </cell>
          <cell r="F4" t="str">
            <v>A1</v>
          </cell>
          <cell r="G4" t="str">
            <v>- - -</v>
          </cell>
        </row>
        <row r="5">
          <cell r="B5" t="str">
            <v>Giáo viên trung học cao cấp</v>
          </cell>
          <cell r="C5" t="str">
            <v>15.112</v>
          </cell>
          <cell r="D5">
            <v>4</v>
          </cell>
          <cell r="E5">
            <v>0.34</v>
          </cell>
          <cell r="F5" t="str">
            <v>A2</v>
          </cell>
          <cell r="G5" t="str">
            <v>A2.2</v>
          </cell>
        </row>
        <row r="6">
          <cell r="B6" t="str">
            <v>Giáo viên trung học</v>
          </cell>
          <cell r="C6" t="str">
            <v>15.113</v>
          </cell>
          <cell r="D6">
            <v>2.34</v>
          </cell>
          <cell r="E6">
            <v>0.33</v>
          </cell>
          <cell r="F6" t="str">
            <v>A1</v>
          </cell>
          <cell r="G6" t="str">
            <v>- - -</v>
          </cell>
        </row>
        <row r="7">
          <cell r="B7" t="str">
            <v>Giáo viên trung học cơ sở chính</v>
          </cell>
          <cell r="C7" t="str">
            <v>15a.201</v>
          </cell>
          <cell r="D7">
            <v>2.34</v>
          </cell>
          <cell r="E7">
            <v>0.33</v>
          </cell>
          <cell r="F7" t="str">
            <v>A1</v>
          </cell>
          <cell r="G7" t="str">
            <v>- - -</v>
          </cell>
        </row>
        <row r="8">
          <cell r="B8" t="str">
            <v>Giáo viên trung học cơ sở</v>
          </cell>
          <cell r="C8" t="str">
            <v>15a.202</v>
          </cell>
          <cell r="D8">
            <v>2.1</v>
          </cell>
          <cell r="E8">
            <v>0.31</v>
          </cell>
          <cell r="F8" t="str">
            <v>A0</v>
          </cell>
          <cell r="G8" t="str">
            <v>- - -</v>
          </cell>
        </row>
        <row r="9">
          <cell r="B9" t="str">
            <v>Nghiên cứu viên cao cấp (hạng I)</v>
          </cell>
          <cell r="C9" t="str">
            <v>V.05.01.01</v>
          </cell>
          <cell r="D9">
            <v>6.2</v>
          </cell>
          <cell r="E9">
            <v>0.36</v>
          </cell>
          <cell r="F9" t="str">
            <v>A3</v>
          </cell>
          <cell r="G9" t="str">
            <v>A3.1</v>
          </cell>
        </row>
        <row r="10">
          <cell r="B10" t="str">
            <v>Nghiên cứu viên chính (hạng II)</v>
          </cell>
          <cell r="C10" t="str">
            <v>V.05.01.02</v>
          </cell>
          <cell r="D10">
            <v>4.4000000000000004</v>
          </cell>
          <cell r="E10">
            <v>0.34</v>
          </cell>
          <cell r="F10" t="str">
            <v>A2</v>
          </cell>
          <cell r="G10" t="str">
            <v>A2.1</v>
          </cell>
        </row>
        <row r="11">
          <cell r="B11" t="str">
            <v>Nghiên cứu viên (hạng III)</v>
          </cell>
          <cell r="C11" t="str">
            <v>V.05.01.03</v>
          </cell>
          <cell r="D11">
            <v>2.34</v>
          </cell>
          <cell r="E11">
            <v>0.33</v>
          </cell>
          <cell r="F11" t="str">
            <v>A1</v>
          </cell>
          <cell r="G11" t="str">
            <v>- - -</v>
          </cell>
        </row>
        <row r="12">
          <cell r="B12" t="str">
            <v>Chuyên viên cao cấp</v>
          </cell>
          <cell r="C12" t="str">
            <v>01.001</v>
          </cell>
          <cell r="D12">
            <v>6.2</v>
          </cell>
          <cell r="E12">
            <v>0.36</v>
          </cell>
          <cell r="F12" t="str">
            <v>A3</v>
          </cell>
          <cell r="G12" t="str">
            <v>A3.1</v>
          </cell>
        </row>
        <row r="13">
          <cell r="B13" t="str">
            <v>Chuyên viên chính</v>
          </cell>
          <cell r="C13" t="str">
            <v>01.002</v>
          </cell>
          <cell r="D13">
            <v>4.4000000000000004</v>
          </cell>
          <cell r="E13">
            <v>0.34</v>
          </cell>
          <cell r="F13" t="str">
            <v>A2</v>
          </cell>
          <cell r="G13" t="str">
            <v>A2.1</v>
          </cell>
        </row>
        <row r="14">
          <cell r="B14" t="str">
            <v>Chuyên viên</v>
          </cell>
          <cell r="C14" t="str">
            <v>01.003</v>
          </cell>
          <cell r="D14">
            <v>2.34</v>
          </cell>
          <cell r="E14">
            <v>0.33</v>
          </cell>
          <cell r="F14" t="str">
            <v>A1</v>
          </cell>
          <cell r="G14" t="str">
            <v>- - -</v>
          </cell>
        </row>
        <row r="15">
          <cell r="B15" t="str">
            <v>Chuyên viên (cao đẳng)</v>
          </cell>
          <cell r="C15" t="str">
            <v>01a.003</v>
          </cell>
          <cell r="D15">
            <v>2.1</v>
          </cell>
          <cell r="E15">
            <v>0.31</v>
          </cell>
          <cell r="F15" t="str">
            <v>A0</v>
          </cell>
          <cell r="G15" t="str">
            <v>- - -</v>
          </cell>
        </row>
        <row r="16">
          <cell r="B16" t="str">
            <v>Cán sự</v>
          </cell>
          <cell r="C16" t="str">
            <v>01.004</v>
          </cell>
          <cell r="D16">
            <v>1.86</v>
          </cell>
          <cell r="E16">
            <v>0.2</v>
          </cell>
          <cell r="F16" t="str">
            <v>B</v>
          </cell>
          <cell r="G16" t="str">
            <v>- - -</v>
          </cell>
        </row>
        <row r="17">
          <cell r="B17" t="str">
            <v>Thanh tra viên cao cấp</v>
          </cell>
          <cell r="C17" t="str">
            <v>04.023</v>
          </cell>
          <cell r="D17">
            <v>6.2</v>
          </cell>
          <cell r="E17">
            <v>0.36</v>
          </cell>
          <cell r="F17" t="str">
            <v>A3</v>
          </cell>
          <cell r="G17" t="str">
            <v>A3.1</v>
          </cell>
        </row>
        <row r="18">
          <cell r="B18" t="str">
            <v>Thanh tra viên chính</v>
          </cell>
          <cell r="C18" t="str">
            <v>04.024</v>
          </cell>
          <cell r="D18">
            <v>4.4000000000000004</v>
          </cell>
          <cell r="E18">
            <v>0.34</v>
          </cell>
          <cell r="F18" t="str">
            <v>A2</v>
          </cell>
          <cell r="G18" t="str">
            <v>A2.1</v>
          </cell>
        </row>
        <row r="19">
          <cell r="B19" t="str">
            <v>Thanh tra viên</v>
          </cell>
          <cell r="C19" t="str">
            <v>04.025</v>
          </cell>
          <cell r="D19">
            <v>2.34</v>
          </cell>
          <cell r="E19">
            <v>0.33</v>
          </cell>
          <cell r="F19" t="str">
            <v>A1</v>
          </cell>
          <cell r="G19" t="str">
            <v>- - -</v>
          </cell>
        </row>
        <row r="20">
          <cell r="B20" t="str">
            <v>Thẩm tra viên</v>
          </cell>
          <cell r="C20" t="str">
            <v>03.230</v>
          </cell>
          <cell r="D20">
            <v>2.34</v>
          </cell>
          <cell r="E20">
            <v>0.33</v>
          </cell>
          <cell r="F20" t="str">
            <v>A1</v>
          </cell>
          <cell r="G20" t="str">
            <v>- - -</v>
          </cell>
        </row>
        <row r="21">
          <cell r="B21" t="str">
            <v>Thư viện viên cao cấp</v>
          </cell>
          <cell r="C21" t="str">
            <v>17.168</v>
          </cell>
          <cell r="D21">
            <v>5.75</v>
          </cell>
          <cell r="E21">
            <v>0.36</v>
          </cell>
          <cell r="F21" t="str">
            <v>A3</v>
          </cell>
          <cell r="G21" t="str">
            <v>A3.2</v>
          </cell>
        </row>
        <row r="22">
          <cell r="B22" t="str">
            <v>Thư viện viên chính</v>
          </cell>
          <cell r="C22" t="str">
            <v>17.169</v>
          </cell>
          <cell r="D22">
            <v>4</v>
          </cell>
          <cell r="E22">
            <v>0.34</v>
          </cell>
          <cell r="F22" t="str">
            <v>A2</v>
          </cell>
          <cell r="G22" t="str">
            <v>A2.2</v>
          </cell>
        </row>
        <row r="23">
          <cell r="B23" t="str">
            <v>Thư viện viên</v>
          </cell>
          <cell r="C23" t="str">
            <v>17.170</v>
          </cell>
          <cell r="D23">
            <v>2.34</v>
          </cell>
          <cell r="E23">
            <v>0.33</v>
          </cell>
          <cell r="F23" t="str">
            <v>A1</v>
          </cell>
          <cell r="G23" t="str">
            <v>- - -</v>
          </cell>
        </row>
        <row r="24">
          <cell r="B24" t="str">
            <v>Thư viện viên (cao đẳng)</v>
          </cell>
          <cell r="C24" t="str">
            <v>17a.170</v>
          </cell>
          <cell r="D24">
            <v>2.1</v>
          </cell>
          <cell r="E24">
            <v>0.31</v>
          </cell>
          <cell r="F24" t="str">
            <v>A0</v>
          </cell>
          <cell r="G24" t="str">
            <v>- - -</v>
          </cell>
        </row>
        <row r="25">
          <cell r="B25" t="str">
            <v>Thư viện viên trung cấp</v>
          </cell>
          <cell r="C25" t="str">
            <v>17.171</v>
          </cell>
          <cell r="D25">
            <v>1.86</v>
          </cell>
          <cell r="E25">
            <v>0.2</v>
          </cell>
          <cell r="F25" t="str">
            <v>B</v>
          </cell>
          <cell r="G25" t="str">
            <v>- - -</v>
          </cell>
        </row>
        <row r="26">
          <cell r="B26" t="str">
            <v>Kỹ sư cao cấp (hạng I)</v>
          </cell>
          <cell r="C26" t="str">
            <v>V.05.02.05</v>
          </cell>
          <cell r="D26">
            <v>6.2</v>
          </cell>
          <cell r="E26">
            <v>0.36</v>
          </cell>
          <cell r="F26" t="str">
            <v>A3</v>
          </cell>
          <cell r="G26" t="str">
            <v>A3.1</v>
          </cell>
        </row>
        <row r="27">
          <cell r="B27" t="str">
            <v>Kỹ sư chính (hạng II)</v>
          </cell>
          <cell r="C27" t="str">
            <v>V.05.02.06</v>
          </cell>
          <cell r="D27">
            <v>4.4000000000000004</v>
          </cell>
          <cell r="E27">
            <v>0.34</v>
          </cell>
          <cell r="F27" t="str">
            <v>A2</v>
          </cell>
          <cell r="G27" t="str">
            <v>A2.1</v>
          </cell>
        </row>
        <row r="28">
          <cell r="B28" t="str">
            <v>Kỹ sư (hạng III)</v>
          </cell>
          <cell r="C28" t="str">
            <v>V.05.02.07</v>
          </cell>
          <cell r="D28">
            <v>2.34</v>
          </cell>
          <cell r="E28">
            <v>0.33</v>
          </cell>
          <cell r="F28" t="str">
            <v>A1</v>
          </cell>
          <cell r="G28" t="str">
            <v>- - -</v>
          </cell>
        </row>
        <row r="29">
          <cell r="B29" t="str">
            <v>Kỹ thuật viên (hạng IV)</v>
          </cell>
          <cell r="C29" t="str">
            <v>V.05.02.08</v>
          </cell>
          <cell r="D29">
            <v>1.86</v>
          </cell>
          <cell r="E29">
            <v>0.2</v>
          </cell>
          <cell r="F29" t="str">
            <v>B</v>
          </cell>
          <cell r="G29" t="str">
            <v>- - -</v>
          </cell>
        </row>
        <row r="30">
          <cell r="B30" t="str">
            <v>Bác sỹ cao cấp</v>
          </cell>
          <cell r="C30" t="str">
            <v>16.116</v>
          </cell>
          <cell r="D30">
            <v>6.2</v>
          </cell>
          <cell r="E30">
            <v>0.36</v>
          </cell>
          <cell r="F30" t="str">
            <v>A3</v>
          </cell>
          <cell r="G30" t="str">
            <v>A3.1</v>
          </cell>
        </row>
        <row r="31">
          <cell r="B31" t="str">
            <v>Bác sỹ chính</v>
          </cell>
          <cell r="C31" t="str">
            <v>16.117</v>
          </cell>
          <cell r="D31">
            <v>4.4000000000000004</v>
          </cell>
          <cell r="E31">
            <v>0.34</v>
          </cell>
          <cell r="F31" t="str">
            <v>A2</v>
          </cell>
          <cell r="G31" t="str">
            <v>A2.1</v>
          </cell>
        </row>
        <row r="32">
          <cell r="B32" t="str">
            <v>Bác sỹ</v>
          </cell>
          <cell r="C32" t="str">
            <v>16.118</v>
          </cell>
          <cell r="D32">
            <v>2.34</v>
          </cell>
          <cell r="E32">
            <v>0.33</v>
          </cell>
          <cell r="F32" t="str">
            <v>A1</v>
          </cell>
          <cell r="G32" t="str">
            <v>- - -</v>
          </cell>
        </row>
        <row r="33">
          <cell r="B33" t="str">
            <v>Y sỹ</v>
          </cell>
          <cell r="C33" t="str">
            <v>16.119</v>
          </cell>
          <cell r="D33">
            <v>1.86</v>
          </cell>
          <cell r="E33">
            <v>0.2</v>
          </cell>
          <cell r="F33" t="str">
            <v>B</v>
          </cell>
          <cell r="G33" t="str">
            <v>- - -</v>
          </cell>
        </row>
        <row r="34">
          <cell r="B34" t="str">
            <v>Biên tập viên cao cấp</v>
          </cell>
          <cell r="C34" t="str">
            <v>17.139</v>
          </cell>
          <cell r="D34">
            <v>6.2</v>
          </cell>
          <cell r="E34">
            <v>0.36</v>
          </cell>
          <cell r="F34" t="str">
            <v>A3</v>
          </cell>
          <cell r="G34" t="str">
            <v>A3.1</v>
          </cell>
        </row>
        <row r="35">
          <cell r="B35" t="str">
            <v>Biên tập viên chính</v>
          </cell>
          <cell r="C35" t="str">
            <v>17.140</v>
          </cell>
          <cell r="D35">
            <v>4.4000000000000004</v>
          </cell>
          <cell r="E35">
            <v>0.34</v>
          </cell>
          <cell r="F35" t="str">
            <v>A2</v>
          </cell>
          <cell r="G35" t="str">
            <v>A2.1</v>
          </cell>
        </row>
        <row r="36">
          <cell r="B36" t="str">
            <v>Biên tập viên</v>
          </cell>
          <cell r="C36" t="str">
            <v>17.141</v>
          </cell>
          <cell r="D36">
            <v>2.34</v>
          </cell>
          <cell r="E36">
            <v>0.33</v>
          </cell>
          <cell r="F36" t="str">
            <v>A1</v>
          </cell>
          <cell r="G36" t="str">
            <v>- - -</v>
          </cell>
        </row>
        <row r="37">
          <cell r="B37" t="str">
            <v>Phóng viên cao cấp</v>
          </cell>
          <cell r="C37" t="str">
            <v>17.142</v>
          </cell>
          <cell r="D37">
            <v>6.2</v>
          </cell>
          <cell r="E37">
            <v>0.36</v>
          </cell>
          <cell r="F37" t="str">
            <v>A3</v>
          </cell>
          <cell r="G37" t="str">
            <v>A3.1</v>
          </cell>
        </row>
        <row r="38">
          <cell r="B38" t="str">
            <v>Phóng viên chính</v>
          </cell>
          <cell r="C38" t="str">
            <v>17.143</v>
          </cell>
          <cell r="D38">
            <v>4.4000000000000004</v>
          </cell>
          <cell r="E38">
            <v>0.34</v>
          </cell>
          <cell r="F38" t="str">
            <v>A2</v>
          </cell>
          <cell r="G38" t="str">
            <v>A2.1</v>
          </cell>
        </row>
        <row r="39">
          <cell r="B39" t="str">
            <v>Phóng viên</v>
          </cell>
          <cell r="C39" t="str">
            <v>17.144</v>
          </cell>
          <cell r="D39">
            <v>2.34</v>
          </cell>
          <cell r="E39">
            <v>0.33</v>
          </cell>
          <cell r="F39" t="str">
            <v>A1</v>
          </cell>
          <cell r="G39" t="str">
            <v>- - -</v>
          </cell>
        </row>
        <row r="40">
          <cell r="B40" t="str">
            <v>Kế toán viên cao cấp</v>
          </cell>
          <cell r="C40" t="str">
            <v>06.029</v>
          </cell>
          <cell r="D40">
            <v>5.75</v>
          </cell>
          <cell r="E40">
            <v>0.36</v>
          </cell>
          <cell r="F40" t="str">
            <v>A3</v>
          </cell>
          <cell r="G40" t="str">
            <v>A3.2</v>
          </cell>
        </row>
        <row r="41">
          <cell r="B41" t="str">
            <v>Kế toán viên chính</v>
          </cell>
          <cell r="C41" t="str">
            <v>06.030</v>
          </cell>
          <cell r="D41">
            <v>4</v>
          </cell>
          <cell r="E41">
            <v>0.34</v>
          </cell>
          <cell r="F41" t="str">
            <v>A2</v>
          </cell>
          <cell r="G41" t="str">
            <v>A2.2</v>
          </cell>
        </row>
        <row r="42">
          <cell r="B42" t="str">
            <v>Kế toán viên</v>
          </cell>
          <cell r="C42" t="str">
            <v>06.031</v>
          </cell>
          <cell r="D42">
            <v>2.34</v>
          </cell>
          <cell r="E42">
            <v>0.33</v>
          </cell>
          <cell r="F42" t="str">
            <v>A1</v>
          </cell>
          <cell r="G42" t="str">
            <v>- - -</v>
          </cell>
        </row>
        <row r="43">
          <cell r="B43" t="str">
            <v>Kế toán viên (cao đẳng)</v>
          </cell>
          <cell r="C43" t="str">
            <v>06a.031</v>
          </cell>
          <cell r="D43">
            <v>2.1</v>
          </cell>
          <cell r="E43">
            <v>0.31</v>
          </cell>
          <cell r="F43" t="str">
            <v>A0</v>
          </cell>
          <cell r="G43" t="str">
            <v>- - -</v>
          </cell>
        </row>
        <row r="44">
          <cell r="B44" t="str">
            <v>Kế toán viên trung cấp</v>
          </cell>
          <cell r="C44" t="str">
            <v>06.032</v>
          </cell>
          <cell r="D44">
            <v>1.86</v>
          </cell>
          <cell r="E44">
            <v>0.2</v>
          </cell>
          <cell r="F44" t="str">
            <v>B</v>
          </cell>
          <cell r="G44" t="str">
            <v>- - -</v>
          </cell>
        </row>
        <row r="45">
          <cell r="B45" t="str">
            <v>Lưu trữ viên</v>
          </cell>
          <cell r="C45" t="str">
            <v>02.014</v>
          </cell>
          <cell r="D45">
            <v>2.34</v>
          </cell>
          <cell r="E45">
            <v>0.33</v>
          </cell>
          <cell r="F45" t="str">
            <v>A1</v>
          </cell>
          <cell r="G45" t="str">
            <v>- - -</v>
          </cell>
        </row>
        <row r="46">
          <cell r="B46" t="str">
            <v>Lưu trữ viên (cao đẳng)</v>
          </cell>
          <cell r="C46" t="str">
            <v>02a.014</v>
          </cell>
          <cell r="D46">
            <v>2.1</v>
          </cell>
          <cell r="E46">
            <v>0.31</v>
          </cell>
          <cell r="F46" t="str">
            <v>A0</v>
          </cell>
          <cell r="G46" t="str">
            <v>- - -</v>
          </cell>
        </row>
        <row r="47">
          <cell r="B47" t="str">
            <v>Lưu trữ viên trung cấp</v>
          </cell>
          <cell r="C47" t="str">
            <v>02.015</v>
          </cell>
          <cell r="D47">
            <v>1.86</v>
          </cell>
          <cell r="E47">
            <v>0.2</v>
          </cell>
          <cell r="F47" t="str">
            <v>B</v>
          </cell>
          <cell r="G47" t="str">
            <v>- - -</v>
          </cell>
        </row>
        <row r="48">
          <cell r="B48" t="str">
            <v>Kỹ Thuật viên đánh máy</v>
          </cell>
          <cell r="C48" t="str">
            <v>01.005</v>
          </cell>
          <cell r="D48">
            <v>1.5</v>
          </cell>
          <cell r="E48">
            <v>0.18</v>
          </cell>
          <cell r="F48" t="str">
            <v>C</v>
          </cell>
          <cell r="G48" t="str">
            <v>Nhân viên</v>
          </cell>
        </row>
        <row r="49">
          <cell r="B49" t="str">
            <v>Nhân viên đánh máy</v>
          </cell>
          <cell r="C49" t="str">
            <v>01.006</v>
          </cell>
          <cell r="D49">
            <v>1.5</v>
          </cell>
          <cell r="E49">
            <v>0.18</v>
          </cell>
          <cell r="F49" t="str">
            <v>C</v>
          </cell>
          <cell r="G49" t="str">
            <v>Nhân viên</v>
          </cell>
        </row>
        <row r="50">
          <cell r="B50" t="str">
            <v>Nhân viên kỹ thuật</v>
          </cell>
          <cell r="C50" t="str">
            <v>01.007</v>
          </cell>
          <cell r="D50">
            <v>1.65</v>
          </cell>
          <cell r="E50">
            <v>0.18</v>
          </cell>
          <cell r="F50" t="str">
            <v>C</v>
          </cell>
          <cell r="G50" t="str">
            <v>Nhân viên</v>
          </cell>
        </row>
        <row r="51">
          <cell r="B51" t="str">
            <v>Nhân viên văn thư</v>
          </cell>
          <cell r="C51" t="str">
            <v>01.008</v>
          </cell>
          <cell r="D51">
            <v>1.35</v>
          </cell>
          <cell r="E51">
            <v>0.18</v>
          </cell>
          <cell r="F51" t="str">
            <v>C</v>
          </cell>
          <cell r="G51" t="str">
            <v>Nhân viên</v>
          </cell>
        </row>
        <row r="52">
          <cell r="B52" t="str">
            <v>Nhân viên phục vụ</v>
          </cell>
          <cell r="C52" t="str">
            <v>01.009</v>
          </cell>
          <cell r="D52">
            <v>1</v>
          </cell>
          <cell r="E52">
            <v>0.18</v>
          </cell>
          <cell r="F52" t="str">
            <v>C</v>
          </cell>
          <cell r="G52" t="str">
            <v>Nhân viên</v>
          </cell>
        </row>
        <row r="53">
          <cell r="B53" t="str">
            <v>Lái xe cơ quan</v>
          </cell>
          <cell r="C53" t="str">
            <v>01.010</v>
          </cell>
          <cell r="D53">
            <v>2.0499999999999998</v>
          </cell>
          <cell r="E53">
            <v>0.18</v>
          </cell>
          <cell r="F53" t="str">
            <v>C</v>
          </cell>
          <cell r="G53" t="str">
            <v>Nhân viên</v>
          </cell>
        </row>
        <row r="54">
          <cell r="B54" t="str">
            <v>Nhân viên bảo vệ</v>
          </cell>
          <cell r="C54" t="str">
            <v>01.011</v>
          </cell>
          <cell r="D54">
            <v>1.5</v>
          </cell>
          <cell r="E54">
            <v>0.18</v>
          </cell>
          <cell r="F54" t="str">
            <v>C</v>
          </cell>
          <cell r="G54" t="str">
            <v>Nhân viên</v>
          </cell>
        </row>
        <row r="55">
          <cell r="B55" t="str">
            <v>Thủ kho bảo quản</v>
          </cell>
          <cell r="C55" t="str">
            <v>19.185</v>
          </cell>
          <cell r="D55">
            <v>1.65</v>
          </cell>
          <cell r="E55">
            <v>0.18</v>
          </cell>
          <cell r="F55" t="str">
            <v>C</v>
          </cell>
          <cell r="G55" t="str">
            <v>Nhân viên</v>
          </cell>
        </row>
        <row r="56">
          <cell r="B56" t="str">
            <v>Thủ quỹ</v>
          </cell>
          <cell r="C56" t="str">
            <v>06.035</v>
          </cell>
          <cell r="D56">
            <v>1.5</v>
          </cell>
          <cell r="E56">
            <v>0.18</v>
          </cell>
          <cell r="F56" t="str">
            <v>C</v>
          </cell>
          <cell r="G56" t="str">
            <v>Nhân viên</v>
          </cell>
        </row>
        <row r="71">
          <cell r="B71" t="str">
            <v>CHỨC VỤ</v>
          </cell>
          <cell r="C71" t="str">
            <v>PC CV</v>
          </cell>
        </row>
        <row r="72">
          <cell r="B72" t="str">
            <v>Giám đốc Học viện</v>
          </cell>
          <cell r="C72">
            <v>1.3</v>
          </cell>
        </row>
        <row r="73">
          <cell r="B73" t="str">
            <v>Nguyên giám đốc Học viện</v>
          </cell>
          <cell r="C73">
            <v>1.3</v>
          </cell>
        </row>
        <row r="74">
          <cell r="B74" t="str">
            <v>Phó Giám đốc Học viện</v>
          </cell>
          <cell r="C74">
            <v>1.1000000000000001</v>
          </cell>
        </row>
        <row r="75">
          <cell r="B75" t="str">
            <v>Nguyên Phó giám đốc Học viện</v>
          </cell>
          <cell r="C75">
            <v>1.1000000000000001</v>
          </cell>
        </row>
        <row r="76">
          <cell r="B76" t="str">
            <v>Giám đốc phân viện</v>
          </cell>
          <cell r="C76" t="str">
            <v>1,2</v>
          </cell>
        </row>
        <row r="77">
          <cell r="B77" t="str">
            <v>Trưởng khoa</v>
          </cell>
          <cell r="C77" t="str">
            <v>1,0</v>
          </cell>
        </row>
        <row r="78">
          <cell r="B78" t="str">
            <v>Nguyên Trưởng khoa</v>
          </cell>
          <cell r="C78" t="str">
            <v>1,0</v>
          </cell>
        </row>
        <row r="79">
          <cell r="B79" t="str">
            <v>Phó Trưởng khoa</v>
          </cell>
          <cell r="C79" t="str">
            <v>0,8</v>
          </cell>
        </row>
        <row r="80">
          <cell r="B80" t="str">
            <v>Nguyên Phó trưởng khoa</v>
          </cell>
          <cell r="C80" t="str">
            <v>0,8</v>
          </cell>
        </row>
        <row r="81">
          <cell r="B81" t="str">
            <v>Trưởng ban</v>
          </cell>
          <cell r="C81" t="str">
            <v>1,0</v>
          </cell>
        </row>
        <row r="82">
          <cell r="B82" t="str">
            <v>Nguyên Trưởng ban</v>
          </cell>
          <cell r="C82" t="str">
            <v>1,0</v>
          </cell>
        </row>
        <row r="83">
          <cell r="B83" t="str">
            <v>Phó Trưởng ban</v>
          </cell>
          <cell r="C83" t="str">
            <v>0,8</v>
          </cell>
        </row>
        <row r="84">
          <cell r="B84" t="str">
            <v>Phó Trưởng ban (PT)</v>
          </cell>
          <cell r="C84" t="str">
            <v>0,8</v>
          </cell>
        </row>
        <row r="85">
          <cell r="B85" t="str">
            <v>Nguyên Phó trưởng ban</v>
          </cell>
          <cell r="C85" t="str">
            <v>0,8</v>
          </cell>
        </row>
        <row r="86">
          <cell r="B86" t="str">
            <v>Trưởng phòng</v>
          </cell>
          <cell r="C86" t="str">
            <v>0,6</v>
          </cell>
        </row>
        <row r="87">
          <cell r="B87" t="str">
            <v>Q. Trưởng phòng</v>
          </cell>
          <cell r="C87" t="str">
            <v>0,6</v>
          </cell>
        </row>
        <row r="88">
          <cell r="B88" t="str">
            <v>Phó Trưởng phòng</v>
          </cell>
          <cell r="C88" t="str">
            <v>0,4</v>
          </cell>
        </row>
        <row r="89">
          <cell r="B89" t="str">
            <v>Phó Trưởng phòng (PT)</v>
          </cell>
          <cell r="C89" t="str">
            <v>0,4</v>
          </cell>
        </row>
        <row r="90">
          <cell r="B90" t="str">
            <v>Trưởng bộ môn</v>
          </cell>
          <cell r="C90" t="str">
            <v>0,6</v>
          </cell>
        </row>
        <row r="91">
          <cell r="B91" t="str">
            <v>Phó Trưởng bộ môn</v>
          </cell>
          <cell r="C91" t="str">
            <v>0,4</v>
          </cell>
        </row>
        <row r="92">
          <cell r="B92" t="str">
            <v>Tổng Biên tập</v>
          </cell>
          <cell r="C92" t="str">
            <v>1,0</v>
          </cell>
        </row>
        <row r="93">
          <cell r="B93" t="str">
            <v>Phó Tổng biên tập</v>
          </cell>
          <cell r="C93" t="str">
            <v>0,8</v>
          </cell>
        </row>
        <row r="94">
          <cell r="B94" t="str">
            <v>Trưởng ban (TC QLNN)</v>
          </cell>
          <cell r="C94" t="str">
            <v>0,6</v>
          </cell>
        </row>
        <row r="95">
          <cell r="B95" t="str">
            <v>Trưởng Ban Biên tập</v>
          </cell>
          <cell r="C95" t="str">
            <v>0,6</v>
          </cell>
        </row>
        <row r="96">
          <cell r="B96" t="str">
            <v>Phó Trưởng ban (TC QLNN)</v>
          </cell>
          <cell r="C96" t="str">
            <v>0,4</v>
          </cell>
        </row>
        <row r="97">
          <cell r="B97" t="str">
            <v>Phó Trưởng ban (TC QLNN)</v>
          </cell>
          <cell r="C97" t="str">
            <v>0,4</v>
          </cell>
        </row>
        <row r="98">
          <cell r="B98" t="str">
            <v>Viện Trưởng</v>
          </cell>
          <cell r="C98" t="str">
            <v>1,0</v>
          </cell>
        </row>
        <row r="99">
          <cell r="B99" t="str">
            <v>Nguyên Viện Trưởng</v>
          </cell>
          <cell r="C99" t="str">
            <v>1,0</v>
          </cell>
        </row>
        <row r="100">
          <cell r="B100" t="str">
            <v>Phó Viện Trưởng</v>
          </cell>
          <cell r="C100" t="str">
            <v>0,8</v>
          </cell>
        </row>
        <row r="101">
          <cell r="B101" t="str">
            <v>Nguyên Phó Viện Trưởng</v>
          </cell>
          <cell r="C101" t="str">
            <v>0,8</v>
          </cell>
        </row>
        <row r="102">
          <cell r="B102" t="str">
            <v>Chủ nhiệm TV</v>
          </cell>
          <cell r="C102" t="str">
            <v>0,6</v>
          </cell>
        </row>
        <row r="103">
          <cell r="B103" t="str">
            <v>Phó Chủ nhiệm TV</v>
          </cell>
          <cell r="C103" t="str">
            <v>0,4</v>
          </cell>
        </row>
        <row r="104">
          <cell r="B104" t="str">
            <v>Giám đốc (cấp vụ)</v>
          </cell>
          <cell r="C104" t="str">
            <v>1,0</v>
          </cell>
        </row>
        <row r="105">
          <cell r="B105" t="str">
            <v>Phó Giám đốc (cấp vụ)</v>
          </cell>
          <cell r="C105" t="str">
            <v>0,8</v>
          </cell>
        </row>
        <row r="106">
          <cell r="B106" t="str">
            <v>Giám đốc (cấp phòng)</v>
          </cell>
          <cell r="C106">
            <v>0.6</v>
          </cell>
        </row>
        <row r="107">
          <cell r="B107" t="str">
            <v>Phó Giám đốc (cấp phòng)</v>
          </cell>
          <cell r="C107" t="str">
            <v>0,4</v>
          </cell>
        </row>
        <row r="108">
          <cell r="B108" t="str">
            <v>Chánh văn phòng</v>
          </cell>
          <cell r="C108" t="str">
            <v>1,0</v>
          </cell>
        </row>
        <row r="109">
          <cell r="B109" t="str">
            <v>Phó Chánh văn phòng</v>
          </cell>
          <cell r="C109" t="str">
            <v>0,8</v>
          </cell>
        </row>
        <row r="110">
          <cell r="B110" t="str">
            <v>Đội Trưởng</v>
          </cell>
          <cell r="C110" t="str">
            <v>0,6</v>
          </cell>
        </row>
        <row r="111">
          <cell r="B111" t="str">
            <v>Đội Phó</v>
          </cell>
          <cell r="C111" t="str">
            <v>0,4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35"/>
  <sheetViews>
    <sheetView topLeftCell="B17" workbookViewId="0">
      <selection activeCell="AE7" sqref="AE7"/>
    </sheetView>
  </sheetViews>
  <sheetFormatPr defaultRowHeight="15" x14ac:dyDescent="0.25"/>
  <cols>
    <col min="1" max="1" width="9.140625" hidden="1" customWidth="1"/>
    <col min="2" max="2" width="4.5703125" customWidth="1"/>
    <col min="3" max="3" width="9.140625" hidden="1" customWidth="1"/>
    <col min="4" max="4" width="21.28515625" hidden="1" customWidth="1"/>
    <col min="5" max="5" width="19.85546875" customWidth="1"/>
    <col min="6" max="6" width="5.42578125" customWidth="1"/>
    <col min="7" max="7" width="7.7109375" hidden="1" customWidth="1"/>
    <col min="8" max="8" width="9.42578125" hidden="1" customWidth="1"/>
    <col min="9" max="9" width="6.85546875" hidden="1" customWidth="1"/>
    <col min="10" max="10" width="7.7109375" hidden="1" customWidth="1"/>
    <col min="11" max="11" width="8.140625" hidden="1" customWidth="1"/>
    <col min="12" max="12" width="8.7109375" hidden="1" customWidth="1"/>
    <col min="13" max="13" width="5.42578125" hidden="1" customWidth="1"/>
    <col min="14" max="14" width="16.28515625" hidden="1" customWidth="1"/>
    <col min="15" max="15" width="10" customWidth="1"/>
    <col min="16" max="16" width="19.85546875" customWidth="1"/>
    <col min="17" max="17" width="8.140625" hidden="1" customWidth="1"/>
    <col min="18" max="18" width="10.42578125" hidden="1" customWidth="1"/>
    <col min="19" max="19" width="16.5703125" customWidth="1"/>
    <col min="20" max="20" width="12.42578125" customWidth="1"/>
    <col min="21" max="22" width="9.140625" hidden="1" customWidth="1"/>
    <col min="23" max="23" width="1.7109375" hidden="1" customWidth="1"/>
    <col min="24" max="24" width="3.28515625" hidden="1" customWidth="1"/>
    <col min="25" max="25" width="2.7109375" customWidth="1"/>
    <col min="26" max="26" width="1.5703125" customWidth="1"/>
    <col min="27" max="27" width="2.7109375" customWidth="1"/>
    <col min="28" max="28" width="5.7109375" customWidth="1"/>
    <col min="29" max="29" width="3" customWidth="1"/>
    <col min="30" max="30" width="2" customWidth="1"/>
    <col min="31" max="31" width="3.28515625" customWidth="1"/>
    <col min="32" max="32" width="5.85546875" customWidth="1"/>
    <col min="33" max="33" width="3.7109375" customWidth="1"/>
    <col min="34" max="34" width="2" customWidth="1"/>
    <col min="35" max="35" width="1.85546875" customWidth="1"/>
    <col min="36" max="36" width="2" customWidth="1"/>
    <col min="37" max="37" width="5.28515625" customWidth="1"/>
    <col min="38" max="38" width="7.5703125" hidden="1" customWidth="1"/>
    <col min="39" max="39" width="6.140625" hidden="1" customWidth="1"/>
    <col min="40" max="40" width="4.85546875" hidden="1" customWidth="1"/>
    <col min="41" max="41" width="8" hidden="1" customWidth="1"/>
    <col min="42" max="42" width="5.28515625" hidden="1" customWidth="1"/>
    <col min="43" max="43" width="7" hidden="1" customWidth="1"/>
    <col min="44" max="44" width="6" hidden="1" customWidth="1"/>
    <col min="45" max="46" width="5.42578125" hidden="1" customWidth="1"/>
    <col min="47" max="47" width="6.85546875" hidden="1" customWidth="1"/>
    <col min="48" max="48" width="5.7109375" hidden="1" customWidth="1"/>
    <col min="49" max="49" width="6.42578125" hidden="1" customWidth="1"/>
    <col min="50" max="50" width="5.28515625" hidden="1" customWidth="1"/>
    <col min="51" max="51" width="6.140625" hidden="1" customWidth="1"/>
    <col min="52" max="52" width="5.5703125" hidden="1" customWidth="1"/>
    <col min="53" max="53" width="5.140625" hidden="1" customWidth="1"/>
    <col min="54" max="54" width="5.42578125" hidden="1" customWidth="1"/>
    <col min="55" max="55" width="5.7109375" hidden="1" customWidth="1"/>
    <col min="56" max="56" width="4.42578125" hidden="1" customWidth="1"/>
    <col min="57" max="57" width="5" hidden="1" customWidth="1"/>
    <col min="58" max="58" width="6" hidden="1" customWidth="1"/>
    <col min="59" max="59" width="4.85546875" hidden="1" customWidth="1"/>
    <col min="60" max="60" width="6.42578125" hidden="1" customWidth="1"/>
    <col min="61" max="61" width="6.5703125" customWidth="1"/>
    <col min="62" max="62" width="7.28515625" customWidth="1"/>
    <col min="63" max="63" width="7.42578125" customWidth="1"/>
    <col min="64" max="64" width="7.85546875" customWidth="1"/>
    <col min="65" max="70" width="9.140625" customWidth="1"/>
    <col min="71" max="71" width="16.42578125" customWidth="1"/>
  </cols>
  <sheetData>
    <row r="1" spans="1:149" s="4" customFormat="1" ht="16.5" x14ac:dyDescent="0.3">
      <c r="A1" s="1"/>
      <c r="B1" s="439" t="s">
        <v>0</v>
      </c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2"/>
      <c r="P1" s="3"/>
      <c r="Q1" s="3"/>
      <c r="R1" s="3"/>
      <c r="S1" s="440" t="s">
        <v>1</v>
      </c>
      <c r="T1" s="440"/>
      <c r="U1" s="440"/>
      <c r="V1" s="440"/>
      <c r="W1" s="440"/>
      <c r="X1" s="440"/>
      <c r="Y1" s="440"/>
      <c r="Z1" s="440"/>
      <c r="AA1" s="440"/>
      <c r="AB1" s="440"/>
      <c r="AC1" s="440"/>
      <c r="AD1" s="440"/>
      <c r="AE1" s="440"/>
      <c r="AF1" s="3"/>
      <c r="AG1" s="3"/>
      <c r="AH1" s="3"/>
      <c r="AI1" s="3"/>
      <c r="AJ1" s="3"/>
      <c r="AK1" s="3"/>
    </row>
    <row r="2" spans="1:149" s="4" customFormat="1" ht="16.5" x14ac:dyDescent="0.3">
      <c r="A2" s="1"/>
      <c r="B2" s="440" t="s">
        <v>2</v>
      </c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5"/>
      <c r="P2" s="3"/>
      <c r="Q2" s="3"/>
      <c r="R2" s="3"/>
      <c r="S2" s="441" t="s">
        <v>3</v>
      </c>
      <c r="T2" s="441"/>
      <c r="U2" s="441"/>
      <c r="V2" s="441"/>
      <c r="W2" s="441"/>
      <c r="X2" s="441"/>
      <c r="Y2" s="441"/>
      <c r="Z2" s="441"/>
      <c r="AA2" s="441"/>
      <c r="AB2" s="441"/>
      <c r="AC2" s="441"/>
      <c r="AD2" s="441"/>
      <c r="AE2" s="441"/>
      <c r="AF2" s="3"/>
      <c r="AG2" s="3"/>
      <c r="AH2" s="3"/>
      <c r="AI2" s="3"/>
      <c r="AJ2" s="3"/>
      <c r="AK2" s="3"/>
    </row>
    <row r="3" spans="1:149" s="11" customFormat="1" ht="22.5" customHeight="1" x14ac:dyDescent="0.3">
      <c r="A3" s="6"/>
      <c r="B3" s="6"/>
      <c r="C3" s="6"/>
      <c r="D3" s="7"/>
      <c r="E3" s="6"/>
      <c r="F3" s="6"/>
      <c r="G3" s="6"/>
      <c r="H3" s="6"/>
      <c r="I3" s="6"/>
      <c r="J3" s="6"/>
      <c r="K3" s="6"/>
      <c r="L3" s="6"/>
      <c r="M3" s="6"/>
      <c r="N3" s="7"/>
      <c r="O3" s="8"/>
      <c r="P3" s="9"/>
      <c r="Q3" s="9"/>
      <c r="R3" s="9"/>
      <c r="S3" s="442" t="s">
        <v>159</v>
      </c>
      <c r="T3" s="442"/>
      <c r="U3" s="442"/>
      <c r="V3" s="442"/>
      <c r="W3" s="442"/>
      <c r="X3" s="442"/>
      <c r="Y3" s="442"/>
      <c r="Z3" s="442"/>
      <c r="AA3" s="442"/>
      <c r="AB3" s="442"/>
      <c r="AC3" s="442"/>
      <c r="AD3" s="442"/>
      <c r="AE3" s="442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I3" s="10"/>
    </row>
    <row r="4" spans="1:149" s="11" customFormat="1" ht="35.25" customHeight="1" x14ac:dyDescent="0.3">
      <c r="A4" s="438" t="s">
        <v>115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8"/>
      <c r="U4" s="438"/>
      <c r="V4" s="438"/>
      <c r="W4" s="438"/>
      <c r="X4" s="438"/>
      <c r="Y4" s="438"/>
      <c r="Z4" s="438"/>
      <c r="AA4" s="438"/>
      <c r="AB4" s="438"/>
      <c r="AC4" s="438"/>
      <c r="AD4" s="438"/>
      <c r="AE4" s="438"/>
      <c r="AF4" s="438"/>
      <c r="AG4" s="438"/>
      <c r="AH4" s="438"/>
      <c r="AI4" s="438"/>
      <c r="AJ4" s="438"/>
      <c r="AK4" s="438"/>
      <c r="AL4" s="438"/>
      <c r="AM4" s="438"/>
      <c r="AN4" s="438"/>
      <c r="AO4" s="438"/>
      <c r="AP4" s="438"/>
      <c r="AQ4" s="438"/>
      <c r="AR4" s="438"/>
      <c r="AS4" s="438"/>
      <c r="AT4" s="438"/>
      <c r="AU4" s="438"/>
      <c r="AV4" s="438"/>
      <c r="AW4" s="438"/>
      <c r="AX4" s="438"/>
      <c r="AY4" s="438"/>
      <c r="AZ4" s="438"/>
      <c r="BA4" s="438"/>
      <c r="BB4" s="438"/>
      <c r="BC4" s="438"/>
      <c r="BD4" s="438"/>
      <c r="BE4" s="438"/>
      <c r="BF4" s="438"/>
      <c r="BG4" s="438"/>
      <c r="BH4" s="438"/>
    </row>
    <row r="5" spans="1:149" s="17" customFormat="1" ht="4.5" customHeight="1" x14ac:dyDescent="0.25">
      <c r="A5" s="438"/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438"/>
      <c r="W5" s="438"/>
      <c r="X5" s="438"/>
      <c r="Y5" s="438"/>
      <c r="Z5" s="438"/>
      <c r="AA5" s="438"/>
      <c r="AB5" s="438"/>
      <c r="AC5" s="438"/>
      <c r="AD5" s="438"/>
      <c r="AE5" s="438"/>
      <c r="AF5" s="438"/>
      <c r="AG5" s="438"/>
      <c r="AH5" s="438"/>
      <c r="AI5" s="438"/>
      <c r="AJ5" s="438"/>
      <c r="AK5" s="438"/>
      <c r="AL5" s="438"/>
      <c r="AM5" s="438"/>
      <c r="AN5" s="438"/>
      <c r="AO5" s="438"/>
      <c r="AP5" s="438"/>
      <c r="AQ5" s="438"/>
      <c r="AR5" s="438"/>
      <c r="AS5" s="438"/>
      <c r="AT5" s="438"/>
      <c r="AU5" s="438"/>
      <c r="AV5" s="438"/>
      <c r="AW5" s="438"/>
      <c r="AX5" s="438"/>
      <c r="AY5" s="438"/>
      <c r="AZ5" s="438"/>
      <c r="BA5" s="438"/>
      <c r="BB5" s="438"/>
      <c r="BC5" s="438"/>
      <c r="BD5" s="438"/>
      <c r="BE5" s="438"/>
      <c r="BF5" s="438"/>
      <c r="BG5" s="438"/>
      <c r="BH5" s="438"/>
      <c r="BI5" s="12"/>
      <c r="BJ5" s="13"/>
      <c r="BK5" s="14"/>
      <c r="BL5" s="14"/>
      <c r="BM5" s="15"/>
      <c r="BN5" s="16"/>
      <c r="BP5" s="13"/>
      <c r="BQ5" s="13"/>
      <c r="BR5" s="13"/>
      <c r="BS5" s="13"/>
      <c r="BU5" s="18"/>
      <c r="BV5" s="19"/>
      <c r="BW5" s="20"/>
    </row>
    <row r="6" spans="1:149" s="5" customFormat="1" ht="5.25" hidden="1" customHeight="1" x14ac:dyDescent="0.3">
      <c r="A6" s="21"/>
      <c r="B6" s="22"/>
      <c r="C6" s="21"/>
      <c r="D6" s="23" t="s">
        <v>4</v>
      </c>
      <c r="E6" s="22" t="e">
        <f>#REF!+#REF!</f>
        <v>#REF!</v>
      </c>
      <c r="F6" s="23"/>
      <c r="G6" s="24"/>
      <c r="H6" s="24"/>
      <c r="I6" s="24"/>
      <c r="J6" s="25"/>
      <c r="K6" s="25" t="s">
        <v>5</v>
      </c>
      <c r="L6" s="25"/>
      <c r="M6" s="25"/>
      <c r="N6" s="26" t="s">
        <v>5</v>
      </c>
      <c r="O6" s="26"/>
      <c r="P6" s="27"/>
      <c r="Q6" s="27"/>
      <c r="R6" s="27"/>
      <c r="S6" s="28"/>
      <c r="T6" s="29"/>
      <c r="U6" s="30"/>
      <c r="V6" s="31"/>
      <c r="W6" s="31"/>
      <c r="X6" s="32"/>
      <c r="Y6" s="33"/>
      <c r="Z6" s="34"/>
      <c r="AA6" s="35"/>
      <c r="AB6" s="36"/>
      <c r="AC6" s="37"/>
      <c r="AD6" s="34"/>
      <c r="AE6" s="35"/>
      <c r="AF6" s="432"/>
      <c r="AG6" s="432"/>
      <c r="AH6" s="432"/>
      <c r="AI6" s="432"/>
      <c r="AJ6" s="432"/>
      <c r="AK6" s="38"/>
      <c r="AL6" s="39"/>
      <c r="AM6" s="40"/>
      <c r="AN6" s="24"/>
      <c r="AO6" s="33"/>
      <c r="AP6" s="41"/>
      <c r="AQ6" s="42"/>
      <c r="AR6" s="43"/>
      <c r="AS6" s="44"/>
      <c r="AT6" s="45"/>
      <c r="AU6" s="35"/>
      <c r="AV6" s="37"/>
      <c r="AW6" s="43"/>
      <c r="AX6" s="35"/>
      <c r="AY6" s="43"/>
      <c r="AZ6" s="46"/>
      <c r="BA6" s="47"/>
      <c r="BB6" s="48"/>
      <c r="BC6" s="48"/>
      <c r="BD6" s="49"/>
      <c r="BE6" s="49"/>
      <c r="BF6" s="35"/>
      <c r="BG6" s="50"/>
      <c r="BH6" s="51"/>
      <c r="BI6" s="52"/>
      <c r="BJ6" s="53"/>
      <c r="BK6" s="14"/>
      <c r="BL6" s="14"/>
      <c r="BM6" s="15"/>
      <c r="BN6" s="54"/>
      <c r="BP6" s="53"/>
      <c r="BQ6" s="53"/>
      <c r="BR6" s="53"/>
      <c r="BS6" s="53"/>
      <c r="BU6" s="55"/>
      <c r="BV6" s="56"/>
      <c r="BW6" s="57"/>
    </row>
    <row r="7" spans="1:149" s="90" customFormat="1" ht="16.5" x14ac:dyDescent="0.25">
      <c r="A7" s="58"/>
      <c r="B7" s="59" t="s">
        <v>45</v>
      </c>
      <c r="C7" s="58"/>
      <c r="D7" s="60"/>
      <c r="E7" s="61"/>
      <c r="F7" s="62"/>
      <c r="G7" s="60"/>
      <c r="H7" s="60"/>
      <c r="I7" s="60"/>
      <c r="J7" s="63"/>
      <c r="K7" s="63"/>
      <c r="L7" s="63"/>
      <c r="M7" s="63"/>
      <c r="N7" s="59"/>
      <c r="O7" s="59"/>
      <c r="P7" s="64"/>
      <c r="Q7" s="64"/>
      <c r="R7" s="64"/>
      <c r="S7" s="65"/>
      <c r="T7" s="66"/>
      <c r="U7" s="67"/>
      <c r="V7" s="66"/>
      <c r="W7" s="66"/>
      <c r="X7" s="60"/>
      <c r="Y7" s="68"/>
      <c r="Z7" s="69"/>
      <c r="AA7" s="70"/>
      <c r="AB7" s="71"/>
      <c r="AC7" s="68"/>
      <c r="AD7" s="69"/>
      <c r="AE7" s="70"/>
      <c r="AF7" s="72"/>
      <c r="AG7" s="61"/>
      <c r="AH7" s="61"/>
      <c r="AI7" s="73"/>
      <c r="AJ7" s="74"/>
      <c r="AK7" s="75"/>
      <c r="AL7" s="76"/>
      <c r="AM7" s="77"/>
      <c r="AN7" s="60"/>
      <c r="AO7" s="68"/>
      <c r="AP7" s="78"/>
      <c r="AQ7" s="79"/>
      <c r="AR7" s="80"/>
      <c r="AS7" s="60"/>
      <c r="AT7" s="81"/>
      <c r="AU7" s="70"/>
      <c r="AV7" s="68"/>
      <c r="AW7" s="80"/>
      <c r="AX7" s="70"/>
      <c r="AY7" s="82"/>
      <c r="AZ7" s="83"/>
      <c r="BA7" s="84"/>
      <c r="BB7" s="68"/>
      <c r="BC7" s="68"/>
      <c r="BD7" s="85"/>
      <c r="BE7" s="85"/>
      <c r="BF7" s="81"/>
      <c r="BG7" s="71"/>
      <c r="BH7" s="86"/>
      <c r="BI7" s="86"/>
      <c r="BJ7" s="87"/>
      <c r="BK7" s="88"/>
      <c r="BL7" s="88"/>
      <c r="BM7" s="88"/>
      <c r="BN7" s="89"/>
      <c r="BP7" s="87"/>
      <c r="BQ7" s="87"/>
      <c r="BR7" s="87"/>
      <c r="BS7" s="87"/>
      <c r="BV7" s="91"/>
      <c r="BW7" s="86"/>
    </row>
    <row r="8" spans="1:149" s="90" customFormat="1" ht="16.5" x14ac:dyDescent="0.25">
      <c r="A8" s="58"/>
      <c r="B8" s="59"/>
      <c r="C8" s="58"/>
      <c r="D8" s="63" t="s">
        <v>77</v>
      </c>
      <c r="E8" s="63" t="s">
        <v>77</v>
      </c>
      <c r="F8" s="61"/>
      <c r="G8" s="62"/>
      <c r="H8" s="60"/>
      <c r="I8" s="60"/>
      <c r="J8" s="60"/>
      <c r="K8" s="63"/>
      <c r="L8" s="63"/>
      <c r="M8" s="63"/>
      <c r="N8" s="63"/>
      <c r="O8" s="59"/>
      <c r="P8" s="64"/>
      <c r="Q8" s="64"/>
      <c r="R8" s="64"/>
      <c r="S8" s="65"/>
      <c r="T8" s="66"/>
      <c r="U8" s="67"/>
      <c r="V8" s="66"/>
      <c r="W8" s="66"/>
      <c r="X8" s="60"/>
      <c r="Y8" s="68"/>
      <c r="Z8" s="69"/>
      <c r="AA8" s="70"/>
      <c r="AB8" s="71"/>
      <c r="AC8" s="68"/>
      <c r="AD8" s="69"/>
      <c r="AE8" s="70"/>
      <c r="AF8" s="72"/>
      <c r="AG8" s="61"/>
      <c r="AH8" s="61"/>
      <c r="AI8" s="73"/>
      <c r="AJ8" s="74"/>
      <c r="AK8" s="75"/>
      <c r="AL8" s="76"/>
      <c r="AM8" s="77"/>
      <c r="AN8" s="60"/>
      <c r="AO8" s="68"/>
      <c r="AP8" s="78"/>
      <c r="AQ8" s="79"/>
      <c r="AR8" s="80"/>
      <c r="AS8" s="60"/>
      <c r="AT8" s="81"/>
      <c r="AU8" s="70"/>
      <c r="AV8" s="68"/>
      <c r="AW8" s="80"/>
      <c r="AX8" s="70"/>
      <c r="AY8" s="82"/>
      <c r="AZ8" s="83"/>
      <c r="BA8" s="84"/>
      <c r="BB8" s="68"/>
      <c r="BC8" s="68"/>
      <c r="BD8" s="85"/>
      <c r="BE8" s="85"/>
      <c r="BF8" s="81"/>
      <c r="BG8" s="71"/>
      <c r="BH8" s="86"/>
      <c r="BI8" s="86"/>
      <c r="BJ8" s="87"/>
      <c r="BK8" s="88"/>
      <c r="BL8" s="88"/>
      <c r="BM8" s="88"/>
      <c r="BN8" s="89"/>
      <c r="BP8" s="87"/>
      <c r="BQ8" s="87"/>
      <c r="BR8" s="87"/>
      <c r="BS8" s="87"/>
      <c r="BV8" s="91"/>
      <c r="BW8" s="86"/>
    </row>
    <row r="9" spans="1:149" s="86" customFormat="1" ht="17.25" thickBot="1" x14ac:dyDescent="0.3">
      <c r="A9" s="92"/>
      <c r="B9" s="61"/>
      <c r="C9" s="58"/>
      <c r="D9" s="59" t="s">
        <v>91</v>
      </c>
      <c r="E9" s="59" t="s">
        <v>116</v>
      </c>
      <c r="F9" s="61"/>
      <c r="G9" s="62"/>
      <c r="H9" s="60"/>
      <c r="I9" s="60"/>
      <c r="J9" s="60"/>
      <c r="K9" s="63"/>
      <c r="L9" s="63"/>
      <c r="M9" s="63"/>
      <c r="N9" s="63"/>
      <c r="O9" s="59"/>
      <c r="P9" s="59"/>
      <c r="Q9" s="64"/>
      <c r="R9" s="64"/>
      <c r="S9" s="64"/>
      <c r="T9" s="65"/>
      <c r="U9" s="66"/>
      <c r="V9" s="67"/>
      <c r="W9" s="66"/>
      <c r="X9" s="66"/>
      <c r="Y9" s="60"/>
      <c r="Z9" s="69"/>
      <c r="AA9" s="70"/>
      <c r="AB9" s="71"/>
      <c r="AC9" s="68"/>
      <c r="AD9" s="69"/>
      <c r="AE9" s="70"/>
      <c r="AF9" s="93"/>
      <c r="AG9" s="78"/>
      <c r="AH9" s="94"/>
      <c r="AI9" s="95"/>
      <c r="AJ9" s="96"/>
      <c r="AK9" s="75"/>
      <c r="AL9" s="76"/>
      <c r="AM9" s="77"/>
      <c r="AN9" s="60"/>
      <c r="AO9" s="68"/>
      <c r="AP9" s="61"/>
      <c r="AQ9" s="79"/>
      <c r="AR9" s="80"/>
      <c r="AS9" s="60"/>
      <c r="AT9" s="70"/>
      <c r="AU9" s="70"/>
      <c r="AV9" s="68"/>
      <c r="AW9" s="80"/>
      <c r="AX9" s="70"/>
      <c r="AY9" s="80"/>
      <c r="AZ9" s="83"/>
      <c r="BA9" s="84"/>
      <c r="BB9" s="68"/>
      <c r="BC9" s="68"/>
      <c r="BD9" s="85"/>
      <c r="BE9" s="85"/>
      <c r="BF9" s="70"/>
      <c r="BG9" s="71"/>
      <c r="BI9" s="285"/>
      <c r="BJ9" s="285"/>
      <c r="BK9" s="286"/>
      <c r="BL9" s="286"/>
      <c r="BM9" s="286"/>
      <c r="BN9" s="285"/>
      <c r="BO9" s="285"/>
      <c r="BP9" s="285"/>
      <c r="BQ9" s="285"/>
      <c r="BR9" s="285"/>
      <c r="BS9" s="285"/>
      <c r="BT9" s="285"/>
      <c r="BU9" s="285"/>
      <c r="BV9" s="285"/>
      <c r="BW9" s="285"/>
      <c r="BX9" s="285"/>
      <c r="BY9" s="285"/>
      <c r="BZ9" s="285"/>
      <c r="CA9" s="285"/>
      <c r="CB9" s="285"/>
      <c r="CC9" s="285"/>
      <c r="CD9" s="285"/>
      <c r="CE9" s="285"/>
      <c r="CF9" s="285"/>
      <c r="CG9" s="285"/>
      <c r="CH9" s="285"/>
      <c r="CI9" s="285"/>
      <c r="CJ9" s="285"/>
      <c r="CK9" s="285"/>
      <c r="CL9" s="285"/>
      <c r="CM9" s="285"/>
      <c r="CN9" s="285"/>
      <c r="CO9" s="285"/>
      <c r="CP9" s="285"/>
      <c r="CQ9" s="285"/>
      <c r="CR9" s="285"/>
      <c r="CS9" s="285"/>
      <c r="CT9" s="285"/>
      <c r="CU9" s="285"/>
      <c r="CV9" s="285"/>
      <c r="CW9" s="285"/>
      <c r="CX9" s="285"/>
      <c r="CY9" s="285"/>
      <c r="CZ9" s="285"/>
      <c r="DA9" s="285"/>
      <c r="DB9" s="285"/>
      <c r="DC9" s="285"/>
      <c r="DD9" s="285"/>
      <c r="DE9" s="285"/>
      <c r="DF9" s="285"/>
    </row>
    <row r="10" spans="1:149" s="100" customFormat="1" ht="15" customHeight="1" thickTop="1" x14ac:dyDescent="0.25">
      <c r="A10" s="97"/>
      <c r="B10" s="61" t="s">
        <v>6</v>
      </c>
      <c r="C10" s="58"/>
      <c r="D10" s="59" t="s">
        <v>89</v>
      </c>
      <c r="E10" s="411" t="s">
        <v>89</v>
      </c>
      <c r="F10" s="411"/>
      <c r="G10" s="411"/>
      <c r="H10" s="411"/>
      <c r="I10" s="411"/>
      <c r="J10" s="411"/>
      <c r="K10" s="411"/>
      <c r="L10" s="411"/>
      <c r="M10" s="411"/>
      <c r="N10" s="411"/>
      <c r="O10" s="411"/>
      <c r="P10" s="411"/>
      <c r="Q10" s="411"/>
      <c r="R10" s="411"/>
      <c r="S10" s="411"/>
      <c r="T10" s="66"/>
      <c r="U10" s="67"/>
      <c r="V10" s="66"/>
      <c r="W10" s="66"/>
      <c r="X10" s="60"/>
      <c r="Y10" s="68"/>
      <c r="Z10" s="69"/>
      <c r="AA10" s="70"/>
      <c r="AB10" s="71"/>
      <c r="AC10" s="68"/>
      <c r="AD10" s="69"/>
      <c r="AE10" s="70"/>
      <c r="AF10" s="98"/>
      <c r="AG10" s="73"/>
      <c r="AH10" s="73"/>
      <c r="AI10" s="99"/>
      <c r="AJ10" s="74"/>
      <c r="AK10" s="75"/>
      <c r="AL10" s="76"/>
      <c r="AM10" s="77"/>
      <c r="AN10" s="60"/>
      <c r="AO10" s="68"/>
      <c r="AP10" s="78"/>
      <c r="AQ10" s="79"/>
      <c r="AR10" s="80"/>
      <c r="AS10" s="60"/>
      <c r="AT10" s="81"/>
      <c r="AU10" s="70"/>
      <c r="AV10" s="68"/>
      <c r="AW10" s="80"/>
      <c r="AX10" s="70"/>
      <c r="AY10" s="82"/>
      <c r="AZ10" s="83"/>
      <c r="BA10" s="84"/>
      <c r="BB10" s="68"/>
      <c r="BC10" s="68"/>
      <c r="BD10" s="85"/>
      <c r="BE10" s="85"/>
      <c r="BF10" s="81"/>
      <c r="BG10" s="71"/>
      <c r="BH10" s="86"/>
      <c r="BI10" s="284"/>
      <c r="BJ10" s="284"/>
      <c r="BK10" s="284"/>
      <c r="BL10" s="283"/>
      <c r="BM10" s="284"/>
      <c r="BN10" s="283"/>
      <c r="BO10" s="283"/>
      <c r="BP10" s="284"/>
      <c r="BQ10" s="284"/>
      <c r="BR10" s="284"/>
      <c r="BS10" s="284"/>
      <c r="BT10" s="284"/>
      <c r="BU10" s="284"/>
      <c r="BV10" s="284"/>
      <c r="BW10" s="283"/>
      <c r="BX10" s="283"/>
      <c r="BY10" s="284"/>
      <c r="BZ10" s="284"/>
      <c r="CA10" s="284"/>
      <c r="CB10" s="284"/>
      <c r="CC10" s="284"/>
      <c r="CD10" s="284"/>
      <c r="CE10" s="284"/>
      <c r="CF10" s="284"/>
      <c r="CG10" s="284"/>
      <c r="CH10" s="284"/>
      <c r="CI10" s="284"/>
      <c r="CJ10" s="284"/>
      <c r="CK10" s="284"/>
      <c r="CL10" s="284"/>
      <c r="CM10" s="284"/>
      <c r="CN10" s="284"/>
      <c r="CO10" s="284"/>
      <c r="CP10" s="284"/>
      <c r="CQ10" s="284"/>
      <c r="CR10" s="283"/>
      <c r="CS10" s="284"/>
      <c r="CT10" s="283"/>
      <c r="CU10" s="284"/>
      <c r="CV10" s="284"/>
      <c r="CW10" s="284"/>
      <c r="CX10" s="284"/>
      <c r="CY10" s="284"/>
      <c r="CZ10" s="284"/>
      <c r="DA10" s="284"/>
      <c r="DB10" s="284"/>
      <c r="DC10" s="284"/>
      <c r="DD10" s="284"/>
      <c r="DE10" s="284"/>
      <c r="DF10" s="284"/>
    </row>
    <row r="11" spans="1:149" s="112" customFormat="1" ht="16.5" customHeight="1" x14ac:dyDescent="0.3">
      <c r="A11" s="101"/>
      <c r="B11" s="437" t="s">
        <v>158</v>
      </c>
      <c r="C11" s="437"/>
      <c r="D11" s="437"/>
      <c r="E11" s="437"/>
      <c r="F11" s="102"/>
      <c r="G11" s="102"/>
      <c r="H11" s="102"/>
      <c r="I11" s="103"/>
      <c r="J11" s="104"/>
      <c r="K11" s="104"/>
      <c r="L11" s="104"/>
      <c r="M11" s="104"/>
      <c r="N11" s="104"/>
      <c r="O11" s="25"/>
      <c r="P11" s="25"/>
      <c r="Q11" s="25"/>
      <c r="R11" s="25"/>
      <c r="S11" s="105"/>
      <c r="T11" s="22"/>
      <c r="U11" s="22"/>
      <c r="V11" s="102"/>
      <c r="W11" s="102"/>
      <c r="X11" s="25"/>
      <c r="Y11" s="102"/>
      <c r="Z11" s="25"/>
      <c r="AA11" s="102"/>
      <c r="AB11" s="25"/>
      <c r="AC11" s="25"/>
      <c r="AD11" s="25"/>
      <c r="AE11" s="29"/>
      <c r="AF11" s="106"/>
      <c r="AG11" s="107"/>
      <c r="AH11" s="108"/>
      <c r="AI11" s="109"/>
      <c r="AJ11" s="110"/>
      <c r="AK11" s="104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280"/>
      <c r="BJ11" s="281"/>
      <c r="BK11" s="280"/>
      <c r="BL11" s="280"/>
      <c r="BM11" s="280"/>
      <c r="BN11" s="280"/>
      <c r="BO11" s="280"/>
      <c r="BP11" s="280"/>
      <c r="BQ11" s="280"/>
      <c r="BR11" s="280"/>
      <c r="BS11" s="280"/>
      <c r="BT11" s="280"/>
      <c r="BU11" s="280"/>
      <c r="BV11" s="280"/>
      <c r="BW11" s="280"/>
      <c r="BX11" s="280"/>
      <c r="BY11" s="280"/>
      <c r="BZ11" s="280"/>
      <c r="CA11" s="280"/>
      <c r="CB11" s="280"/>
      <c r="CC11" s="280"/>
      <c r="CD11" s="280"/>
      <c r="CE11" s="280"/>
      <c r="CF11" s="280"/>
      <c r="CG11" s="280"/>
      <c r="CH11" s="280"/>
      <c r="CI11" s="280"/>
      <c r="CJ11" s="280"/>
      <c r="CK11" s="280"/>
      <c r="CL11" s="280"/>
      <c r="CM11" s="280"/>
      <c r="CN11" s="280"/>
      <c r="CO11" s="280"/>
      <c r="CP11" s="280"/>
      <c r="CQ11" s="280"/>
      <c r="CR11" s="280"/>
      <c r="CS11" s="280"/>
      <c r="CT11" s="280"/>
      <c r="CU11" s="280"/>
      <c r="CV11" s="280"/>
      <c r="CW11" s="280"/>
      <c r="CX11" s="280"/>
      <c r="CY11" s="280"/>
      <c r="CZ11" s="280"/>
      <c r="DA11" s="280"/>
      <c r="DB11" s="280"/>
      <c r="DC11" s="280"/>
      <c r="DD11" s="280"/>
      <c r="DE11" s="280"/>
      <c r="DF11" s="280"/>
      <c r="DG11" s="280"/>
      <c r="DH11" s="280"/>
      <c r="DI11" s="280"/>
      <c r="DJ11" s="280"/>
      <c r="DK11" s="280"/>
      <c r="DL11" s="280"/>
      <c r="DM11" s="280"/>
      <c r="DN11" s="280"/>
      <c r="DO11" s="280"/>
      <c r="DP11" s="280"/>
      <c r="DQ11" s="280"/>
      <c r="DR11" s="280"/>
      <c r="DS11" s="280"/>
      <c r="DT11" s="280"/>
      <c r="DU11" s="280"/>
      <c r="DV11" s="280"/>
      <c r="DW11" s="280"/>
      <c r="DX11" s="280"/>
    </row>
    <row r="12" spans="1:149" s="136" customFormat="1" ht="3.75" customHeight="1" x14ac:dyDescent="0.25">
      <c r="A12" s="113">
        <v>92</v>
      </c>
      <c r="B12" s="114"/>
      <c r="C12" s="114"/>
      <c r="D12" s="115"/>
      <c r="E12" s="116"/>
      <c r="F12" s="114"/>
      <c r="G12" s="114"/>
      <c r="H12" s="117"/>
      <c r="I12" s="118"/>
      <c r="J12" s="114"/>
      <c r="K12" s="114"/>
      <c r="L12" s="114"/>
      <c r="M12" s="114"/>
      <c r="N12" s="119"/>
      <c r="O12" s="119"/>
      <c r="P12" s="119"/>
      <c r="Q12" s="119"/>
      <c r="R12" s="119"/>
      <c r="S12" s="120"/>
      <c r="T12" s="121"/>
      <c r="U12" s="122"/>
      <c r="V12" s="121"/>
      <c r="W12" s="121"/>
      <c r="X12" s="123"/>
      <c r="Y12" s="124"/>
      <c r="Z12" s="122"/>
      <c r="AA12" s="125"/>
      <c r="AB12" s="126"/>
      <c r="AC12" s="123"/>
      <c r="AD12" s="127"/>
      <c r="AE12" s="123"/>
      <c r="AF12" s="128"/>
      <c r="AG12" s="129"/>
      <c r="AH12" s="130"/>
      <c r="AI12" s="131"/>
      <c r="AJ12" s="132"/>
      <c r="AK12" s="133"/>
      <c r="AL12" s="134"/>
      <c r="AM12" s="11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5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214"/>
      <c r="BJ12" s="201"/>
      <c r="BK12" s="202" t="s">
        <v>7</v>
      </c>
      <c r="BL12" s="203" t="e">
        <f>IF(#REF!="Cơ sở Học viện Hành chính khu vực miền Trung","B",IF(#REF!="Phân viện Khu vực Tây Nguyên","C",IF(#REF!="Cơ sở Học viện Hành chính tại thành phố Hồ Chí Minh","D","A")))</f>
        <v>#REF!</v>
      </c>
      <c r="BM12" s="202" t="e">
        <f>IF(AND(#REF!&gt;0,#REF!&lt;(#REF!-1),BN12&gt;0,BN12&lt;13,OR(AND(BT12="Cùg Ng",(#REF!-BP12)&gt;#REF!),BT12="- - -")),"Sớm TT","=&gt; s")</f>
        <v>#REF!</v>
      </c>
      <c r="BN12" s="204" t="e">
        <f>IF(#REF!=3,36-(12*(#REF!-#REF!)+(12-#REF!)-#REF!),IF(#REF!=2,24-(12*(#REF!-#REF!)+(12-#REF!)-#REF!),"---"))</f>
        <v>#REF!</v>
      </c>
      <c r="BO12" s="205" t="str">
        <f>IF(BP12&gt;1,"S","---")</f>
        <v>---</v>
      </c>
      <c r="BP12" s="206"/>
      <c r="BQ12" s="207"/>
      <c r="BR12" s="207"/>
      <c r="BS12" s="207"/>
      <c r="BT12" s="206" t="e">
        <f>IF(#REF!=BQ12,"Cùg Ng","- - -")</f>
        <v>#REF!</v>
      </c>
      <c r="BU12" s="205" t="str">
        <f>IF(BW12&gt;2000,"NN","- - -")</f>
        <v>- - -</v>
      </c>
      <c r="BV12" s="202"/>
      <c r="BW12" s="202"/>
      <c r="BX12" s="208"/>
      <c r="BY12" s="208"/>
      <c r="BZ12" s="208" t="str">
        <f>IF(CB12&gt;2000,"CN","- - -")</f>
        <v>- - -</v>
      </c>
      <c r="CA12" s="208"/>
      <c r="CB12" s="208"/>
      <c r="CC12" s="208"/>
      <c r="CD12" s="208"/>
      <c r="CE12" s="208" t="e">
        <f>IF(AND(CF12="Hưu",#REF!&lt;(#REF!-1),CM12&gt;0,CM12&lt;18,OR(#REF!&lt;4,AND(#REF!&gt;3,OR(#REF!&lt;3,#REF!&gt;5)))),"Lg Sớm",IF(AND(CF12="Hưu",#REF!&gt;(#REF!-2),OR(#REF!=0.33,#REF!=0.34),OR(#REF!&lt;4,AND(#REF!&gt;3,OR(#REF!&lt;3,#REF!&gt;5)))),"Nâng Ngạch",IF(AND(CF12="Hưu",#REF!=1,CM12&gt;2,CM12&lt;6,OR(#REF!&lt;4,AND(#REF!&gt;3,OR(#REF!&lt;3,#REF!&gt;5)))),"Nâng PcVK cùng QĐ",IF(AND(CF12="Hưu",#REF!&gt;3,#REF!&gt;2,#REF!&lt;6,#REF!&lt;(#REF!-1),CM12&gt;17,OR(#REF!&gt;1,AND(#REF!=1,OR(CM12&lt;3,CM12&gt;5)))),"Nâng PcNG cùng QĐ",IF(AND(CF12="Hưu",#REF!&lt;(#REF!-1),CM12&gt;0,CM12&lt;18,#REF!&gt;3,#REF!&gt;2,#REF!&lt;6),"Nâng Lg Sớm +(PcNG cùng QĐ)",IF(AND(CF12="Hưu",#REF!&gt;(#REF!-2),OR(#REF!=0.33,#REF!=0.34),#REF!&gt;3,#REF!&gt;2,#REF!&lt;6),"Nâng Ngạch +(PcNG cùng QĐ)",IF(AND(CF12="Hưu",#REF!=1,CM12&gt;2,CM12&lt;6,#REF!&gt;3,#REF!&gt;2,#REF!&lt;6),"Nâng (PcVK +PcNG) cùng QĐ",("---"))))))))</f>
        <v>#REF!</v>
      </c>
      <c r="CF12" s="208" t="e">
        <f>IF(AND(CQ12&gt;CP12,CQ12&lt;(CP12+13)),"Hưu",IF(AND(CQ12&gt;(CP12+12),CQ12&lt;1000),"Quá","/-/ /-/"))</f>
        <v>#REF!</v>
      </c>
      <c r="CG12" s="208" t="e">
        <f>IF((#REF!+0)&lt;12,(#REF!+0)+1,IF((#REF!+0)=12,1,IF((#REF!+0)&gt;12,(#REF!+0)-12)))</f>
        <v>#REF!</v>
      </c>
      <c r="CH12" s="208" t="e">
        <f>IF(OR((#REF!+0)=12,(#REF!+0)&gt;12),#REF!+CP12/12+1,IF(AND((#REF!+0)&gt;0,(#REF!+0)&lt;12),#REF!+CP12/12,"---"))</f>
        <v>#REF!</v>
      </c>
      <c r="CI12" s="208" t="e">
        <f>IF(AND(CG12&gt;3,CG12&lt;13),CG12-3,IF(CG12&lt;4,CG12-3+12))</f>
        <v>#REF!</v>
      </c>
      <c r="CJ12" s="208" t="e">
        <f>IF(CI12&lt;CG12,CH12,IF(CI12&gt;CG12,CH12-1))</f>
        <v>#REF!</v>
      </c>
      <c r="CK12" s="208" t="e">
        <f>IF(CG12&gt;6,CG12-6,IF(CG12=6,12,IF(CG12&lt;6,CG12+6)))</f>
        <v>#REF!</v>
      </c>
      <c r="CL12" s="208" t="e">
        <f>IF(CG12&gt;6,CH12,IF(CG12&lt;7,CH12-1))</f>
        <v>#REF!</v>
      </c>
      <c r="CM12" s="208" t="e">
        <f>IF(AND(CF12="Hưu",#REF!=3),36+#REF!-(12*(CL12-#REF!)+(CK12-#REF!)),IF(AND(CF12="Hưu",#REF!=2),24+#REF!-(12*(CL12-#REF!)+(CK12-#REF!)),IF(AND(CF12="Hưu",#REF!=1),12+#REF!-(12*(CL12-#REF!)+(CK12-#REF!)),"- - -")))</f>
        <v>#REF!</v>
      </c>
      <c r="CN12" s="209" t="str">
        <f>IF(CO12&gt;0,"K.Dài",". .")</f>
        <v>. .</v>
      </c>
      <c r="CO12" s="206"/>
      <c r="CP12" s="210" t="e">
        <f>IF(#REF!="Nam",(60+CO12)*12,IF(#REF!="Nữ",(55+CO12)*12,))</f>
        <v>#REF!</v>
      </c>
      <c r="CQ12" s="211" t="e">
        <f>12*(#REF!-#REF!)+(12-#REF!)</f>
        <v>#REF!</v>
      </c>
      <c r="CR12" s="212" t="e">
        <f>#REF!-#REF!</f>
        <v>#REF!</v>
      </c>
      <c r="CS12" s="213" t="e">
        <f>IF(AND(CR12&lt;35,#REF!="Nam"),"Nam dưới 35",IF(AND(CR12&lt;30,#REF!="Nữ"),"Nữ dưới 30",IF(AND(CR12&gt;34,CR12&lt;46,#REF!="Nam"),"Nam từ 35 - 45",IF(AND(CR12&gt;29,CR12&lt;41,#REF!="Nữ"),"Nữ từ 30 - 40",IF(AND(CR12&gt;45,CR12&lt;56,#REF!="Nam"),"Nam trên 45 - 55",IF(AND(CR12&gt;40,CR12&lt;51,#REF!="Nữ"),"Nữ trên 40 - 50",IF(AND(CR12&gt;55,#REF!="Nam"),"Nam trên 55","Nữ trên 50")))))))</f>
        <v>#REF!</v>
      </c>
      <c r="CT12" s="214"/>
      <c r="CU12" s="212"/>
      <c r="CV12" s="215" t="e">
        <f>IF(CR12&lt;31,"Đến 30",IF(AND(CR12&gt;30,CR12&lt;46),"31 - 45",IF(AND(CR12&gt;45,CR12&lt;70),"Trên 45")))</f>
        <v>#REF!</v>
      </c>
      <c r="CW12" s="287" t="str">
        <f>IF(CX12&gt;0,"TD","--")</f>
        <v>TD</v>
      </c>
      <c r="CX12" s="287">
        <v>2009</v>
      </c>
      <c r="CY12" s="214"/>
      <c r="CZ12" s="288"/>
      <c r="DA12" s="289"/>
      <c r="DB12" s="208"/>
      <c r="DC12" s="208"/>
      <c r="DD12" s="208"/>
      <c r="DE12" s="208"/>
      <c r="DF12" s="208"/>
      <c r="DG12" s="208"/>
      <c r="DH12" s="208" t="s">
        <v>8</v>
      </c>
      <c r="DI12" s="208" t="s">
        <v>9</v>
      </c>
      <c r="DJ12" s="208" t="s">
        <v>10</v>
      </c>
      <c r="DK12" s="208" t="s">
        <v>9</v>
      </c>
      <c r="DL12" s="208">
        <v>2009</v>
      </c>
      <c r="DM12" s="208">
        <f>(DH12+0)-(DO12+0)</f>
        <v>0</v>
      </c>
      <c r="DN12" s="208" t="str">
        <f>IF(DM12&gt;0,"Sửa","- - -")</f>
        <v>- - -</v>
      </c>
      <c r="DO12" s="208" t="s">
        <v>8</v>
      </c>
      <c r="DP12" s="208" t="s">
        <v>9</v>
      </c>
      <c r="DQ12" s="208" t="s">
        <v>10</v>
      </c>
      <c r="DR12" s="208" t="s">
        <v>9</v>
      </c>
      <c r="DS12" s="208">
        <v>2009</v>
      </c>
      <c r="DT12" s="208"/>
      <c r="DU12" s="208" t="e">
        <f>IF(AND(#REF!&gt;0.34,#REF!=1,OR(#REF!=6.2,#REF!=5.75)),((#REF!-DT12)-2*0.34),IF(AND(#REF!&gt;0.33,#REF!=1,OR(#REF!=4.4,#REF!=4)),((#REF!-DT12)-2*0.33),"- - -"))</f>
        <v>#REF!</v>
      </c>
      <c r="DV12" s="208" t="e">
        <f>IF(CF12="Hưu",12*(CL12-#REF!)+(CK12-#REF!),"---")</f>
        <v>#REF!</v>
      </c>
      <c r="DW12" s="208"/>
      <c r="DX12" s="208"/>
      <c r="DY12" s="208"/>
      <c r="DZ12" s="208"/>
      <c r="EA12" s="208"/>
      <c r="EB12" s="208"/>
      <c r="EC12" s="208"/>
      <c r="ED12" s="208"/>
      <c r="EE12" s="208"/>
      <c r="EF12" s="208"/>
      <c r="EG12" s="208"/>
      <c r="EH12" s="208"/>
      <c r="EI12" s="208"/>
      <c r="EJ12" s="208"/>
      <c r="EK12" s="208"/>
      <c r="EL12" s="208"/>
      <c r="EM12" s="208"/>
      <c r="EN12" s="208"/>
      <c r="EO12" s="208"/>
      <c r="EP12" s="208"/>
      <c r="EQ12" s="208"/>
      <c r="ER12" s="208"/>
    </row>
    <row r="13" spans="1:149" s="142" customFormat="1" ht="24.75" customHeight="1" x14ac:dyDescent="0.25">
      <c r="A13" s="147"/>
      <c r="B13" s="414" t="s">
        <v>11</v>
      </c>
      <c r="C13" s="375"/>
      <c r="D13" s="414" t="s">
        <v>12</v>
      </c>
      <c r="E13" s="414" t="s">
        <v>12</v>
      </c>
      <c r="F13" s="435" t="s">
        <v>13</v>
      </c>
      <c r="G13" s="138"/>
      <c r="H13" s="138"/>
      <c r="I13" s="138"/>
      <c r="J13" s="138"/>
      <c r="K13" s="375"/>
      <c r="L13" s="375"/>
      <c r="M13" s="375"/>
      <c r="N13" s="424" t="s">
        <v>14</v>
      </c>
      <c r="O13" s="425"/>
      <c r="P13" s="426"/>
      <c r="Q13" s="391"/>
      <c r="R13" s="391"/>
      <c r="S13" s="424" t="s">
        <v>15</v>
      </c>
      <c r="T13" s="426"/>
      <c r="U13" s="414" t="s">
        <v>16</v>
      </c>
      <c r="V13" s="414" t="s">
        <v>17</v>
      </c>
      <c r="W13" s="375"/>
      <c r="X13" s="424" t="s">
        <v>18</v>
      </c>
      <c r="Y13" s="425"/>
      <c r="Z13" s="425"/>
      <c r="AA13" s="425"/>
      <c r="AB13" s="425"/>
      <c r="AC13" s="425"/>
      <c r="AD13" s="425"/>
      <c r="AE13" s="425"/>
      <c r="AF13" s="425"/>
      <c r="AG13" s="425"/>
      <c r="AH13" s="425"/>
      <c r="AI13" s="425"/>
      <c r="AJ13" s="425"/>
      <c r="AK13" s="426"/>
      <c r="AL13" s="427"/>
      <c r="AM13" s="414" t="s">
        <v>20</v>
      </c>
      <c r="AN13" s="375"/>
      <c r="AO13" s="375"/>
      <c r="AP13" s="375"/>
      <c r="AQ13" s="375"/>
      <c r="AR13" s="375"/>
      <c r="AS13" s="375"/>
      <c r="AT13" s="375"/>
      <c r="AU13" s="375"/>
      <c r="AV13" s="375"/>
      <c r="AW13" s="375"/>
      <c r="AX13" s="414" t="s">
        <v>21</v>
      </c>
      <c r="AY13" s="375"/>
      <c r="AZ13" s="375"/>
      <c r="BA13" s="375"/>
      <c r="BB13" s="375"/>
      <c r="BC13" s="375"/>
      <c r="BD13" s="375"/>
      <c r="BE13" s="375"/>
      <c r="BF13" s="375"/>
      <c r="BG13" s="375"/>
      <c r="BH13" s="416" t="s">
        <v>21</v>
      </c>
      <c r="BI13" s="406" t="s">
        <v>19</v>
      </c>
      <c r="BJ13" s="201"/>
      <c r="BK13" s="202"/>
      <c r="BL13" s="203"/>
      <c r="BM13" s="202"/>
      <c r="BN13" s="204"/>
      <c r="BO13" s="205"/>
      <c r="BP13" s="206"/>
      <c r="BQ13" s="207"/>
      <c r="BR13" s="207"/>
      <c r="BS13" s="207"/>
      <c r="BT13" s="206"/>
      <c r="BU13" s="205"/>
      <c r="BV13" s="202"/>
      <c r="BW13" s="202"/>
      <c r="BX13" s="208"/>
      <c r="BY13" s="208"/>
      <c r="BZ13" s="208"/>
      <c r="CA13" s="208"/>
      <c r="CB13" s="208"/>
      <c r="CC13" s="208"/>
      <c r="CD13" s="208"/>
      <c r="CE13" s="208"/>
      <c r="CF13" s="208"/>
      <c r="CG13" s="208"/>
      <c r="CH13" s="208"/>
      <c r="CI13" s="208"/>
      <c r="CJ13" s="208"/>
      <c r="CK13" s="208"/>
      <c r="CL13" s="208"/>
      <c r="CM13" s="208"/>
      <c r="CN13" s="209"/>
      <c r="CO13" s="206"/>
      <c r="CP13" s="210"/>
      <c r="CQ13" s="211"/>
      <c r="CR13" s="212"/>
      <c r="CS13" s="213"/>
      <c r="CT13" s="214"/>
      <c r="CU13" s="212"/>
      <c r="CV13" s="215"/>
      <c r="CW13" s="287"/>
      <c r="CX13" s="287"/>
      <c r="CY13" s="214"/>
      <c r="CZ13" s="288"/>
      <c r="DA13" s="289"/>
      <c r="DB13" s="208"/>
      <c r="DC13" s="208"/>
      <c r="DD13" s="208"/>
      <c r="DE13" s="208"/>
      <c r="DF13" s="208"/>
      <c r="DG13" s="208"/>
      <c r="DH13" s="208"/>
      <c r="DI13" s="208"/>
      <c r="DJ13" s="208"/>
      <c r="DK13" s="208"/>
      <c r="DL13" s="208"/>
      <c r="DM13" s="208"/>
      <c r="DN13" s="208"/>
      <c r="DO13" s="208"/>
      <c r="DP13" s="208"/>
      <c r="DQ13" s="208"/>
      <c r="DR13" s="208"/>
      <c r="DS13" s="208"/>
      <c r="DT13" s="208"/>
      <c r="DU13" s="208"/>
      <c r="DV13" s="208"/>
      <c r="DW13" s="208"/>
      <c r="DX13" s="208"/>
      <c r="DY13" s="208"/>
      <c r="DZ13" s="208"/>
      <c r="EA13" s="208"/>
      <c r="EB13" s="208"/>
      <c r="EC13" s="208"/>
      <c r="ED13" s="208"/>
      <c r="EE13" s="208"/>
      <c r="EF13" s="208"/>
      <c r="EG13" s="208"/>
      <c r="EH13" s="208"/>
      <c r="EI13" s="208"/>
      <c r="EJ13" s="208"/>
      <c r="EK13" s="208"/>
      <c r="EL13" s="208"/>
      <c r="EM13" s="208"/>
      <c r="EN13" s="208"/>
      <c r="EO13" s="208"/>
      <c r="EP13" s="208"/>
      <c r="EQ13" s="208"/>
      <c r="ER13" s="208"/>
      <c r="ES13" s="282"/>
    </row>
    <row r="14" spans="1:149" s="142" customFormat="1" ht="28.5" customHeight="1" x14ac:dyDescent="0.25">
      <c r="A14" s="147">
        <v>163</v>
      </c>
      <c r="B14" s="415"/>
      <c r="C14" s="396"/>
      <c r="D14" s="415"/>
      <c r="E14" s="415"/>
      <c r="F14" s="436"/>
      <c r="G14" s="393"/>
      <c r="H14" s="393"/>
      <c r="I14" s="393"/>
      <c r="J14" s="393"/>
      <c r="K14" s="396"/>
      <c r="L14" s="396"/>
      <c r="M14" s="396"/>
      <c r="N14" s="421"/>
      <c r="O14" s="422"/>
      <c r="P14" s="423"/>
      <c r="Q14" s="392"/>
      <c r="R14" s="392"/>
      <c r="S14" s="433"/>
      <c r="T14" s="434"/>
      <c r="U14" s="415"/>
      <c r="V14" s="415"/>
      <c r="W14" s="396"/>
      <c r="X14" s="373" t="s">
        <v>22</v>
      </c>
      <c r="Y14" s="418" t="s">
        <v>98</v>
      </c>
      <c r="Z14" s="418"/>
      <c r="AA14" s="419"/>
      <c r="AB14" s="395" t="s">
        <v>99</v>
      </c>
      <c r="AC14" s="420" t="s">
        <v>100</v>
      </c>
      <c r="AD14" s="418"/>
      <c r="AE14" s="419"/>
      <c r="AF14" s="374" t="s">
        <v>99</v>
      </c>
      <c r="AG14" s="421" t="s">
        <v>101</v>
      </c>
      <c r="AH14" s="422"/>
      <c r="AI14" s="422"/>
      <c r="AJ14" s="422"/>
      <c r="AK14" s="423"/>
      <c r="AL14" s="428"/>
      <c r="AM14" s="415"/>
      <c r="AN14" s="396"/>
      <c r="AO14" s="396"/>
      <c r="AP14" s="396"/>
      <c r="AQ14" s="396"/>
      <c r="AR14" s="396"/>
      <c r="AS14" s="396"/>
      <c r="AT14" s="396"/>
      <c r="AU14" s="396"/>
      <c r="AV14" s="396"/>
      <c r="AW14" s="396"/>
      <c r="AX14" s="415"/>
      <c r="AY14" s="396"/>
      <c r="AZ14" s="396"/>
      <c r="BA14" s="396"/>
      <c r="BB14" s="396"/>
      <c r="BC14" s="396"/>
      <c r="BD14" s="396"/>
      <c r="BE14" s="396"/>
      <c r="BF14" s="396"/>
      <c r="BG14" s="396"/>
      <c r="BH14" s="417"/>
      <c r="BI14" s="407"/>
      <c r="BJ14" s="201"/>
      <c r="BK14" s="202" t="s">
        <v>23</v>
      </c>
      <c r="BL14" s="203" t="e">
        <f>IF(#REF!="Cơ sở Học viện Hành chính khu vực miền Trung","B",IF(#REF!="Phân viện Khu vực Tây Nguyên","C",IF(#REF!="Cơ sở Học viện Hành chính tại thành phố Hồ Chí Minh","D","A")))</f>
        <v>#REF!</v>
      </c>
      <c r="BM14" s="202" t="e">
        <f>IF(AND(#REF!&gt;0,#REF!&lt;(#REF!-1),BN14&gt;0,BN14&lt;13,OR(AND(BT14="Cùg Ng",(#REF!-BP14)&gt;#REF!),BT14="- - -")),"Sớm TT","=&gt; s")</f>
        <v>#REF!</v>
      </c>
      <c r="BN14" s="204" t="e">
        <f>IF(#REF!=3,36-(12*(#REF!-#REF!)+(12-#REF!)-#REF!),IF(#REF!=2,24-(12*(#REF!-#REF!)+(12-#REF!)-#REF!),"---"))</f>
        <v>#REF!</v>
      </c>
      <c r="BO14" s="205" t="str">
        <f>IF(BP14&gt;1,"S","---")</f>
        <v>---</v>
      </c>
      <c r="BP14" s="206"/>
      <c r="BQ14" s="207"/>
      <c r="BR14" s="207"/>
      <c r="BS14" s="207"/>
      <c r="BT14" s="206" t="e">
        <f>IF(#REF!=BQ14,"Cùg Ng","- - -")</f>
        <v>#REF!</v>
      </c>
      <c r="BU14" s="205" t="str">
        <f>IF(BW14&gt;2000,"NN","- - -")</f>
        <v>- - -</v>
      </c>
      <c r="BV14" s="202"/>
      <c r="BW14" s="202"/>
      <c r="BX14" s="208"/>
      <c r="BY14" s="208"/>
      <c r="BZ14" s="208" t="str">
        <f>IF(CB14&gt;2000,"CN","- - -")</f>
        <v>- - -</v>
      </c>
      <c r="CA14" s="208"/>
      <c r="CB14" s="208"/>
      <c r="CC14" s="208"/>
      <c r="CD14" s="208"/>
      <c r="CE14" s="208" t="e">
        <f>IF(AND(CF14="Hưu",#REF!&lt;(#REF!-1),CM14&gt;0,CM14&lt;18,OR(#REF!&lt;4,AND(#REF!&gt;3,OR(#REF!&lt;3,#REF!&gt;5)))),"Lg Sớm",IF(AND(CF14="Hưu",#REF!&gt;(#REF!-2),OR(#REF!=0.33,#REF!=0.34),OR(#REF!&lt;4,AND(#REF!&gt;3,OR(#REF!&lt;3,#REF!&gt;5)))),"Nâng Ngạch",IF(AND(CF14="Hưu",#REF!=1,CM14&gt;2,CM14&lt;6,OR(#REF!&lt;4,AND(#REF!&gt;3,OR(#REF!&lt;3,#REF!&gt;5)))),"Nâng PcVK cùng QĐ",IF(AND(CF14="Hưu",#REF!&gt;3,#REF!&gt;2,#REF!&lt;6,#REF!&lt;(#REF!-1),CM14&gt;17,OR(#REF!&gt;1,AND(#REF!=1,OR(CM14&lt;3,CM14&gt;5)))),"Nâng PcNG cùng QĐ",IF(AND(CF14="Hưu",#REF!&lt;(#REF!-1),CM14&gt;0,CM14&lt;18,#REF!&gt;3,#REF!&gt;2,#REF!&lt;6),"Nâng Lg Sớm +(PcNG cùng QĐ)",IF(AND(CF14="Hưu",#REF!&gt;(#REF!-2),OR(#REF!=0.33,#REF!=0.34),#REF!&gt;3,#REF!&gt;2,#REF!&lt;6),"Nâng Ngạch +(PcNG cùng QĐ)",IF(AND(CF14="Hưu",#REF!=1,CM14&gt;2,CM14&lt;6,#REF!&gt;3,#REF!&gt;2,#REF!&lt;6),"Nâng (PcVK +PcNG) cùng QĐ",("---"))))))))</f>
        <v>#REF!</v>
      </c>
      <c r="CF14" s="208" t="e">
        <f>IF(AND(CQ14&gt;CP14,CQ14&lt;(CP14+13)),"Hưu",IF(AND(CQ14&gt;(CP14+12),CQ14&lt;1000),"Quá","/-/ /-/"))</f>
        <v>#REF!</v>
      </c>
      <c r="CG14" s="208" t="e">
        <f>IF((#REF!+0)&lt;12,(#REF!+0)+1,IF((#REF!+0)=12,1,IF((#REF!+0)&gt;12,(#REF!+0)-12)))</f>
        <v>#REF!</v>
      </c>
      <c r="CH14" s="208" t="e">
        <f>IF(OR((#REF!+0)=12,(#REF!+0)&gt;12),#REF!+CP14/12+1,IF(AND((#REF!+0)&gt;0,(#REF!+0)&lt;12),#REF!+CP14/12,"---"))</f>
        <v>#REF!</v>
      </c>
      <c r="CI14" s="208" t="e">
        <f>IF(AND(CG14&gt;3,CG14&lt;13),CG14-3,IF(CG14&lt;4,CG14-3+12))</f>
        <v>#REF!</v>
      </c>
      <c r="CJ14" s="208" t="e">
        <f>IF(CI14&lt;CG14,CH14,IF(CI14&gt;CG14,CH14-1))</f>
        <v>#REF!</v>
      </c>
      <c r="CK14" s="208" t="e">
        <f>IF(CG14&gt;6,CG14-6,IF(CG14=6,12,IF(CG14&lt;6,CG14+6)))</f>
        <v>#REF!</v>
      </c>
      <c r="CL14" s="208" t="e">
        <f>IF(CG14&gt;6,CH14,IF(CG14&lt;7,CH14-1))</f>
        <v>#REF!</v>
      </c>
      <c r="CM14" s="208" t="e">
        <f>IF(AND(CF14="Hưu",#REF!=3),36+#REF!-(12*(CL14-#REF!)+(CK14-#REF!)),IF(AND(CF14="Hưu",#REF!=2),24+#REF!-(12*(CL14-#REF!)+(CK14-#REF!)),IF(AND(CF14="Hưu",#REF!=1),12+#REF!-(12*(CL14-#REF!)+(CK14-#REF!)),"- - -")))</f>
        <v>#REF!</v>
      </c>
      <c r="CN14" s="209" t="str">
        <f>IF(CO14&gt;0,"K.Dài",". .")</f>
        <v>. .</v>
      </c>
      <c r="CO14" s="206"/>
      <c r="CP14" s="210" t="e">
        <f>IF(#REF!="Nam",(60+CO14)*12,IF(#REF!="Nữ",(55+CO14)*12,))</f>
        <v>#REF!</v>
      </c>
      <c r="CQ14" s="211" t="e">
        <f>12*(#REF!-#REF!)+(12-#REF!)</f>
        <v>#REF!</v>
      </c>
      <c r="CR14" s="212" t="e">
        <f>#REF!-#REF!</f>
        <v>#REF!</v>
      </c>
      <c r="CS14" s="213" t="e">
        <f>IF(AND(CR14&lt;35,#REF!="Nam"),"Nam dưới 35",IF(AND(CR14&lt;30,#REF!="Nữ"),"Nữ dưới 30",IF(AND(CR14&gt;34,CR14&lt;46,#REF!="Nam"),"Nam từ 35 - 45",IF(AND(CR14&gt;29,CR14&lt;41,#REF!="Nữ"),"Nữ từ 30 - 40",IF(AND(CR14&gt;45,CR14&lt;56,#REF!="Nam"),"Nam trên 45 - 55",IF(AND(CR14&gt;40,CR14&lt;51,#REF!="Nữ"),"Nữ trên 40 - 50",IF(AND(CR14&gt;55,#REF!="Nam"),"Nam trên 55","Nữ trên 50")))))))</f>
        <v>#REF!</v>
      </c>
      <c r="CT14" s="214"/>
      <c r="CU14" s="212"/>
      <c r="CV14" s="215" t="e">
        <f>IF(CR14&lt;31,"Đến 30",IF(AND(CR14&gt;30,CR14&lt;46),"31 - 45",IF(AND(CR14&gt;45,CR14&lt;70),"Trên 45")))</f>
        <v>#REF!</v>
      </c>
      <c r="CW14" s="287" t="str">
        <f>IF(CX14&gt;0,"TD","--")</f>
        <v>--</v>
      </c>
      <c r="CX14" s="287"/>
      <c r="CY14" s="214"/>
      <c r="CZ14" s="288"/>
      <c r="DA14" s="289"/>
      <c r="DB14" s="208"/>
      <c r="DC14" s="208"/>
      <c r="DD14" s="208"/>
      <c r="DE14" s="208"/>
      <c r="DF14" s="208"/>
      <c r="DG14" s="208" t="s">
        <v>24</v>
      </c>
      <c r="DH14" s="208" t="s">
        <v>8</v>
      </c>
      <c r="DI14" s="208" t="s">
        <v>9</v>
      </c>
      <c r="DJ14" s="208" t="s">
        <v>25</v>
      </c>
      <c r="DK14" s="208" t="s">
        <v>9</v>
      </c>
      <c r="DL14" s="208" t="s">
        <v>26</v>
      </c>
      <c r="DM14" s="208">
        <f>(DH14+0)-(DO14+0)</f>
        <v>0</v>
      </c>
      <c r="DN14" s="208" t="str">
        <f>IF(DM14&gt;0,"Sửa","- - -")</f>
        <v>- - -</v>
      </c>
      <c r="DO14" s="208" t="s">
        <v>8</v>
      </c>
      <c r="DP14" s="208" t="s">
        <v>9</v>
      </c>
      <c r="DQ14" s="208" t="s">
        <v>25</v>
      </c>
      <c r="DR14" s="208" t="s">
        <v>9</v>
      </c>
      <c r="DS14" s="208" t="s">
        <v>26</v>
      </c>
      <c r="DT14" s="208"/>
      <c r="DU14" s="208" t="e">
        <f>IF(AND(#REF!&gt;0.34,#REF!=1,OR(#REF!=6.2,#REF!=5.75)),((#REF!-DT14)-2*0.34),IF(AND(#REF!&gt;0.33,#REF!=1,OR(#REF!=4.4,#REF!=4)),((#REF!-DT14)-2*0.33),"- - -"))</f>
        <v>#REF!</v>
      </c>
      <c r="DV14" s="208" t="e">
        <f>IF(CF14="Hưu",12*(CL14-#REF!)+(CK14-#REF!),"---")</f>
        <v>#REF!</v>
      </c>
      <c r="DW14" s="208"/>
      <c r="DX14" s="208"/>
      <c r="DY14" s="208"/>
      <c r="DZ14" s="208"/>
      <c r="EA14" s="208"/>
      <c r="EB14" s="208"/>
      <c r="EC14" s="208"/>
      <c r="ED14" s="208"/>
      <c r="EE14" s="208"/>
      <c r="EF14" s="208"/>
      <c r="EG14" s="208"/>
      <c r="EH14" s="208"/>
      <c r="EI14" s="208"/>
      <c r="EJ14" s="208"/>
      <c r="EK14" s="208"/>
      <c r="EL14" s="208"/>
      <c r="EM14" s="208"/>
      <c r="EN14" s="208"/>
      <c r="EO14" s="208"/>
      <c r="EP14" s="208"/>
      <c r="EQ14" s="208"/>
      <c r="ER14" s="208"/>
      <c r="ES14" s="282"/>
    </row>
    <row r="15" spans="1:149" s="146" customFormat="1" ht="12.75" customHeight="1" x14ac:dyDescent="0.25">
      <c r="B15" s="394">
        <v>1</v>
      </c>
      <c r="C15" s="394"/>
      <c r="D15" s="394">
        <v>2</v>
      </c>
      <c r="E15" s="394">
        <v>3</v>
      </c>
      <c r="F15" s="394">
        <v>3</v>
      </c>
      <c r="G15" s="394"/>
      <c r="H15" s="394"/>
      <c r="I15" s="394"/>
      <c r="J15" s="394"/>
      <c r="K15" s="394"/>
      <c r="L15" s="394"/>
      <c r="M15" s="394"/>
      <c r="N15" s="458">
        <v>4</v>
      </c>
      <c r="O15" s="459"/>
      <c r="P15" s="460"/>
      <c r="Q15" s="394"/>
      <c r="R15" s="394"/>
      <c r="S15" s="431">
        <v>5</v>
      </c>
      <c r="T15" s="431"/>
      <c r="U15" s="394">
        <v>5</v>
      </c>
      <c r="V15" s="394">
        <v>6</v>
      </c>
      <c r="W15" s="394"/>
      <c r="X15" s="458">
        <v>6</v>
      </c>
      <c r="Y15" s="459"/>
      <c r="Z15" s="459"/>
      <c r="AA15" s="460"/>
      <c r="AB15" s="550">
        <v>7</v>
      </c>
      <c r="AC15" s="458">
        <v>8</v>
      </c>
      <c r="AD15" s="459"/>
      <c r="AE15" s="460"/>
      <c r="AF15" s="550">
        <v>9</v>
      </c>
      <c r="AG15" s="458">
        <v>10</v>
      </c>
      <c r="AH15" s="459"/>
      <c r="AI15" s="459"/>
      <c r="AJ15" s="459"/>
      <c r="AK15" s="460"/>
      <c r="AL15" s="394"/>
      <c r="AM15" s="394"/>
      <c r="AN15" s="394"/>
      <c r="AO15" s="394"/>
      <c r="AP15" s="394"/>
      <c r="AQ15" s="394"/>
      <c r="AR15" s="394"/>
      <c r="AS15" s="394"/>
      <c r="AT15" s="394"/>
      <c r="AU15" s="394"/>
      <c r="AV15" s="394"/>
      <c r="AW15" s="394"/>
      <c r="AX15" s="394">
        <v>12</v>
      </c>
      <c r="AY15" s="394"/>
      <c r="AZ15" s="394"/>
      <c r="BA15" s="394"/>
      <c r="BB15" s="394"/>
      <c r="BC15" s="394"/>
      <c r="BD15" s="394"/>
      <c r="BE15" s="394"/>
      <c r="BF15" s="394"/>
      <c r="BG15" s="394"/>
      <c r="BH15" s="325">
        <v>11</v>
      </c>
      <c r="BI15" s="394">
        <v>11</v>
      </c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  <c r="BZ15" s="216"/>
      <c r="CA15" s="216"/>
      <c r="CB15" s="216"/>
      <c r="CC15" s="216"/>
      <c r="CD15" s="216"/>
      <c r="CE15" s="216"/>
      <c r="CF15" s="216"/>
      <c r="CG15" s="216"/>
      <c r="CH15" s="216"/>
      <c r="CI15" s="216"/>
      <c r="CJ15" s="216"/>
      <c r="CK15" s="216"/>
      <c r="CL15" s="216"/>
      <c r="CM15" s="216"/>
      <c r="CN15" s="216"/>
      <c r="CO15" s="216"/>
      <c r="CP15" s="216"/>
      <c r="CQ15" s="216"/>
      <c r="CR15" s="216"/>
      <c r="CS15" s="216"/>
      <c r="CT15" s="216"/>
      <c r="CU15" s="216"/>
      <c r="CV15" s="216"/>
      <c r="CW15" s="216"/>
      <c r="CX15" s="216"/>
      <c r="CY15" s="216"/>
      <c r="CZ15" s="216"/>
      <c r="DA15" s="216"/>
      <c r="DB15" s="216"/>
      <c r="DC15" s="216"/>
      <c r="DD15" s="216"/>
      <c r="DE15" s="216"/>
      <c r="DF15" s="216"/>
      <c r="DG15" s="216"/>
      <c r="DH15" s="216"/>
      <c r="DI15" s="216"/>
      <c r="DJ15" s="216"/>
      <c r="DK15" s="216"/>
      <c r="DL15" s="216"/>
      <c r="DM15" s="216"/>
      <c r="DN15" s="216"/>
      <c r="DO15" s="216"/>
      <c r="DP15" s="216"/>
      <c r="DQ15" s="216"/>
      <c r="DR15" s="216"/>
      <c r="DS15" s="216"/>
      <c r="DT15" s="216"/>
      <c r="DU15" s="216"/>
      <c r="DV15" s="216"/>
      <c r="DW15" s="216"/>
      <c r="DX15" s="216"/>
      <c r="DY15" s="216"/>
      <c r="DZ15" s="216"/>
      <c r="EA15" s="216"/>
      <c r="EB15" s="216"/>
      <c r="EC15" s="216"/>
      <c r="ED15" s="216"/>
      <c r="EE15" s="216"/>
      <c r="EF15" s="216"/>
      <c r="EG15" s="216"/>
      <c r="EH15" s="216"/>
      <c r="EI15" s="216"/>
      <c r="EJ15" s="216"/>
      <c r="EK15" s="216"/>
      <c r="EL15" s="216"/>
      <c r="EM15" s="216"/>
      <c r="EN15" s="216"/>
      <c r="EO15" s="216"/>
      <c r="EP15" s="216"/>
      <c r="EQ15" s="216"/>
      <c r="ER15" s="216"/>
    </row>
    <row r="16" spans="1:149" s="365" customFormat="1" ht="24" customHeight="1" x14ac:dyDescent="0.25">
      <c r="A16" s="333"/>
      <c r="B16" s="334" t="s">
        <v>102</v>
      </c>
      <c r="C16" s="334"/>
      <c r="D16" s="408" t="s">
        <v>103</v>
      </c>
      <c r="E16" s="409"/>
      <c r="F16" s="409"/>
      <c r="G16" s="409"/>
      <c r="H16" s="409"/>
      <c r="I16" s="409"/>
      <c r="J16" s="409"/>
      <c r="K16" s="409"/>
      <c r="L16" s="409"/>
      <c r="M16" s="409"/>
      <c r="N16" s="409"/>
      <c r="O16" s="409"/>
      <c r="P16" s="409"/>
      <c r="Q16" s="409"/>
      <c r="R16" s="409"/>
      <c r="S16" s="409"/>
      <c r="T16" s="409"/>
      <c r="U16" s="410"/>
      <c r="V16" s="335"/>
      <c r="W16" s="336"/>
      <c r="X16" s="337"/>
      <c r="Y16" s="338"/>
      <c r="Z16" s="339"/>
      <c r="AA16" s="340"/>
      <c r="AB16" s="341"/>
      <c r="AC16" s="342"/>
      <c r="AD16" s="343"/>
      <c r="AE16" s="344"/>
      <c r="AF16" s="345"/>
      <c r="AG16" s="346"/>
      <c r="AH16" s="347"/>
      <c r="AI16" s="348"/>
      <c r="AJ16" s="349"/>
      <c r="AK16" s="350"/>
      <c r="AL16" s="351"/>
      <c r="AM16" s="352"/>
      <c r="AN16" s="353"/>
      <c r="AO16" s="353"/>
      <c r="AP16" s="354"/>
      <c r="AQ16" s="355"/>
      <c r="AR16" s="356"/>
      <c r="AS16" s="357"/>
      <c r="AT16" s="358"/>
      <c r="AU16" s="334"/>
      <c r="AV16" s="359"/>
      <c r="AW16" s="359"/>
      <c r="AX16" s="357"/>
      <c r="AY16" s="360"/>
      <c r="AZ16" s="347"/>
      <c r="BA16" s="361"/>
      <c r="BB16" s="362"/>
      <c r="BC16" s="362"/>
      <c r="BD16" s="362"/>
      <c r="BE16" s="362"/>
      <c r="BF16" s="362"/>
      <c r="BG16" s="357"/>
      <c r="BH16" s="363"/>
      <c r="BI16" s="364"/>
      <c r="BJ16" s="212"/>
      <c r="BK16" s="215"/>
      <c r="BL16" s="211"/>
      <c r="BM16" s="211"/>
      <c r="BN16" s="377"/>
      <c r="BO16" s="211"/>
      <c r="BP16" s="384"/>
      <c r="BQ16" s="378"/>
      <c r="BR16" s="379"/>
      <c r="BS16" s="380"/>
      <c r="BT16" s="380"/>
      <c r="BU16" s="380"/>
      <c r="BV16" s="379"/>
      <c r="BW16" s="378"/>
      <c r="BX16" s="211"/>
      <c r="BY16" s="211"/>
      <c r="BZ16" s="280"/>
      <c r="CA16" s="280"/>
      <c r="CB16" s="280"/>
      <c r="CC16" s="280"/>
      <c r="CD16" s="280"/>
      <c r="CE16" s="280"/>
      <c r="CF16" s="280"/>
      <c r="CG16" s="280"/>
      <c r="CH16" s="280"/>
      <c r="CI16" s="280"/>
      <c r="CJ16" s="280"/>
      <c r="CK16" s="280"/>
      <c r="CL16" s="280"/>
      <c r="CM16" s="280"/>
      <c r="CN16" s="280"/>
      <c r="CO16" s="280"/>
      <c r="CP16" s="381"/>
      <c r="CQ16" s="379"/>
      <c r="CR16" s="382"/>
      <c r="CS16" s="211"/>
      <c r="CT16" s="212"/>
      <c r="CU16" s="383"/>
      <c r="CV16" s="212"/>
      <c r="CW16" s="212"/>
      <c r="CX16" s="215"/>
      <c r="CY16" s="289"/>
      <c r="CZ16" s="289"/>
      <c r="DA16" s="212"/>
      <c r="DB16" s="288"/>
      <c r="DC16" s="289"/>
      <c r="DD16" s="280"/>
      <c r="DE16" s="280"/>
      <c r="DF16" s="280"/>
      <c r="DG16" s="280"/>
      <c r="DH16" s="280"/>
      <c r="DI16" s="280"/>
      <c r="DJ16" s="280"/>
      <c r="DK16" s="280"/>
      <c r="DL16" s="280"/>
      <c r="DM16" s="280"/>
      <c r="DN16" s="280"/>
      <c r="DO16" s="280"/>
      <c r="DP16" s="280"/>
      <c r="DQ16" s="280"/>
      <c r="DR16" s="280"/>
      <c r="DS16" s="280"/>
      <c r="DT16" s="280"/>
      <c r="DU16" s="280"/>
      <c r="DV16" s="280"/>
      <c r="DW16" s="280"/>
      <c r="DX16" s="280"/>
      <c r="DY16" s="280"/>
      <c r="DZ16" s="280"/>
      <c r="EA16" s="280"/>
      <c r="EB16" s="280"/>
      <c r="EC16" s="280"/>
      <c r="ED16" s="280"/>
      <c r="EE16" s="280"/>
      <c r="EF16" s="280"/>
      <c r="EG16" s="280"/>
      <c r="EH16" s="280"/>
      <c r="EI16" s="280"/>
      <c r="EJ16" s="280"/>
      <c r="EK16" s="280"/>
      <c r="EL16" s="280"/>
      <c r="EM16" s="280"/>
      <c r="EN16" s="280"/>
      <c r="EO16" s="280"/>
      <c r="EP16" s="280"/>
      <c r="EQ16" s="280"/>
      <c r="ER16" s="280"/>
    </row>
    <row r="17" spans="1:148" s="136" customFormat="1" ht="33" customHeight="1" x14ac:dyDescent="0.25">
      <c r="A17" s="147">
        <v>205</v>
      </c>
      <c r="B17" s="140">
        <v>1</v>
      </c>
      <c r="C17" s="140"/>
      <c r="D17" s="462" t="str">
        <f t="shared" ref="D17:D24" si="0">IF(F17="Nam","Ông","Bà")</f>
        <v>Bà</v>
      </c>
      <c r="E17" s="328" t="s">
        <v>117</v>
      </c>
      <c r="F17" s="398" t="s">
        <v>27</v>
      </c>
      <c r="G17" s="148" t="s">
        <v>37</v>
      </c>
      <c r="H17" s="148" t="s">
        <v>9</v>
      </c>
      <c r="I17" s="148" t="s">
        <v>37</v>
      </c>
      <c r="J17" s="149" t="s">
        <v>9</v>
      </c>
      <c r="K17" s="291" t="s">
        <v>118</v>
      </c>
      <c r="L17" s="291"/>
      <c r="M17" s="291"/>
      <c r="N17" s="329" t="e">
        <f>VLOOKUP(M17,'[1]- DLiêu Gốc -'!$B$2:$G$121,2,0)</f>
        <v>#N/A</v>
      </c>
      <c r="O17" s="330" t="s">
        <v>119</v>
      </c>
      <c r="P17" s="279" t="s">
        <v>86</v>
      </c>
      <c r="Q17" s="150" t="str">
        <f>VLOOKUP(V17,'[1]- DLiêu Gốc -'!$B$2:$G$56,5,0)</f>
        <v>A1</v>
      </c>
      <c r="R17" s="150" t="str">
        <f>VLOOKUP(V17,'[1]- DLiêu Gốc -'!$B$2:$G$56,6,0)</f>
        <v>- - -</v>
      </c>
      <c r="S17" s="551" t="s">
        <v>28</v>
      </c>
      <c r="T17" s="399" t="str">
        <f t="shared" ref="T17:T24" si="1">IF(OR(V17="Kỹ thuật viên đánh máy",V17="Nhân viên đánh máy",V17="Nhân viên kỹ thuật",V17="Nhân viên văn thư",V17="Nhân viên phục vụ",V17="Lái xe cơ quan",V17="Nhân viên bảo vệ"),"Nhân viên",V17)</f>
        <v>Giảng viên (hạng III)</v>
      </c>
      <c r="U17" s="151" t="str">
        <f t="shared" ref="U17:U24" si="2">IF(T17="Nhân viên","01.005",W17)</f>
        <v>V.07.01.03</v>
      </c>
      <c r="V17" s="152" t="s">
        <v>29</v>
      </c>
      <c r="W17" s="151" t="str">
        <f>VLOOKUP(V17,'[1]- DLiêu Gốc -'!$B$1:$G$121,2,0)</f>
        <v>V.07.01.03</v>
      </c>
      <c r="X17" s="153" t="str">
        <f t="shared" ref="X17:X24" si="3">IF(OR(AND(AO17=36,AN17=3),AND(AO17=24,AN17=2),AND(AO17=12,AN17=1)),"Đến $",IF(OR(AND(AO17&gt;36,AN17=3),AND(AO17&gt;24,AN17=2),AND(AO17&gt;12,AN17=1)),"Dừng $","Lương"))</f>
        <v>Lương</v>
      </c>
      <c r="Y17" s="154">
        <v>4</v>
      </c>
      <c r="Z17" s="155" t="str">
        <f t="shared" ref="Z17:Z24" si="4">IF(AA17&gt;0,"/")</f>
        <v>/</v>
      </c>
      <c r="AA17" s="156">
        <f t="shared" ref="AA17:AA24" si="5">IF(OR(AS17=0.18,AS17=0.2),12,IF(AS17=0.31,10,IF(AS17=0.33,9,IF(AS17=0.34,8,IF(AS17=0.36,6)))))</f>
        <v>9</v>
      </c>
      <c r="AB17" s="157">
        <f t="shared" ref="AB17:AB24" si="6">AR17+(Y17-1)*AS17</f>
        <v>3.33</v>
      </c>
      <c r="AC17" s="158">
        <f t="shared" ref="AC17:AC24" si="7">Y17+1</f>
        <v>5</v>
      </c>
      <c r="AD17" s="291" t="str">
        <f t="shared" ref="AD17:AD24" si="8">IF(AA17=Y17,"%",IF(AA17&gt;Y17,"/"))</f>
        <v>/</v>
      </c>
      <c r="AE17" s="156">
        <f t="shared" ref="AE17:AE24" si="9">IF(AND(AA17=Y17,AC17=4),5,IF(AND(AA17=Y17,AC17&gt;4),AC17+1,IF(AA17&gt;Y17,AA17)))</f>
        <v>9</v>
      </c>
      <c r="AF17" s="292">
        <f t="shared" ref="AF17:AF24" si="10">IF(AA17=Y17,"%",IF(AA17&gt;Y17,AB17+AS17))</f>
        <v>3.66</v>
      </c>
      <c r="AG17" s="159" t="s">
        <v>8</v>
      </c>
      <c r="AH17" s="160" t="s">
        <v>9</v>
      </c>
      <c r="AI17" s="161">
        <v>8</v>
      </c>
      <c r="AJ17" s="162" t="s">
        <v>9</v>
      </c>
      <c r="AK17" s="163">
        <v>2016</v>
      </c>
      <c r="AL17" s="164"/>
      <c r="AM17" s="165">
        <v>8</v>
      </c>
      <c r="AN17" s="143">
        <f t="shared" ref="AN17:AN24" si="11">IF(AND(AA17&gt;Y17,OR(AS17=0.18,AS17=0.2)),2,IF(AND(AA17&gt;Y17,OR(AS17=0.31,AS17=0.33,AS17=0.34,AS17=0.36)),3,IF(AA17=Y17,1)))</f>
        <v>3</v>
      </c>
      <c r="AO17" s="143">
        <f t="shared" ref="AO17:AO24" si="12">12*($X$2-AK17)+($X$4-AI17)-AP17</f>
        <v>-24200</v>
      </c>
      <c r="AP17" s="137"/>
      <c r="AQ17" s="166"/>
      <c r="AR17" s="145">
        <f>VLOOKUP(V17,'[1]- DLiêu Gốc -'!$B$1:$E$56,3,0)</f>
        <v>2.34</v>
      </c>
      <c r="AS17" s="139">
        <f>VLOOKUP(V17,'[1]- DLiêu Gốc -'!$B$1:$E$56,4,0)</f>
        <v>0.33</v>
      </c>
      <c r="AT17" s="167"/>
      <c r="AU17" s="168" t="str">
        <f t="shared" ref="AU17:AU24" si="13">IF(AND(AV17&gt;3,BG17=12),"Đến %",IF(AND(AV17&gt;3,BG17&gt;12,BG17&lt;120),"Dừng %",IF(AND(AV17&gt;3,BG17&lt;12),"PCTN","o-o-o")))</f>
        <v>PCTN</v>
      </c>
      <c r="AV17" s="169">
        <v>10</v>
      </c>
      <c r="AW17" s="169" t="s">
        <v>31</v>
      </c>
      <c r="AX17" s="139">
        <f t="shared" ref="AX17:AX24" si="14">IF(AV17&gt;3,AV17+1,0)</f>
        <v>11</v>
      </c>
      <c r="AY17" s="170" t="s">
        <v>31</v>
      </c>
      <c r="AZ17" s="293">
        <v>5</v>
      </c>
      <c r="BA17" s="142" t="s">
        <v>9</v>
      </c>
      <c r="BB17" s="142">
        <v>2016</v>
      </c>
      <c r="BC17" s="142"/>
      <c r="BD17" s="142"/>
      <c r="BE17" s="142"/>
      <c r="BF17" s="142">
        <v>5</v>
      </c>
      <c r="BG17" s="144">
        <f t="shared" ref="BG17:BG24" si="15">IF(AV17&gt;3,(($AU$2-BB17)*12+($AU$4-AZ17)-BD17),"- - -")</f>
        <v>-24197</v>
      </c>
      <c r="BH17" s="171" t="str">
        <f t="shared" ref="BH17:BH24" si="16">IF(AND(CH17="Hưu",AV17&gt;3),12-(12*(CN17-BB17)+(CM17-AZ17))-BD17,"- - -")</f>
        <v>- - -</v>
      </c>
      <c r="BI17" s="331" t="str">
        <f t="shared" ref="BI17:BI24" si="17">IF(BL17="công chức","CC",IF(BL17="viên chức","VC",IF(BL17="người lao động","NLĐ","- - -")))</f>
        <v>VC</v>
      </c>
      <c r="BJ17" s="523"/>
      <c r="BK17" s="524"/>
      <c r="BL17" s="525" t="s">
        <v>79</v>
      </c>
      <c r="BM17" s="526" t="str">
        <f t="shared" ref="BM17:BM24" si="18">IF(OR(P17="Ban Tổ chức - Cán bộ",P17="Văn phòng Học viện",P17="Phó Giám đốc Thường trực Học viện",P17="Phó Giám đốc Học viện"),"Chánh Văn phòng Học viện, Trưởng Ban Tổ chức - Cán bộ",IF(OR(P17="Trung tâm Ngoại ngữ",P17="Trung tâm Tin học hành chính và Công nghệ thông tin",P17="Trung tâm Tin học - Thư viện",P17="Phân viện khu vực Tây Nguyên"),"Chánh Văn phòng Học viện, Trưởng Ban Tổ chức - Cán bộ, "&amp;CONCATENATE("Giám đốc ",P17),IF(P17="Tạp chí Quản lý nhà nước","Chánh Văn phòng Học viện, Trưởng Ban Tổ chức - Cán bộ, "&amp;CONCATENATE("Tổng Biên tập ",P17),IF(P17="Văn phòng Đảng uỷ Học viện","Chánh Văn phòng Học viện, Trưởng Ban Tổ chức - Cán bộ, "&amp;CONCATENATE("Chánh",P17),IF(P17="Viện Nghiên cứu Khoa học hành chính","Chánh Văn phòng Học viện, Trưởng Ban Tổ chức - Cán bộ, "&amp;CONCATENATE("Viện Trưởng ",P17),IF(OR(P17="Cơ sở Học viện Hành chính Quốc gia khu vực miền Trung",P17="Cơ sở Học viện Hành chính Quốc gia tại Thành phố Hồ Chí Minh"),"Chánh Văn phòng Học viện, Trưởng Ban Tổ chức - Cán bộ, "&amp;CONCATENATE("Thủ trưởng ",P17),"Chánh Văn phòng Học viện, Trưởng Ban Tổ chức - Cán bộ, "&amp;CONCATENATE("Trưởng ",P17)))))))</f>
        <v>Chánh Văn phòng Học viện, Trưởng Ban Tổ chức - Cán bộ, Trưởng Khoa Nhà nước và Pháp luật</v>
      </c>
      <c r="BN17" s="527" t="str">
        <f t="shared" ref="BN17:BN24" si="19">IF(P17="Cơ sở Học viện Hành chính khu vực miền Trung","B",IF(P17="Phân viện Khu vực Tây Nguyên","C",IF(P17="Cơ sở Học viện Hành chính tại thành phố Hồ Chí Minh","D","A")))</f>
        <v>A</v>
      </c>
      <c r="BO17" s="525" t="str">
        <f t="shared" ref="BO17:BO24" si="20">IF(AND(AC17&gt;0,Y17&lt;(AA17-1),BP17&gt;0,BP17&lt;13,OR(AND(BV17="Cùg Ng",($BO$2-BR17)&gt;AN17),BV17="- - -")),"Sớm TT","=&gt; s")</f>
        <v>=&gt; s</v>
      </c>
      <c r="BP17" s="528">
        <f t="shared" ref="BP17:BP24" si="21">IF(AN17=3,36-(12*($BO$2-AK17)+(12-AI17)-AP17),IF(AN17=2,24-(12*($BO$2-AK17)+(12-AI17)-AP17),"---"))</f>
        <v>24224</v>
      </c>
      <c r="BQ17" s="529" t="str">
        <f t="shared" ref="BQ17:BQ24" si="22">IF(BR17&gt;1,"S","---")</f>
        <v>S</v>
      </c>
      <c r="BR17" s="530">
        <v>2013</v>
      </c>
      <c r="BS17" s="531" t="s">
        <v>120</v>
      </c>
      <c r="BT17" s="531"/>
      <c r="BU17" s="531"/>
      <c r="BV17" s="530" t="str">
        <f t="shared" ref="BV17:BV24" si="23">IF(U17=BS17,"Cùg Ng","- - -")</f>
        <v>Cùg Ng</v>
      </c>
      <c r="BW17" s="529" t="str">
        <f t="shared" ref="BW17:BW24" si="24">IF(BY17&gt;2000,"NN","- - -")</f>
        <v>- - -</v>
      </c>
      <c r="BX17" s="525"/>
      <c r="BY17" s="525"/>
      <c r="BZ17" s="532"/>
      <c r="CA17" s="532"/>
      <c r="CB17" s="532" t="str">
        <f t="shared" ref="CB17:CB24" si="25">IF(CD17&gt;2000,"CN","- - -")</f>
        <v>- - -</v>
      </c>
      <c r="CC17" s="532"/>
      <c r="CD17" s="532"/>
      <c r="CE17" s="532"/>
      <c r="CF17" s="532"/>
      <c r="CG17" s="532" t="str">
        <f t="shared" ref="CG17:CG24" si="26">IF(AND(CH17="Hưu",Y17&lt;(AA17-1),CO17&gt;0,CO17&lt;18,OR(AV17&lt;4,AND(AV17&gt;3,OR(BH17&lt;3,BH17&gt;5)))),"Lg Sớm",IF(AND(CH17="Hưu",Y17&gt;(AA17-2),OR(AS17=0.33,AS17=0.34),OR(AV17&lt;4,AND(AV17&gt;3,OR(BH17&lt;3,BH17&gt;5)))),"Nâng Ngạch",IF(AND(CH17="Hưu",AN17=1,CO17&gt;2,CO17&lt;6,OR(AV17&lt;4,AND(AV17&gt;3,OR(BH17&lt;3,BH17&gt;5)))),"Nâng PcVK cùng QĐ",IF(AND(CH17="Hưu",AV17&gt;3,BH17&gt;2,BH17&lt;6,Y17&lt;(AA17-1),CO17&gt;17,OR(AN17&gt;1,AND(AN17=1,OR(CO17&lt;3,CO17&gt;5)))),"Nâng PcNG cùng QĐ",IF(AND(CH17="Hưu",Y17&lt;(AA17-1),CO17&gt;0,CO17&lt;18,AV17&gt;3,BH17&gt;2,BH17&lt;6),"Nâng Lg Sớm +(PcNG cùng QĐ)",IF(AND(CH17="Hưu",Y17&gt;(AA17-2),OR(AS17=0.33,AS17=0.34),AV17&gt;3,BH17&gt;2,BH17&lt;6),"Nâng Ngạch +(PcNG cùng QĐ)",IF(AND(CH17="Hưu",AN17=1,CO17&gt;2,CO17&lt;6,AV17&gt;3,BH17&gt;2,BH17&lt;6),"Nâng (PcVK +PcNG) cùng QĐ",("---"))))))))</f>
        <v>---</v>
      </c>
      <c r="CH17" s="532" t="str">
        <f t="shared" ref="CH17:CH24" si="27">IF(AND(CS17&gt;CR17,CS17&lt;(CR17+13)),"Hưu",IF(AND(CS17&gt;(CR17+12),CS17&lt;1000),"Quá","/-/ /-/"))</f>
        <v>/-/ /-/</v>
      </c>
      <c r="CI17" s="532">
        <f t="shared" ref="CI17:CI24" si="28">IF((I17+0)&lt;12,(I17+0)+1,IF((I17+0)=12,1,IF((I17+0)&gt;12,(I17+0)-12)))</f>
        <v>11</v>
      </c>
      <c r="CJ17" s="532">
        <f t="shared" ref="CJ17:CJ24" si="29">IF(OR((I17+0)=12,(I17+0)&gt;12),K17+CR17/12+1,IF(AND((I17+0)&gt;0,(I17+0)&lt;12),K17+CR17/12,"---"))</f>
        <v>2033</v>
      </c>
      <c r="CK17" s="532">
        <f t="shared" ref="CK17:CK24" si="30">IF(AND(CI17&gt;3,CI17&lt;13),CI17-3,IF(CI17&lt;4,CI17-3+12))</f>
        <v>8</v>
      </c>
      <c r="CL17" s="532">
        <f t="shared" ref="CL17:CL24" si="31">IF(CK17&lt;CI17,CJ17,IF(CK17&gt;CI17,CJ17-1))</f>
        <v>2033</v>
      </c>
      <c r="CM17" s="532">
        <f t="shared" ref="CM17:CM24" si="32">IF(CI17&gt;6,CI17-6,IF(CI17=6,12,IF(CI17&lt;6,CI17+6)))</f>
        <v>5</v>
      </c>
      <c r="CN17" s="532">
        <f t="shared" ref="CN17:CN24" si="33">IF(CI17&gt;6,CJ17,IF(CI17&lt;7,CJ17-1))</f>
        <v>2033</v>
      </c>
      <c r="CO17" s="532" t="str">
        <f t="shared" ref="CO17:CO24" si="34">IF(AND(CH17="Hưu",AN17=3),36+AP17-(12*(CN17-AK17)+(CM17-AI17)),IF(AND(CH17="Hưu",AN17=2),24+AP17-(12*(CN17-AK17)+(CM17-AI17)),IF(AND(CH17="Hưu",AN17=1),12+AP17-(12*(CN17-AK17)+(CM17-AI17)),"- - -")))</f>
        <v>- - -</v>
      </c>
      <c r="CP17" s="533" t="str">
        <f t="shared" ref="CP17:CP24" si="35">IF(CQ17&gt;0,"K.Dài",". .")</f>
        <v>. .</v>
      </c>
      <c r="CQ17" s="530"/>
      <c r="CR17" s="534">
        <f t="shared" ref="CR17:CR24" si="36">IF(F17="Nam",(60+CQ17)*12,IF(F17="Nữ",(55+CQ17)*12,))</f>
        <v>660</v>
      </c>
      <c r="CS17" s="535">
        <f t="shared" ref="CS17:CS24" si="37">12*($CH$4-K17)+(12-I17)</f>
        <v>-23734</v>
      </c>
      <c r="CT17" s="536">
        <f t="shared" ref="CT17:CT24" si="38">$CX$4-K17</f>
        <v>-1978</v>
      </c>
      <c r="CU17" s="537" t="str">
        <f t="shared" ref="CU17:CU24" si="39">IF(AND(CT17&lt;35,F17="Nam"),"Nam dưới 35",IF(AND(CT17&lt;30,F17="Nữ"),"Nữ dưới 30",IF(AND(CT17&gt;34,CT17&lt;46,F17="Nam"),"Nam từ 35 - 45",IF(AND(CT17&gt;29,CT17&lt;41,F17="Nữ"),"Nữ từ 30 - 40",IF(AND(CT17&gt;45,CT17&lt;56,F17="Nam"),"Nam trên 45 - 55",IF(AND(CT17&gt;40,CT17&lt;51,F17="Nữ"),"Nữ trên 40 - 50",IF(AND(CT17&gt;55,F17="Nam"),"Nam trên 55","Nữ trên 50")))))))</f>
        <v>Nữ dưới 30</v>
      </c>
      <c r="CV17" s="523"/>
      <c r="CW17" s="536"/>
      <c r="CX17" s="538" t="str">
        <f t="shared" ref="CX17:CX24" si="40">IF(CT17&lt;31,"Đến 30",IF(AND(CT17&gt;30,CT17&lt;46),"31 - 45",IF(AND(CT17&gt;45,CT17&lt;70),"Trên 45")))</f>
        <v>Đến 30</v>
      </c>
      <c r="CY17" s="539" t="str">
        <f t="shared" ref="CY17:CY24" si="41">IF(CZ17&gt;0,"TD","--")</f>
        <v>--</v>
      </c>
      <c r="CZ17" s="539"/>
      <c r="DA17" s="523"/>
      <c r="DB17" s="540"/>
      <c r="DC17" s="541"/>
      <c r="DD17" s="532"/>
      <c r="DE17" s="532"/>
      <c r="DF17" s="532"/>
      <c r="DG17" s="532"/>
      <c r="DH17" s="532"/>
      <c r="DI17" s="532" t="s">
        <v>119</v>
      </c>
      <c r="DJ17" s="532" t="s">
        <v>8</v>
      </c>
      <c r="DK17" s="532" t="s">
        <v>9</v>
      </c>
      <c r="DL17" s="532">
        <v>8</v>
      </c>
      <c r="DM17" s="532" t="s">
        <v>9</v>
      </c>
      <c r="DN17" s="532">
        <v>2013</v>
      </c>
      <c r="DO17" s="532">
        <f t="shared" ref="DO17:DO24" si="42">(DJ17+0)-(DQ17+0)</f>
        <v>0</v>
      </c>
      <c r="DP17" s="532" t="str">
        <f t="shared" ref="DP17:DP24" si="43">IF(DO17&gt;0,"Sửa","- - -")</f>
        <v>- - -</v>
      </c>
      <c r="DQ17" s="532" t="s">
        <v>8</v>
      </c>
      <c r="DR17" s="532" t="s">
        <v>9</v>
      </c>
      <c r="DS17" s="532">
        <v>8</v>
      </c>
      <c r="DT17" s="532" t="s">
        <v>9</v>
      </c>
      <c r="DU17" s="532">
        <v>2013</v>
      </c>
      <c r="DV17" s="532"/>
      <c r="DW17" s="532" t="str">
        <f t="shared" ref="DW17:DW24" si="44">IF(AND(AS17&gt;0.34,AC17=1,OR(AR17=6.2,AR17=5.75)),((AR17-DV17)-2*0.34),IF(AND(AS17&gt;0.33,AC17=1,OR(AR17=4.4,AR17=4)),((AR17-DV17)-2*0.33),"- - -"))</f>
        <v>- - -</v>
      </c>
      <c r="DX17" s="532" t="str">
        <f t="shared" ref="DX17:DX24" si="45">IF(CH17="Hưu",12*(CN17-AK17)+(CM17-AI17),"---")</f>
        <v>---</v>
      </c>
      <c r="DY17" s="532"/>
    </row>
    <row r="18" spans="1:148" s="506" customFormat="1" ht="33" customHeight="1" x14ac:dyDescent="0.25">
      <c r="A18" s="463">
        <v>229</v>
      </c>
      <c r="B18" s="464">
        <v>2</v>
      </c>
      <c r="C18" s="464"/>
      <c r="D18" s="465" t="str">
        <f t="shared" si="0"/>
        <v>Bà</v>
      </c>
      <c r="E18" s="466" t="s">
        <v>121</v>
      </c>
      <c r="F18" s="467" t="s">
        <v>27</v>
      </c>
      <c r="G18" s="468" t="s">
        <v>122</v>
      </c>
      <c r="H18" s="468" t="s">
        <v>9</v>
      </c>
      <c r="I18" s="468" t="s">
        <v>81</v>
      </c>
      <c r="J18" s="469" t="s">
        <v>9</v>
      </c>
      <c r="K18" s="470">
        <v>1986</v>
      </c>
      <c r="L18" s="470"/>
      <c r="M18" s="470"/>
      <c r="N18" s="471" t="e">
        <f>VLOOKUP(M18,'[1]- DLiêu Gốc -'!$B$2:$G$121,2,0)</f>
        <v>#N/A</v>
      </c>
      <c r="O18" s="327"/>
      <c r="P18" s="472" t="s">
        <v>123</v>
      </c>
      <c r="Q18" s="473" t="str">
        <f>VLOOKUP(V18,'[1]- DLiêu Gốc -'!$B$2:$G$56,5,0)</f>
        <v>A1</v>
      </c>
      <c r="R18" s="473" t="str">
        <f>VLOOKUP(V18,'[1]- DLiêu Gốc -'!$B$2:$G$56,6,0)</f>
        <v>- - -</v>
      </c>
      <c r="S18" s="551" t="s">
        <v>28</v>
      </c>
      <c r="T18" s="474" t="str">
        <f t="shared" si="1"/>
        <v>Giảng viên (hạng III)</v>
      </c>
      <c r="U18" s="475" t="str">
        <f t="shared" si="2"/>
        <v>V.07.01.03</v>
      </c>
      <c r="V18" s="476" t="s">
        <v>29</v>
      </c>
      <c r="W18" s="475" t="str">
        <f>VLOOKUP(V18,'[1]- DLiêu Gốc -'!$B$1:$G$121,2,0)</f>
        <v>V.07.01.03</v>
      </c>
      <c r="X18" s="477" t="str">
        <f t="shared" si="3"/>
        <v>Lương</v>
      </c>
      <c r="Y18" s="478">
        <v>1</v>
      </c>
      <c r="Z18" s="479" t="str">
        <f t="shared" si="4"/>
        <v>/</v>
      </c>
      <c r="AA18" s="480">
        <f t="shared" si="5"/>
        <v>9</v>
      </c>
      <c r="AB18" s="481">
        <f t="shared" si="6"/>
        <v>2.34</v>
      </c>
      <c r="AC18" s="482">
        <f t="shared" si="7"/>
        <v>2</v>
      </c>
      <c r="AD18" s="470" t="str">
        <f t="shared" si="8"/>
        <v>/</v>
      </c>
      <c r="AE18" s="480">
        <f t="shared" si="9"/>
        <v>9</v>
      </c>
      <c r="AF18" s="483">
        <f t="shared" si="10"/>
        <v>2.67</v>
      </c>
      <c r="AG18" s="484" t="s">
        <v>8</v>
      </c>
      <c r="AH18" s="485"/>
      <c r="AI18" s="486" t="s">
        <v>25</v>
      </c>
      <c r="AJ18" s="162" t="s">
        <v>9</v>
      </c>
      <c r="AK18" s="488">
        <v>2016</v>
      </c>
      <c r="AL18" s="489"/>
      <c r="AM18" s="490">
        <v>8</v>
      </c>
      <c r="AN18" s="491">
        <f t="shared" si="11"/>
        <v>3</v>
      </c>
      <c r="AO18" s="491">
        <f t="shared" si="12"/>
        <v>-24200</v>
      </c>
      <c r="AP18" s="492"/>
      <c r="AQ18" s="493"/>
      <c r="AR18" s="494">
        <f>VLOOKUP(V18,'[1]- DLiêu Gốc -'!$B$1:$E$56,3,0)</f>
        <v>2.34</v>
      </c>
      <c r="AS18" s="495">
        <f>VLOOKUP(V18,'[1]- DLiêu Gốc -'!$B$1:$E$56,4,0)</f>
        <v>0.33</v>
      </c>
      <c r="AT18" s="496"/>
      <c r="AU18" s="497" t="str">
        <f t="shared" si="13"/>
        <v>o-o-o</v>
      </c>
      <c r="AV18" s="498"/>
      <c r="AW18" s="498"/>
      <c r="AX18" s="495">
        <f t="shared" si="14"/>
        <v>0</v>
      </c>
      <c r="AY18" s="499"/>
      <c r="AZ18" s="500"/>
      <c r="BA18" s="501"/>
      <c r="BB18" s="501"/>
      <c r="BC18" s="501"/>
      <c r="BD18" s="501"/>
      <c r="BE18" s="501"/>
      <c r="BF18" s="501"/>
      <c r="BG18" s="502" t="str">
        <f t="shared" si="15"/>
        <v>- - -</v>
      </c>
      <c r="BH18" s="503" t="str">
        <f t="shared" si="16"/>
        <v>- - -</v>
      </c>
      <c r="BI18" s="504" t="str">
        <f t="shared" si="17"/>
        <v>NLĐ</v>
      </c>
      <c r="BJ18" s="214"/>
      <c r="BK18" s="201"/>
      <c r="BL18" s="202" t="s">
        <v>36</v>
      </c>
      <c r="BM18" s="385" t="str">
        <f t="shared" si="18"/>
        <v>Chánh Văn phòng Học viện, Trưởng Ban Tổ chức - Cán bộ, Trưởng Khoa Quản lý nhà nước về Đô thị và Nông thôn</v>
      </c>
      <c r="BN18" s="203" t="str">
        <f t="shared" si="19"/>
        <v>A</v>
      </c>
      <c r="BO18" s="202" t="str">
        <f t="shared" si="20"/>
        <v>=&gt; s</v>
      </c>
      <c r="BP18" s="204">
        <f t="shared" si="21"/>
        <v>24224</v>
      </c>
      <c r="BQ18" s="205" t="str">
        <f t="shared" si="22"/>
        <v>---</v>
      </c>
      <c r="BR18" s="206"/>
      <c r="BS18" s="207"/>
      <c r="BT18" s="207"/>
      <c r="BU18" s="207"/>
      <c r="BV18" s="206" t="str">
        <f t="shared" si="23"/>
        <v>- - -</v>
      </c>
      <c r="BW18" s="205" t="str">
        <f t="shared" si="24"/>
        <v>- - -</v>
      </c>
      <c r="BX18" s="202"/>
      <c r="BY18" s="202"/>
      <c r="BZ18" s="208"/>
      <c r="CA18" s="208"/>
      <c r="CB18" s="208" t="str">
        <f t="shared" si="25"/>
        <v>- - -</v>
      </c>
      <c r="CC18" s="208"/>
      <c r="CD18" s="208"/>
      <c r="CE18" s="208"/>
      <c r="CF18" s="208"/>
      <c r="CG18" s="208" t="str">
        <f t="shared" si="26"/>
        <v>---</v>
      </c>
      <c r="CH18" s="208" t="str">
        <f t="shared" si="27"/>
        <v>/-/ /-/</v>
      </c>
      <c r="CI18" s="208">
        <f t="shared" si="28"/>
        <v>6</v>
      </c>
      <c r="CJ18" s="208">
        <f t="shared" si="29"/>
        <v>2041</v>
      </c>
      <c r="CK18" s="208">
        <f t="shared" si="30"/>
        <v>3</v>
      </c>
      <c r="CL18" s="208">
        <f t="shared" si="31"/>
        <v>2041</v>
      </c>
      <c r="CM18" s="208">
        <f t="shared" si="32"/>
        <v>12</v>
      </c>
      <c r="CN18" s="208">
        <f t="shared" si="33"/>
        <v>2040</v>
      </c>
      <c r="CO18" s="208" t="str">
        <f t="shared" si="34"/>
        <v>- - -</v>
      </c>
      <c r="CP18" s="209" t="str">
        <f t="shared" si="35"/>
        <v>. .</v>
      </c>
      <c r="CQ18" s="206"/>
      <c r="CR18" s="210">
        <f t="shared" si="36"/>
        <v>660</v>
      </c>
      <c r="CS18" s="211">
        <f t="shared" si="37"/>
        <v>-23825</v>
      </c>
      <c r="CT18" s="212">
        <f t="shared" si="38"/>
        <v>-1986</v>
      </c>
      <c r="CU18" s="213" t="str">
        <f t="shared" si="39"/>
        <v>Nữ dưới 30</v>
      </c>
      <c r="CV18" s="214"/>
      <c r="CW18" s="212"/>
      <c r="CX18" s="215" t="str">
        <f t="shared" si="40"/>
        <v>Đến 30</v>
      </c>
      <c r="CY18" s="287" t="str">
        <f t="shared" si="41"/>
        <v>--</v>
      </c>
      <c r="CZ18" s="287"/>
      <c r="DA18" s="214"/>
      <c r="DB18" s="288"/>
      <c r="DC18" s="289"/>
      <c r="DD18" s="208"/>
      <c r="DE18" s="208"/>
      <c r="DF18" s="208"/>
      <c r="DG18" s="208"/>
      <c r="DH18" s="208"/>
      <c r="DI18" s="208"/>
      <c r="DJ18" s="208" t="s">
        <v>124</v>
      </c>
      <c r="DK18" s="208" t="s">
        <v>9</v>
      </c>
      <c r="DL18" s="208" t="s">
        <v>25</v>
      </c>
      <c r="DM18" s="208" t="s">
        <v>9</v>
      </c>
      <c r="DN18" s="208">
        <v>2013</v>
      </c>
      <c r="DO18" s="208">
        <f t="shared" si="42"/>
        <v>14</v>
      </c>
      <c r="DP18" s="208" t="str">
        <f t="shared" si="43"/>
        <v>Sửa</v>
      </c>
      <c r="DQ18" s="208" t="s">
        <v>8</v>
      </c>
      <c r="DR18" s="208" t="s">
        <v>9</v>
      </c>
      <c r="DS18" s="208" t="s">
        <v>25</v>
      </c>
      <c r="DT18" s="208" t="s">
        <v>9</v>
      </c>
      <c r="DU18" s="208">
        <v>2013</v>
      </c>
      <c r="DV18" s="208"/>
      <c r="DW18" s="208" t="str">
        <f t="shared" si="44"/>
        <v>- - -</v>
      </c>
      <c r="DX18" s="208" t="str">
        <f t="shared" si="45"/>
        <v>---</v>
      </c>
      <c r="DY18" s="208"/>
    </row>
    <row r="19" spans="1:148" s="136" customFormat="1" ht="33" customHeight="1" x14ac:dyDescent="0.25">
      <c r="A19" s="147">
        <v>301</v>
      </c>
      <c r="B19" s="140">
        <v>3</v>
      </c>
      <c r="C19" s="140"/>
      <c r="D19" s="462" t="str">
        <f t="shared" si="0"/>
        <v>Ông</v>
      </c>
      <c r="E19" s="328" t="s">
        <v>125</v>
      </c>
      <c r="F19" s="398" t="s">
        <v>32</v>
      </c>
      <c r="G19" s="148" t="s">
        <v>35</v>
      </c>
      <c r="H19" s="148" t="s">
        <v>9</v>
      </c>
      <c r="I19" s="148" t="s">
        <v>33</v>
      </c>
      <c r="J19" s="149" t="s">
        <v>9</v>
      </c>
      <c r="K19" s="291" t="s">
        <v>126</v>
      </c>
      <c r="L19" s="291" t="str">
        <f>IF(AND((N19+0)&gt;0.3,(N19+0)&lt;1.5),"CVụ","- -")</f>
        <v>CVụ</v>
      </c>
      <c r="M19" s="291" t="s">
        <v>127</v>
      </c>
      <c r="N19" s="329" t="str">
        <f>VLOOKUP(M19,'[1]- DLiêu Gốc -'!$B$2:$G$121,2,0)</f>
        <v>0,4</v>
      </c>
      <c r="O19" s="330" t="s">
        <v>111</v>
      </c>
      <c r="P19" s="279" t="s">
        <v>90</v>
      </c>
      <c r="Q19" s="150" t="str">
        <f>VLOOKUP(V19,'[1]- DLiêu Gốc -'!$B$2:$G$56,5,0)</f>
        <v>A1</v>
      </c>
      <c r="R19" s="150" t="str">
        <f>VLOOKUP(V19,'[1]- DLiêu Gốc -'!$B$2:$G$56,6,0)</f>
        <v>- - -</v>
      </c>
      <c r="S19" s="551" t="s">
        <v>28</v>
      </c>
      <c r="T19" s="399" t="str">
        <f t="shared" si="1"/>
        <v>Giảng viên (hạng III)</v>
      </c>
      <c r="U19" s="151" t="str">
        <f t="shared" si="2"/>
        <v>V.07.01.03</v>
      </c>
      <c r="V19" s="152" t="s">
        <v>29</v>
      </c>
      <c r="W19" s="151" t="str">
        <f>VLOOKUP(V19,'[1]- DLiêu Gốc -'!$B$1:$G$121,2,0)</f>
        <v>V.07.01.03</v>
      </c>
      <c r="X19" s="153" t="str">
        <f t="shared" si="3"/>
        <v>Lương</v>
      </c>
      <c r="Y19" s="154">
        <v>6</v>
      </c>
      <c r="Z19" s="155" t="str">
        <f t="shared" si="4"/>
        <v>/</v>
      </c>
      <c r="AA19" s="156">
        <f t="shared" si="5"/>
        <v>9</v>
      </c>
      <c r="AB19" s="157">
        <f t="shared" si="6"/>
        <v>3.99</v>
      </c>
      <c r="AC19" s="158">
        <f t="shared" si="7"/>
        <v>7</v>
      </c>
      <c r="AD19" s="291" t="str">
        <f t="shared" si="8"/>
        <v>/</v>
      </c>
      <c r="AE19" s="156">
        <f t="shared" si="9"/>
        <v>9</v>
      </c>
      <c r="AF19" s="292">
        <f t="shared" si="10"/>
        <v>4.32</v>
      </c>
      <c r="AG19" s="159" t="s">
        <v>8</v>
      </c>
      <c r="AH19" s="160" t="s">
        <v>9</v>
      </c>
      <c r="AI19" s="161" t="s">
        <v>25</v>
      </c>
      <c r="AJ19" s="162" t="s">
        <v>9</v>
      </c>
      <c r="AK19" s="163">
        <v>2016</v>
      </c>
      <c r="AL19" s="164"/>
      <c r="AM19" s="165">
        <v>8</v>
      </c>
      <c r="AN19" s="143">
        <f t="shared" si="11"/>
        <v>3</v>
      </c>
      <c r="AO19" s="143">
        <f t="shared" si="12"/>
        <v>-24200</v>
      </c>
      <c r="AP19" s="137"/>
      <c r="AQ19" s="166"/>
      <c r="AR19" s="145">
        <f>VLOOKUP(V19,'[1]- DLiêu Gốc -'!$B$1:$E$56,3,0)</f>
        <v>2.34</v>
      </c>
      <c r="AS19" s="139">
        <f>VLOOKUP(V19,'[1]- DLiêu Gốc -'!$B$1:$E$56,4,0)</f>
        <v>0.33</v>
      </c>
      <c r="AT19" s="167"/>
      <c r="AU19" s="168" t="str">
        <f t="shared" si="13"/>
        <v>PCTN</v>
      </c>
      <c r="AV19" s="169">
        <v>11</v>
      </c>
      <c r="AW19" s="169" t="s">
        <v>31</v>
      </c>
      <c r="AX19" s="139">
        <f t="shared" si="14"/>
        <v>12</v>
      </c>
      <c r="AY19" s="170" t="s">
        <v>31</v>
      </c>
      <c r="AZ19" s="293">
        <v>8</v>
      </c>
      <c r="BA19" s="142" t="s">
        <v>9</v>
      </c>
      <c r="BB19" s="142">
        <v>2015</v>
      </c>
      <c r="BC19" s="142"/>
      <c r="BD19" s="142"/>
      <c r="BE19" s="142"/>
      <c r="BF19" s="142">
        <v>8</v>
      </c>
      <c r="BG19" s="144">
        <f t="shared" si="15"/>
        <v>-24188</v>
      </c>
      <c r="BH19" s="171" t="str">
        <f t="shared" si="16"/>
        <v>- - -</v>
      </c>
      <c r="BI19" s="331" t="str">
        <f t="shared" si="17"/>
        <v>VC</v>
      </c>
      <c r="BJ19" s="523"/>
      <c r="BK19" s="524"/>
      <c r="BL19" s="525" t="s">
        <v>79</v>
      </c>
      <c r="BM19" s="526" t="str">
        <f t="shared" si="18"/>
        <v>Chánh Văn phòng Học viện, Trưởng Ban Tổ chức - Cán bộ, Trưởng Khoa Quản lý Tài chính công</v>
      </c>
      <c r="BN19" s="527" t="str">
        <f t="shared" si="19"/>
        <v>A</v>
      </c>
      <c r="BO19" s="525" t="str">
        <f t="shared" si="20"/>
        <v>=&gt; s</v>
      </c>
      <c r="BP19" s="528">
        <f t="shared" si="21"/>
        <v>24224</v>
      </c>
      <c r="BQ19" s="529" t="str">
        <f t="shared" si="22"/>
        <v>S</v>
      </c>
      <c r="BR19" s="530">
        <v>2010</v>
      </c>
      <c r="BS19" s="531" t="s">
        <v>120</v>
      </c>
      <c r="BT19" s="531"/>
      <c r="BU19" s="531"/>
      <c r="BV19" s="530" t="str">
        <f t="shared" si="23"/>
        <v>Cùg Ng</v>
      </c>
      <c r="BW19" s="529" t="str">
        <f t="shared" si="24"/>
        <v>- - -</v>
      </c>
      <c r="BX19" s="525"/>
      <c r="BY19" s="525"/>
      <c r="BZ19" s="532"/>
      <c r="CA19" s="532"/>
      <c r="CB19" s="532" t="str">
        <f t="shared" si="25"/>
        <v>- - -</v>
      </c>
      <c r="CC19" s="532"/>
      <c r="CD19" s="532"/>
      <c r="CE19" s="532"/>
      <c r="CF19" s="532"/>
      <c r="CG19" s="532" t="str">
        <f t="shared" si="26"/>
        <v>---</v>
      </c>
      <c r="CH19" s="532" t="str">
        <f t="shared" si="27"/>
        <v>/-/ /-/</v>
      </c>
      <c r="CI19" s="532">
        <f t="shared" si="28"/>
        <v>12</v>
      </c>
      <c r="CJ19" s="532">
        <f t="shared" si="29"/>
        <v>2034</v>
      </c>
      <c r="CK19" s="532">
        <f t="shared" si="30"/>
        <v>9</v>
      </c>
      <c r="CL19" s="532">
        <f t="shared" si="31"/>
        <v>2034</v>
      </c>
      <c r="CM19" s="532">
        <f t="shared" si="32"/>
        <v>6</v>
      </c>
      <c r="CN19" s="532">
        <f t="shared" si="33"/>
        <v>2034</v>
      </c>
      <c r="CO19" s="532" t="str">
        <f t="shared" si="34"/>
        <v>- - -</v>
      </c>
      <c r="CP19" s="533" t="str">
        <f t="shared" si="35"/>
        <v>. .</v>
      </c>
      <c r="CQ19" s="530"/>
      <c r="CR19" s="534">
        <f t="shared" si="36"/>
        <v>720</v>
      </c>
      <c r="CS19" s="535">
        <f t="shared" si="37"/>
        <v>-23687</v>
      </c>
      <c r="CT19" s="536">
        <f t="shared" si="38"/>
        <v>-1974</v>
      </c>
      <c r="CU19" s="537" t="str">
        <f t="shared" si="39"/>
        <v>Nam dưới 35</v>
      </c>
      <c r="CV19" s="523"/>
      <c r="CW19" s="536"/>
      <c r="CX19" s="538" t="str">
        <f t="shared" si="40"/>
        <v>Đến 30</v>
      </c>
      <c r="CY19" s="539" t="str">
        <f t="shared" si="41"/>
        <v>TD</v>
      </c>
      <c r="CZ19" s="539">
        <v>2008</v>
      </c>
      <c r="DA19" s="523"/>
      <c r="DB19" s="540"/>
      <c r="DC19" s="541"/>
      <c r="DD19" s="532"/>
      <c r="DE19" s="532"/>
      <c r="DF19" s="532"/>
      <c r="DG19" s="532"/>
      <c r="DH19" s="532"/>
      <c r="DI19" s="532" t="s">
        <v>111</v>
      </c>
      <c r="DJ19" s="532" t="s">
        <v>8</v>
      </c>
      <c r="DK19" s="532" t="s">
        <v>9</v>
      </c>
      <c r="DL19" s="532" t="s">
        <v>25</v>
      </c>
      <c r="DM19" s="532" t="s">
        <v>9</v>
      </c>
      <c r="DN19" s="532">
        <v>2013</v>
      </c>
      <c r="DO19" s="532">
        <f t="shared" si="42"/>
        <v>0</v>
      </c>
      <c r="DP19" s="532" t="str">
        <f t="shared" si="43"/>
        <v>- - -</v>
      </c>
      <c r="DQ19" s="532" t="s">
        <v>8</v>
      </c>
      <c r="DR19" s="532" t="s">
        <v>9</v>
      </c>
      <c r="DS19" s="532" t="s">
        <v>25</v>
      </c>
      <c r="DT19" s="532" t="s">
        <v>9</v>
      </c>
      <c r="DU19" s="532">
        <v>2013</v>
      </c>
      <c r="DV19" s="532"/>
      <c r="DW19" s="532" t="str">
        <f t="shared" si="44"/>
        <v>- - -</v>
      </c>
      <c r="DX19" s="532" t="str">
        <f t="shared" si="45"/>
        <v>---</v>
      </c>
      <c r="DY19" s="532"/>
    </row>
    <row r="20" spans="1:148" s="506" customFormat="1" ht="33" customHeight="1" x14ac:dyDescent="0.25">
      <c r="A20" s="463">
        <v>399</v>
      </c>
      <c r="B20" s="464">
        <v>4</v>
      </c>
      <c r="C20" s="464"/>
      <c r="D20" s="465" t="str">
        <f t="shared" si="0"/>
        <v>Bà</v>
      </c>
      <c r="E20" s="466" t="s">
        <v>128</v>
      </c>
      <c r="F20" s="467" t="s">
        <v>27</v>
      </c>
      <c r="G20" s="468" t="s">
        <v>106</v>
      </c>
      <c r="H20" s="468" t="s">
        <v>9</v>
      </c>
      <c r="I20" s="468" t="s">
        <v>8</v>
      </c>
      <c r="J20" s="469" t="s">
        <v>9</v>
      </c>
      <c r="K20" s="470">
        <v>1985</v>
      </c>
      <c r="L20" s="470"/>
      <c r="M20" s="470"/>
      <c r="N20" s="471" t="e">
        <f>VLOOKUP(M20,'[1]- DLiêu Gốc -'!$B$2:$G$121,2,0)</f>
        <v>#N/A</v>
      </c>
      <c r="O20" s="327" t="s">
        <v>129</v>
      </c>
      <c r="P20" s="472" t="s">
        <v>130</v>
      </c>
      <c r="Q20" s="473" t="str">
        <f>VLOOKUP(V20,'[1]- DLiêu Gốc -'!$B$2:$G$56,5,0)</f>
        <v>A1</v>
      </c>
      <c r="R20" s="473" t="str">
        <f>VLOOKUP(V20,'[1]- DLiêu Gốc -'!$B$2:$G$56,6,0)</f>
        <v>- - -</v>
      </c>
      <c r="S20" s="551" t="s">
        <v>34</v>
      </c>
      <c r="T20" s="474" t="str">
        <f t="shared" si="1"/>
        <v>Biên tập viên</v>
      </c>
      <c r="U20" s="475" t="str">
        <f t="shared" si="2"/>
        <v>17.141</v>
      </c>
      <c r="V20" s="476" t="s">
        <v>131</v>
      </c>
      <c r="W20" s="475" t="str">
        <f>VLOOKUP(V20,'[1]- DLiêu Gốc -'!$B$1:$G$121,2,0)</f>
        <v>17.141</v>
      </c>
      <c r="X20" s="477" t="str">
        <f t="shared" si="3"/>
        <v>Lương</v>
      </c>
      <c r="Y20" s="478">
        <v>1</v>
      </c>
      <c r="Z20" s="479" t="str">
        <f t="shared" si="4"/>
        <v>/</v>
      </c>
      <c r="AA20" s="480">
        <f t="shared" si="5"/>
        <v>9</v>
      </c>
      <c r="AB20" s="481">
        <f t="shared" si="6"/>
        <v>2.34</v>
      </c>
      <c r="AC20" s="482">
        <f t="shared" si="7"/>
        <v>2</v>
      </c>
      <c r="AD20" s="470" t="str">
        <f t="shared" si="8"/>
        <v>/</v>
      </c>
      <c r="AE20" s="480">
        <f t="shared" si="9"/>
        <v>9</v>
      </c>
      <c r="AF20" s="483">
        <f t="shared" si="10"/>
        <v>2.67</v>
      </c>
      <c r="AG20" s="484" t="s">
        <v>8</v>
      </c>
      <c r="AH20" s="485" t="s">
        <v>9</v>
      </c>
      <c r="AI20" s="486" t="s">
        <v>25</v>
      </c>
      <c r="AJ20" s="487" t="s">
        <v>9</v>
      </c>
      <c r="AK20" s="488">
        <v>2016</v>
      </c>
      <c r="AL20" s="489"/>
      <c r="AM20" s="490">
        <v>8</v>
      </c>
      <c r="AN20" s="491">
        <f t="shared" si="11"/>
        <v>3</v>
      </c>
      <c r="AO20" s="491">
        <f t="shared" si="12"/>
        <v>-24200</v>
      </c>
      <c r="AP20" s="492"/>
      <c r="AQ20" s="493"/>
      <c r="AR20" s="494">
        <f>VLOOKUP(V20,'[1]- DLiêu Gốc -'!$B$1:$E$56,3,0)</f>
        <v>2.34</v>
      </c>
      <c r="AS20" s="495">
        <f>VLOOKUP(V20,'[1]- DLiêu Gốc -'!$B$1:$E$56,4,0)</f>
        <v>0.33</v>
      </c>
      <c r="AT20" s="496"/>
      <c r="AU20" s="497" t="str">
        <f t="shared" si="13"/>
        <v>o-o-o</v>
      </c>
      <c r="AV20" s="498"/>
      <c r="AW20" s="498"/>
      <c r="AX20" s="495">
        <f t="shared" si="14"/>
        <v>0</v>
      </c>
      <c r="AY20" s="499"/>
      <c r="AZ20" s="500"/>
      <c r="BA20" s="501"/>
      <c r="BB20" s="501"/>
      <c r="BC20" s="501"/>
      <c r="BD20" s="501"/>
      <c r="BE20" s="501"/>
      <c r="BF20" s="501"/>
      <c r="BG20" s="502" t="str">
        <f t="shared" si="15"/>
        <v>- - -</v>
      </c>
      <c r="BH20" s="503" t="str">
        <f t="shared" si="16"/>
        <v>- - -</v>
      </c>
      <c r="BI20" s="504" t="str">
        <f t="shared" si="17"/>
        <v>NLĐ</v>
      </c>
      <c r="BJ20" s="214"/>
      <c r="BK20" s="201"/>
      <c r="BL20" s="202" t="s">
        <v>36</v>
      </c>
      <c r="BM20" s="385" t="str">
        <f t="shared" si="18"/>
        <v>Chánh Văn phòng Học viện, Trưởng Ban Tổ chức - Cán bộ, Tổng Biên tập Tạp chí Quản lý nhà nước</v>
      </c>
      <c r="BN20" s="203" t="str">
        <f t="shared" si="19"/>
        <v>A</v>
      </c>
      <c r="BO20" s="202" t="str">
        <f t="shared" si="20"/>
        <v>=&gt; s</v>
      </c>
      <c r="BP20" s="204">
        <f t="shared" si="21"/>
        <v>24224</v>
      </c>
      <c r="BQ20" s="205" t="str">
        <f t="shared" si="22"/>
        <v>---</v>
      </c>
      <c r="BR20" s="206"/>
      <c r="BS20" s="207"/>
      <c r="BT20" s="207"/>
      <c r="BU20" s="207"/>
      <c r="BV20" s="206" t="str">
        <f t="shared" si="23"/>
        <v>- - -</v>
      </c>
      <c r="BW20" s="205" t="str">
        <f t="shared" si="24"/>
        <v>- - -</v>
      </c>
      <c r="BX20" s="202"/>
      <c r="BY20" s="202"/>
      <c r="BZ20" s="208"/>
      <c r="CA20" s="208"/>
      <c r="CB20" s="208" t="str">
        <f t="shared" si="25"/>
        <v>- - -</v>
      </c>
      <c r="CC20" s="208"/>
      <c r="CD20" s="208"/>
      <c r="CE20" s="208"/>
      <c r="CF20" s="208"/>
      <c r="CG20" s="208" t="str">
        <f t="shared" si="26"/>
        <v>---</v>
      </c>
      <c r="CH20" s="208" t="str">
        <f t="shared" si="27"/>
        <v>/-/ /-/</v>
      </c>
      <c r="CI20" s="208">
        <f t="shared" si="28"/>
        <v>2</v>
      </c>
      <c r="CJ20" s="208">
        <f t="shared" si="29"/>
        <v>2040</v>
      </c>
      <c r="CK20" s="208">
        <f t="shared" si="30"/>
        <v>11</v>
      </c>
      <c r="CL20" s="208">
        <f t="shared" si="31"/>
        <v>2039</v>
      </c>
      <c r="CM20" s="208">
        <f t="shared" si="32"/>
        <v>8</v>
      </c>
      <c r="CN20" s="208">
        <f t="shared" si="33"/>
        <v>2039</v>
      </c>
      <c r="CO20" s="208" t="str">
        <f t="shared" si="34"/>
        <v>- - -</v>
      </c>
      <c r="CP20" s="209" t="str">
        <f t="shared" si="35"/>
        <v>. .</v>
      </c>
      <c r="CQ20" s="206"/>
      <c r="CR20" s="210">
        <f t="shared" si="36"/>
        <v>660</v>
      </c>
      <c r="CS20" s="211">
        <f t="shared" si="37"/>
        <v>-23809</v>
      </c>
      <c r="CT20" s="212">
        <f t="shared" si="38"/>
        <v>-1985</v>
      </c>
      <c r="CU20" s="213" t="str">
        <f t="shared" si="39"/>
        <v>Nữ dưới 30</v>
      </c>
      <c r="CV20" s="214"/>
      <c r="CW20" s="212"/>
      <c r="CX20" s="215" t="str">
        <f t="shared" si="40"/>
        <v>Đến 30</v>
      </c>
      <c r="CY20" s="287" t="str">
        <f t="shared" si="41"/>
        <v>--</v>
      </c>
      <c r="CZ20" s="287"/>
      <c r="DA20" s="214"/>
      <c r="DB20" s="288"/>
      <c r="DC20" s="289"/>
      <c r="DD20" s="208"/>
      <c r="DE20" s="208"/>
      <c r="DF20" s="208"/>
      <c r="DG20" s="208"/>
      <c r="DH20" s="208"/>
      <c r="DI20" s="208" t="s">
        <v>129</v>
      </c>
      <c r="DJ20" s="208" t="s">
        <v>8</v>
      </c>
      <c r="DK20" s="208" t="s">
        <v>9</v>
      </c>
      <c r="DL20" s="208" t="s">
        <v>25</v>
      </c>
      <c r="DM20" s="208" t="s">
        <v>9</v>
      </c>
      <c r="DN20" s="208">
        <v>2013</v>
      </c>
      <c r="DO20" s="208">
        <f t="shared" si="42"/>
        <v>0</v>
      </c>
      <c r="DP20" s="208" t="str">
        <f t="shared" si="43"/>
        <v>- - -</v>
      </c>
      <c r="DQ20" s="208" t="s">
        <v>8</v>
      </c>
      <c r="DR20" s="208" t="s">
        <v>9</v>
      </c>
      <c r="DS20" s="208" t="s">
        <v>25</v>
      </c>
      <c r="DT20" s="208" t="s">
        <v>9</v>
      </c>
      <c r="DU20" s="208">
        <v>2013</v>
      </c>
      <c r="DV20" s="208"/>
      <c r="DW20" s="208" t="str">
        <f t="shared" si="44"/>
        <v>- - -</v>
      </c>
      <c r="DX20" s="208" t="str">
        <f t="shared" si="45"/>
        <v>---</v>
      </c>
      <c r="DY20" s="208"/>
    </row>
    <row r="21" spans="1:148" s="506" customFormat="1" ht="21.75" customHeight="1" x14ac:dyDescent="0.25">
      <c r="A21" s="463">
        <v>411</v>
      </c>
      <c r="B21" s="140">
        <v>5</v>
      </c>
      <c r="C21" s="464"/>
      <c r="D21" s="465" t="str">
        <f t="shared" si="0"/>
        <v>Bà</v>
      </c>
      <c r="E21" s="466" t="s">
        <v>132</v>
      </c>
      <c r="F21" s="467" t="s">
        <v>27</v>
      </c>
      <c r="G21" s="468" t="s">
        <v>133</v>
      </c>
      <c r="H21" s="468" t="s">
        <v>9</v>
      </c>
      <c r="I21" s="468" t="s">
        <v>25</v>
      </c>
      <c r="J21" s="469" t="s">
        <v>9</v>
      </c>
      <c r="K21" s="470">
        <v>1984</v>
      </c>
      <c r="L21" s="470"/>
      <c r="M21" s="470"/>
      <c r="N21" s="471" t="e">
        <f>VLOOKUP(M21,'[1]- DLiêu Gốc -'!$B$2:$G$121,2,0)</f>
        <v>#N/A</v>
      </c>
      <c r="O21" s="508"/>
      <c r="P21" s="472" t="s">
        <v>134</v>
      </c>
      <c r="Q21" s="473" t="str">
        <f>VLOOKUP(V21,'[1]- DLiêu Gốc -'!$B$2:$G$56,5,0)</f>
        <v>A1</v>
      </c>
      <c r="R21" s="473" t="str">
        <f>VLOOKUP(V21,'[1]- DLiêu Gốc -'!$B$2:$G$56,6,0)</f>
        <v>- - -</v>
      </c>
      <c r="S21" s="551" t="s">
        <v>34</v>
      </c>
      <c r="T21" s="474" t="str">
        <f t="shared" si="1"/>
        <v>Chuyên viên</v>
      </c>
      <c r="U21" s="475" t="str">
        <f t="shared" si="2"/>
        <v>01.003</v>
      </c>
      <c r="V21" s="476" t="s">
        <v>80</v>
      </c>
      <c r="W21" s="475" t="str">
        <f>VLOOKUP(V21,'[1]- DLiêu Gốc -'!$B$1:$G$121,2,0)</f>
        <v>01.003</v>
      </c>
      <c r="X21" s="477" t="str">
        <f t="shared" si="3"/>
        <v>Lương</v>
      </c>
      <c r="Y21" s="478">
        <v>2</v>
      </c>
      <c r="Z21" s="479" t="str">
        <f t="shared" si="4"/>
        <v>/</v>
      </c>
      <c r="AA21" s="480">
        <f t="shared" si="5"/>
        <v>9</v>
      </c>
      <c r="AB21" s="481">
        <f t="shared" si="6"/>
        <v>2.67</v>
      </c>
      <c r="AC21" s="482">
        <f t="shared" si="7"/>
        <v>3</v>
      </c>
      <c r="AD21" s="470" t="str">
        <f t="shared" si="8"/>
        <v>/</v>
      </c>
      <c r="AE21" s="480">
        <f t="shared" si="9"/>
        <v>9</v>
      </c>
      <c r="AF21" s="483">
        <f t="shared" si="10"/>
        <v>3</v>
      </c>
      <c r="AG21" s="484" t="s">
        <v>8</v>
      </c>
      <c r="AH21" s="485"/>
      <c r="AI21" s="486" t="s">
        <v>25</v>
      </c>
      <c r="AJ21" s="487" t="s">
        <v>9</v>
      </c>
      <c r="AK21" s="488">
        <v>2016</v>
      </c>
      <c r="AL21" s="489"/>
      <c r="AM21" s="490">
        <v>8</v>
      </c>
      <c r="AN21" s="491">
        <f t="shared" si="11"/>
        <v>3</v>
      </c>
      <c r="AO21" s="491">
        <f t="shared" si="12"/>
        <v>-24200</v>
      </c>
      <c r="AP21" s="492"/>
      <c r="AQ21" s="493"/>
      <c r="AR21" s="494">
        <f>VLOOKUP(V21,'[1]- DLiêu Gốc -'!$B$1:$E$56,3,0)</f>
        <v>2.34</v>
      </c>
      <c r="AS21" s="495">
        <f>VLOOKUP(V21,'[1]- DLiêu Gốc -'!$B$1:$E$56,4,0)</f>
        <v>0.33</v>
      </c>
      <c r="AT21" s="496"/>
      <c r="AU21" s="497" t="str">
        <f t="shared" si="13"/>
        <v>o-o-o</v>
      </c>
      <c r="AV21" s="498"/>
      <c r="AW21" s="498"/>
      <c r="AX21" s="495">
        <f t="shared" si="14"/>
        <v>0</v>
      </c>
      <c r="AY21" s="499"/>
      <c r="AZ21" s="500"/>
      <c r="BA21" s="501"/>
      <c r="BB21" s="501"/>
      <c r="BC21" s="501"/>
      <c r="BD21" s="501"/>
      <c r="BE21" s="501"/>
      <c r="BF21" s="501"/>
      <c r="BG21" s="502" t="str">
        <f t="shared" si="15"/>
        <v>- - -</v>
      </c>
      <c r="BH21" s="503" t="str">
        <f t="shared" si="16"/>
        <v>- - -</v>
      </c>
      <c r="BI21" s="504" t="str">
        <f t="shared" si="17"/>
        <v>NLĐ</v>
      </c>
      <c r="BJ21" s="214"/>
      <c r="BK21" s="201"/>
      <c r="BL21" s="202" t="s">
        <v>36</v>
      </c>
      <c r="BM21" s="385" t="str">
        <f t="shared" si="18"/>
        <v>Chánh Văn phòng Học viện, Trưởng Ban Tổ chức - Cán bộ, Giám đốc Trung tâm Ngoại ngữ</v>
      </c>
      <c r="BN21" s="203" t="str">
        <f t="shared" si="19"/>
        <v>A</v>
      </c>
      <c r="BO21" s="202" t="str">
        <f t="shared" si="20"/>
        <v>=&gt; s</v>
      </c>
      <c r="BP21" s="204">
        <f t="shared" si="21"/>
        <v>24224</v>
      </c>
      <c r="BQ21" s="205" t="str">
        <f t="shared" si="22"/>
        <v>---</v>
      </c>
      <c r="BR21" s="206"/>
      <c r="BS21" s="207"/>
      <c r="BT21" s="207"/>
      <c r="BU21" s="207"/>
      <c r="BV21" s="206" t="str">
        <f t="shared" si="23"/>
        <v>- - -</v>
      </c>
      <c r="BW21" s="205" t="str">
        <f t="shared" si="24"/>
        <v>- - -</v>
      </c>
      <c r="BX21" s="202"/>
      <c r="BY21" s="202"/>
      <c r="BZ21" s="208"/>
      <c r="CA21" s="208"/>
      <c r="CB21" s="208" t="str">
        <f t="shared" si="25"/>
        <v>- - -</v>
      </c>
      <c r="CC21" s="208"/>
      <c r="CD21" s="208"/>
      <c r="CE21" s="208"/>
      <c r="CF21" s="208"/>
      <c r="CG21" s="208" t="str">
        <f t="shared" si="26"/>
        <v>---</v>
      </c>
      <c r="CH21" s="208" t="str">
        <f t="shared" si="27"/>
        <v>/-/ /-/</v>
      </c>
      <c r="CI21" s="208">
        <f t="shared" si="28"/>
        <v>9</v>
      </c>
      <c r="CJ21" s="208">
        <f t="shared" si="29"/>
        <v>2039</v>
      </c>
      <c r="CK21" s="208">
        <f t="shared" si="30"/>
        <v>6</v>
      </c>
      <c r="CL21" s="208">
        <f t="shared" si="31"/>
        <v>2039</v>
      </c>
      <c r="CM21" s="208">
        <f t="shared" si="32"/>
        <v>3</v>
      </c>
      <c r="CN21" s="208">
        <f t="shared" si="33"/>
        <v>2039</v>
      </c>
      <c r="CO21" s="208" t="str">
        <f t="shared" si="34"/>
        <v>- - -</v>
      </c>
      <c r="CP21" s="209" t="str">
        <f t="shared" si="35"/>
        <v>. .</v>
      </c>
      <c r="CQ21" s="206"/>
      <c r="CR21" s="210">
        <f t="shared" si="36"/>
        <v>660</v>
      </c>
      <c r="CS21" s="211">
        <f t="shared" si="37"/>
        <v>-23804</v>
      </c>
      <c r="CT21" s="212">
        <f t="shared" si="38"/>
        <v>-1984</v>
      </c>
      <c r="CU21" s="213" t="str">
        <f t="shared" si="39"/>
        <v>Nữ dưới 30</v>
      </c>
      <c r="CV21" s="214"/>
      <c r="CW21" s="212"/>
      <c r="CX21" s="215" t="str">
        <f t="shared" si="40"/>
        <v>Đến 30</v>
      </c>
      <c r="CY21" s="287" t="str">
        <f t="shared" si="41"/>
        <v>--</v>
      </c>
      <c r="CZ21" s="287"/>
      <c r="DA21" s="214"/>
      <c r="DB21" s="288"/>
      <c r="DC21" s="289"/>
      <c r="DD21" s="208"/>
      <c r="DE21" s="208"/>
      <c r="DF21" s="208"/>
      <c r="DG21" s="208"/>
      <c r="DH21" s="208"/>
      <c r="DI21" s="208"/>
      <c r="DJ21" s="208" t="s">
        <v>8</v>
      </c>
      <c r="DK21" s="208" t="s">
        <v>9</v>
      </c>
      <c r="DL21" s="208" t="s">
        <v>25</v>
      </c>
      <c r="DM21" s="208" t="s">
        <v>9</v>
      </c>
      <c r="DN21" s="208">
        <v>2013</v>
      </c>
      <c r="DO21" s="208">
        <f t="shared" si="42"/>
        <v>0</v>
      </c>
      <c r="DP21" s="208" t="str">
        <f t="shared" si="43"/>
        <v>- - -</v>
      </c>
      <c r="DQ21" s="208" t="s">
        <v>8</v>
      </c>
      <c r="DR21" s="208" t="s">
        <v>9</v>
      </c>
      <c r="DS21" s="208" t="s">
        <v>25</v>
      </c>
      <c r="DT21" s="208" t="s">
        <v>9</v>
      </c>
      <c r="DU21" s="208">
        <v>2013</v>
      </c>
      <c r="DV21" s="208"/>
      <c r="DW21" s="208" t="str">
        <f t="shared" si="44"/>
        <v>- - -</v>
      </c>
      <c r="DX21" s="208" t="str">
        <f t="shared" si="45"/>
        <v>---</v>
      </c>
      <c r="DY21" s="208"/>
    </row>
    <row r="22" spans="1:148" s="136" customFormat="1" ht="21.75" customHeight="1" x14ac:dyDescent="0.25">
      <c r="A22" s="147">
        <v>412</v>
      </c>
      <c r="B22" s="464">
        <v>6</v>
      </c>
      <c r="C22" s="140"/>
      <c r="D22" s="462" t="str">
        <f t="shared" si="0"/>
        <v>Bà</v>
      </c>
      <c r="E22" s="328" t="s">
        <v>135</v>
      </c>
      <c r="F22" s="398" t="s">
        <v>27</v>
      </c>
      <c r="G22" s="148" t="s">
        <v>136</v>
      </c>
      <c r="H22" s="148" t="s">
        <v>9</v>
      </c>
      <c r="I22" s="148" t="s">
        <v>85</v>
      </c>
      <c r="J22" s="149" t="s">
        <v>9</v>
      </c>
      <c r="K22" s="291">
        <v>1982</v>
      </c>
      <c r="L22" s="291"/>
      <c r="M22" s="291"/>
      <c r="N22" s="329" t="e">
        <f>VLOOKUP(M22,'[1]- DLiêu Gốc -'!$B$2:$G$121,2,0)</f>
        <v>#N/A</v>
      </c>
      <c r="O22" s="332"/>
      <c r="P22" s="279" t="s">
        <v>134</v>
      </c>
      <c r="Q22" s="150" t="str">
        <f>VLOOKUP(V22,'[1]- DLiêu Gốc -'!$B$2:$G$56,5,0)</f>
        <v>B</v>
      </c>
      <c r="R22" s="150" t="str">
        <f>VLOOKUP(V22,'[1]- DLiêu Gốc -'!$B$2:$G$56,6,0)</f>
        <v>- - -</v>
      </c>
      <c r="S22" s="551" t="s">
        <v>34</v>
      </c>
      <c r="T22" s="399" t="str">
        <f t="shared" si="1"/>
        <v>Cán sự</v>
      </c>
      <c r="U22" s="151" t="str">
        <f t="shared" si="2"/>
        <v>01.004</v>
      </c>
      <c r="V22" s="152" t="s">
        <v>137</v>
      </c>
      <c r="W22" s="151" t="str">
        <f>VLOOKUP(V22,'[1]- DLiêu Gốc -'!$B$1:$G$121,2,0)</f>
        <v>01.004</v>
      </c>
      <c r="X22" s="153" t="str">
        <f t="shared" si="3"/>
        <v>Lương</v>
      </c>
      <c r="Y22" s="154">
        <v>4</v>
      </c>
      <c r="Z22" s="155" t="str">
        <f t="shared" si="4"/>
        <v>/</v>
      </c>
      <c r="AA22" s="156">
        <f t="shared" si="5"/>
        <v>12</v>
      </c>
      <c r="AB22" s="157">
        <f t="shared" si="6"/>
        <v>2.46</v>
      </c>
      <c r="AC22" s="158">
        <f t="shared" si="7"/>
        <v>5</v>
      </c>
      <c r="AD22" s="291" t="str">
        <f t="shared" si="8"/>
        <v>/</v>
      </c>
      <c r="AE22" s="156">
        <f t="shared" si="9"/>
        <v>12</v>
      </c>
      <c r="AF22" s="292">
        <f t="shared" si="10"/>
        <v>2.66</v>
      </c>
      <c r="AG22" s="159" t="s">
        <v>8</v>
      </c>
      <c r="AH22" s="160" t="s">
        <v>9</v>
      </c>
      <c r="AI22" s="161" t="s">
        <v>25</v>
      </c>
      <c r="AJ22" s="162" t="s">
        <v>9</v>
      </c>
      <c r="AK22" s="163">
        <v>2016</v>
      </c>
      <c r="AL22" s="164"/>
      <c r="AM22" s="165">
        <v>8</v>
      </c>
      <c r="AN22" s="143">
        <f t="shared" si="11"/>
        <v>2</v>
      </c>
      <c r="AO22" s="143">
        <f t="shared" si="12"/>
        <v>-24200</v>
      </c>
      <c r="AP22" s="137"/>
      <c r="AQ22" s="166"/>
      <c r="AR22" s="145">
        <f>VLOOKUP(V22,'[1]- DLiêu Gốc -'!$B$1:$E$56,3,0)</f>
        <v>1.86</v>
      </c>
      <c r="AS22" s="139">
        <f>VLOOKUP(V22,'[1]- DLiêu Gốc -'!$B$1:$E$56,4,0)</f>
        <v>0.2</v>
      </c>
      <c r="AT22" s="167"/>
      <c r="AU22" s="168" t="str">
        <f t="shared" si="13"/>
        <v>o-o-o</v>
      </c>
      <c r="AV22" s="169"/>
      <c r="AW22" s="169"/>
      <c r="AX22" s="139">
        <f t="shared" si="14"/>
        <v>0</v>
      </c>
      <c r="AY22" s="170"/>
      <c r="AZ22" s="293"/>
      <c r="BA22" s="142"/>
      <c r="BB22" s="142"/>
      <c r="BC22" s="142"/>
      <c r="BD22" s="142"/>
      <c r="BE22" s="142"/>
      <c r="BF22" s="142"/>
      <c r="BG22" s="144" t="str">
        <f t="shared" si="15"/>
        <v>- - -</v>
      </c>
      <c r="BH22" s="171" t="str">
        <f t="shared" si="16"/>
        <v>- - -</v>
      </c>
      <c r="BI22" s="331" t="str">
        <f t="shared" si="17"/>
        <v>VC</v>
      </c>
      <c r="BJ22" s="523"/>
      <c r="BK22" s="524"/>
      <c r="BL22" s="525" t="s">
        <v>79</v>
      </c>
      <c r="BM22" s="526" t="str">
        <f t="shared" si="18"/>
        <v>Chánh Văn phòng Học viện, Trưởng Ban Tổ chức - Cán bộ, Giám đốc Trung tâm Ngoại ngữ</v>
      </c>
      <c r="BN22" s="527" t="str">
        <f t="shared" si="19"/>
        <v>A</v>
      </c>
      <c r="BO22" s="525" t="str">
        <f t="shared" si="20"/>
        <v>=&gt; s</v>
      </c>
      <c r="BP22" s="528">
        <f t="shared" si="21"/>
        <v>24212</v>
      </c>
      <c r="BQ22" s="529" t="str">
        <f t="shared" si="22"/>
        <v>---</v>
      </c>
      <c r="BR22" s="530"/>
      <c r="BS22" s="531"/>
      <c r="BT22" s="531"/>
      <c r="BU22" s="531"/>
      <c r="BV22" s="530" t="str">
        <f t="shared" si="23"/>
        <v>- - -</v>
      </c>
      <c r="BW22" s="529" t="str">
        <f t="shared" si="24"/>
        <v>- - -</v>
      </c>
      <c r="BX22" s="525"/>
      <c r="BY22" s="525"/>
      <c r="BZ22" s="532"/>
      <c r="CA22" s="532"/>
      <c r="CB22" s="532" t="str">
        <f t="shared" si="25"/>
        <v>- - -</v>
      </c>
      <c r="CC22" s="532"/>
      <c r="CD22" s="532"/>
      <c r="CE22" s="532"/>
      <c r="CF22" s="532"/>
      <c r="CG22" s="532" t="str">
        <f t="shared" si="26"/>
        <v>---</v>
      </c>
      <c r="CH22" s="532" t="str">
        <f t="shared" si="27"/>
        <v>/-/ /-/</v>
      </c>
      <c r="CI22" s="532">
        <f t="shared" si="28"/>
        <v>7</v>
      </c>
      <c r="CJ22" s="532">
        <f t="shared" si="29"/>
        <v>2037</v>
      </c>
      <c r="CK22" s="532">
        <f t="shared" si="30"/>
        <v>4</v>
      </c>
      <c r="CL22" s="532">
        <f t="shared" si="31"/>
        <v>2037</v>
      </c>
      <c r="CM22" s="532">
        <f t="shared" si="32"/>
        <v>1</v>
      </c>
      <c r="CN22" s="532">
        <f t="shared" si="33"/>
        <v>2037</v>
      </c>
      <c r="CO22" s="532" t="str">
        <f t="shared" si="34"/>
        <v>- - -</v>
      </c>
      <c r="CP22" s="533" t="str">
        <f t="shared" si="35"/>
        <v>. .</v>
      </c>
      <c r="CQ22" s="530"/>
      <c r="CR22" s="534">
        <f t="shared" si="36"/>
        <v>660</v>
      </c>
      <c r="CS22" s="535">
        <f t="shared" si="37"/>
        <v>-23778</v>
      </c>
      <c r="CT22" s="536">
        <f t="shared" si="38"/>
        <v>-1982</v>
      </c>
      <c r="CU22" s="537" t="str">
        <f t="shared" si="39"/>
        <v>Nữ dưới 30</v>
      </c>
      <c r="CV22" s="523"/>
      <c r="CW22" s="536"/>
      <c r="CX22" s="538" t="str">
        <f t="shared" si="40"/>
        <v>Đến 30</v>
      </c>
      <c r="CY22" s="539" t="str">
        <f t="shared" si="41"/>
        <v>--</v>
      </c>
      <c r="CZ22" s="539"/>
      <c r="DA22" s="523"/>
      <c r="DB22" s="540"/>
      <c r="DC22" s="541"/>
      <c r="DD22" s="532"/>
      <c r="DE22" s="532"/>
      <c r="DF22" s="532"/>
      <c r="DG22" s="532"/>
      <c r="DH22" s="532"/>
      <c r="DI22" s="532"/>
      <c r="DJ22" s="532" t="s">
        <v>8</v>
      </c>
      <c r="DK22" s="532" t="s">
        <v>9</v>
      </c>
      <c r="DL22" s="532" t="s">
        <v>25</v>
      </c>
      <c r="DM22" s="532" t="s">
        <v>9</v>
      </c>
      <c r="DN22" s="532">
        <v>2012</v>
      </c>
      <c r="DO22" s="532">
        <f t="shared" si="42"/>
        <v>0</v>
      </c>
      <c r="DP22" s="532" t="str">
        <f t="shared" si="43"/>
        <v>- - -</v>
      </c>
      <c r="DQ22" s="532" t="s">
        <v>8</v>
      </c>
      <c r="DR22" s="532" t="s">
        <v>9</v>
      </c>
      <c r="DS22" s="532" t="s">
        <v>25</v>
      </c>
      <c r="DT22" s="532" t="s">
        <v>9</v>
      </c>
      <c r="DU22" s="532">
        <v>2012</v>
      </c>
      <c r="DV22" s="532"/>
      <c r="DW22" s="532" t="str">
        <f t="shared" si="44"/>
        <v>- - -</v>
      </c>
      <c r="DX22" s="532" t="str">
        <f t="shared" si="45"/>
        <v>---</v>
      </c>
      <c r="DY22" s="532"/>
    </row>
    <row r="23" spans="1:148" s="136" customFormat="1" ht="33" customHeight="1" x14ac:dyDescent="0.25">
      <c r="A23" s="147">
        <v>431</v>
      </c>
      <c r="B23" s="140">
        <v>7</v>
      </c>
      <c r="C23" s="140"/>
      <c r="D23" s="462" t="str">
        <f t="shared" si="0"/>
        <v>Bà</v>
      </c>
      <c r="E23" s="466" t="s">
        <v>138</v>
      </c>
      <c r="F23" s="398" t="s">
        <v>27</v>
      </c>
      <c r="G23" s="148" t="s">
        <v>122</v>
      </c>
      <c r="H23" s="148" t="s">
        <v>9</v>
      </c>
      <c r="I23" s="148" t="s">
        <v>30</v>
      </c>
      <c r="J23" s="149" t="s">
        <v>9</v>
      </c>
      <c r="K23" s="291">
        <v>1985</v>
      </c>
      <c r="L23" s="291"/>
      <c r="M23" s="291"/>
      <c r="N23" s="329" t="e">
        <f>VLOOKUP(M23,'[1]- DLiêu Gốc -'!$B$2:$G$121,2,0)</f>
        <v>#N/A</v>
      </c>
      <c r="O23" s="332"/>
      <c r="P23" s="279" t="s">
        <v>87</v>
      </c>
      <c r="Q23" s="150" t="str">
        <f>VLOOKUP(V23,'[1]- DLiêu Gốc -'!$B$2:$G$56,5,0)</f>
        <v>A1</v>
      </c>
      <c r="R23" s="150" t="str">
        <f>VLOOKUP(V23,'[1]- DLiêu Gốc -'!$B$2:$G$56,6,0)</f>
        <v>- - -</v>
      </c>
      <c r="S23" s="551" t="s">
        <v>34</v>
      </c>
      <c r="T23" s="399" t="str">
        <f t="shared" si="1"/>
        <v>Chuyên viên</v>
      </c>
      <c r="U23" s="151" t="str">
        <f t="shared" si="2"/>
        <v>01.003</v>
      </c>
      <c r="V23" s="152" t="s">
        <v>80</v>
      </c>
      <c r="W23" s="151" t="str">
        <f>VLOOKUP(V23,'[1]- DLiêu Gốc -'!$B$1:$G$121,2,0)</f>
        <v>01.003</v>
      </c>
      <c r="X23" s="153" t="str">
        <f t="shared" si="3"/>
        <v>Lương</v>
      </c>
      <c r="Y23" s="154">
        <v>1</v>
      </c>
      <c r="Z23" s="155" t="str">
        <f t="shared" si="4"/>
        <v>/</v>
      </c>
      <c r="AA23" s="156">
        <f t="shared" si="5"/>
        <v>9</v>
      </c>
      <c r="AB23" s="157">
        <f t="shared" si="6"/>
        <v>2.34</v>
      </c>
      <c r="AC23" s="158">
        <f t="shared" si="7"/>
        <v>2</v>
      </c>
      <c r="AD23" s="291" t="str">
        <f t="shared" si="8"/>
        <v>/</v>
      </c>
      <c r="AE23" s="156">
        <f t="shared" si="9"/>
        <v>9</v>
      </c>
      <c r="AF23" s="292">
        <f t="shared" si="10"/>
        <v>2.67</v>
      </c>
      <c r="AG23" s="159" t="s">
        <v>8</v>
      </c>
      <c r="AH23" s="160" t="s">
        <v>9</v>
      </c>
      <c r="AI23" s="161" t="s">
        <v>10</v>
      </c>
      <c r="AJ23" s="162" t="s">
        <v>9</v>
      </c>
      <c r="AK23" s="163">
        <v>2016</v>
      </c>
      <c r="AL23" s="164" t="s">
        <v>139</v>
      </c>
      <c r="AM23" s="165">
        <v>8</v>
      </c>
      <c r="AN23" s="143">
        <f t="shared" si="11"/>
        <v>3</v>
      </c>
      <c r="AO23" s="143">
        <f t="shared" si="12"/>
        <v>-24199</v>
      </c>
      <c r="AP23" s="137"/>
      <c r="AQ23" s="166"/>
      <c r="AR23" s="145">
        <f>VLOOKUP(V23,'[1]- DLiêu Gốc -'!$B$1:$E$56,3,0)</f>
        <v>2.34</v>
      </c>
      <c r="AS23" s="139">
        <f>VLOOKUP(V23,'[1]- DLiêu Gốc -'!$B$1:$E$56,4,0)</f>
        <v>0.33</v>
      </c>
      <c r="AT23" s="167"/>
      <c r="AU23" s="168" t="str">
        <f t="shared" si="13"/>
        <v>o-o-o</v>
      </c>
      <c r="AV23" s="169"/>
      <c r="AW23" s="169"/>
      <c r="AX23" s="139">
        <f t="shared" si="14"/>
        <v>0</v>
      </c>
      <c r="AY23" s="170"/>
      <c r="AZ23" s="293"/>
      <c r="BA23" s="142"/>
      <c r="BB23" s="142"/>
      <c r="BC23" s="142"/>
      <c r="BD23" s="142"/>
      <c r="BE23" s="142"/>
      <c r="BF23" s="142"/>
      <c r="BG23" s="144" t="str">
        <f t="shared" si="15"/>
        <v>- - -</v>
      </c>
      <c r="BH23" s="171" t="str">
        <f t="shared" si="16"/>
        <v>- - -</v>
      </c>
      <c r="BI23" s="331" t="str">
        <f t="shared" si="17"/>
        <v>NLĐ</v>
      </c>
      <c r="BJ23" s="523"/>
      <c r="BK23" s="201"/>
      <c r="BL23" s="525" t="s">
        <v>36</v>
      </c>
      <c r="BM23" s="526" t="str">
        <f t="shared" si="18"/>
        <v>Chánh Văn phòng Học viện, Trưởng Ban Tổ chức - Cán bộ, Giám đốc Trung tâm Tin học - Thư viện</v>
      </c>
      <c r="BN23" s="527" t="str">
        <f t="shared" si="19"/>
        <v>A</v>
      </c>
      <c r="BO23" s="525" t="str">
        <f t="shared" si="20"/>
        <v>=&gt; s</v>
      </c>
      <c r="BP23" s="528">
        <f t="shared" si="21"/>
        <v>24223</v>
      </c>
      <c r="BQ23" s="529" t="str">
        <f t="shared" si="22"/>
        <v>---</v>
      </c>
      <c r="BR23" s="530"/>
      <c r="BS23" s="531"/>
      <c r="BT23" s="531"/>
      <c r="BU23" s="531"/>
      <c r="BV23" s="530" t="str">
        <f t="shared" si="23"/>
        <v>- - -</v>
      </c>
      <c r="BW23" s="529" t="str">
        <f t="shared" si="24"/>
        <v>- - -</v>
      </c>
      <c r="BX23" s="525"/>
      <c r="BY23" s="525"/>
      <c r="BZ23" s="532"/>
      <c r="CA23" s="532"/>
      <c r="CB23" s="532" t="str">
        <f t="shared" si="25"/>
        <v>- - -</v>
      </c>
      <c r="CC23" s="532"/>
      <c r="CD23" s="532"/>
      <c r="CE23" s="532"/>
      <c r="CF23" s="532"/>
      <c r="CG23" s="532" t="str">
        <f t="shared" si="26"/>
        <v>---</v>
      </c>
      <c r="CH23" s="532" t="str">
        <f t="shared" si="27"/>
        <v>/-/ /-/</v>
      </c>
      <c r="CI23" s="532">
        <f t="shared" si="28"/>
        <v>3</v>
      </c>
      <c r="CJ23" s="532">
        <f t="shared" si="29"/>
        <v>2040</v>
      </c>
      <c r="CK23" s="532">
        <f t="shared" si="30"/>
        <v>12</v>
      </c>
      <c r="CL23" s="532">
        <f t="shared" si="31"/>
        <v>2039</v>
      </c>
      <c r="CM23" s="532">
        <f t="shared" si="32"/>
        <v>9</v>
      </c>
      <c r="CN23" s="532">
        <f t="shared" si="33"/>
        <v>2039</v>
      </c>
      <c r="CO23" s="532" t="str">
        <f t="shared" si="34"/>
        <v>- - -</v>
      </c>
      <c r="CP23" s="533" t="str">
        <f t="shared" si="35"/>
        <v>. .</v>
      </c>
      <c r="CQ23" s="530"/>
      <c r="CR23" s="534">
        <f t="shared" si="36"/>
        <v>660</v>
      </c>
      <c r="CS23" s="535">
        <f t="shared" si="37"/>
        <v>-23810</v>
      </c>
      <c r="CT23" s="536">
        <f t="shared" si="38"/>
        <v>-1985</v>
      </c>
      <c r="CU23" s="537" t="str">
        <f t="shared" si="39"/>
        <v>Nữ dưới 30</v>
      </c>
      <c r="CV23" s="523"/>
      <c r="CW23" s="536"/>
      <c r="CX23" s="538" t="str">
        <f t="shared" si="40"/>
        <v>Đến 30</v>
      </c>
      <c r="CY23" s="539" t="str">
        <f t="shared" si="41"/>
        <v>--</v>
      </c>
      <c r="CZ23" s="539"/>
      <c r="DA23" s="523"/>
      <c r="DB23" s="540"/>
      <c r="DC23" s="541"/>
      <c r="DD23" s="532"/>
      <c r="DE23" s="532"/>
      <c r="DF23" s="532"/>
      <c r="DG23" s="532"/>
      <c r="DH23" s="532"/>
      <c r="DI23" s="532"/>
      <c r="DJ23" s="532" t="s">
        <v>8</v>
      </c>
      <c r="DK23" s="532" t="s">
        <v>9</v>
      </c>
      <c r="DL23" s="532" t="s">
        <v>10</v>
      </c>
      <c r="DM23" s="532" t="s">
        <v>9</v>
      </c>
      <c r="DN23" s="532">
        <v>2013</v>
      </c>
      <c r="DO23" s="532">
        <f t="shared" si="42"/>
        <v>0</v>
      </c>
      <c r="DP23" s="532" t="str">
        <f t="shared" si="43"/>
        <v>- - -</v>
      </c>
      <c r="DQ23" s="532" t="s">
        <v>8</v>
      </c>
      <c r="DR23" s="532" t="s">
        <v>9</v>
      </c>
      <c r="DS23" s="532" t="s">
        <v>10</v>
      </c>
      <c r="DT23" s="532" t="s">
        <v>9</v>
      </c>
      <c r="DU23" s="532">
        <v>2013</v>
      </c>
      <c r="DV23" s="532"/>
      <c r="DW23" s="532" t="str">
        <f t="shared" si="44"/>
        <v>- - -</v>
      </c>
      <c r="DX23" s="532" t="str">
        <f t="shared" si="45"/>
        <v>---</v>
      </c>
      <c r="DY23" s="532"/>
    </row>
    <row r="24" spans="1:148" s="136" customFormat="1" ht="33" customHeight="1" x14ac:dyDescent="0.25">
      <c r="A24" s="147">
        <v>480</v>
      </c>
      <c r="B24" s="464">
        <v>8</v>
      </c>
      <c r="C24" s="140"/>
      <c r="D24" s="462" t="str">
        <f t="shared" si="0"/>
        <v>Ông</v>
      </c>
      <c r="E24" s="328" t="s">
        <v>140</v>
      </c>
      <c r="F24" s="398" t="s">
        <v>32</v>
      </c>
      <c r="G24" s="148" t="s">
        <v>136</v>
      </c>
      <c r="H24" s="148" t="s">
        <v>9</v>
      </c>
      <c r="I24" s="148" t="s">
        <v>35</v>
      </c>
      <c r="J24" s="149" t="s">
        <v>9</v>
      </c>
      <c r="K24" s="291">
        <v>1982</v>
      </c>
      <c r="L24" s="291"/>
      <c r="M24" s="291"/>
      <c r="N24" s="329" t="e">
        <f>VLOOKUP(M24,'[1]- DLiêu Gốc -'!$B$2:$G$121,2,0)</f>
        <v>#N/A</v>
      </c>
      <c r="O24" s="332" t="s">
        <v>141</v>
      </c>
      <c r="P24" s="279" t="s">
        <v>94</v>
      </c>
      <c r="Q24" s="150" t="str">
        <f>VLOOKUP(V24,'[1]- DLiêu Gốc -'!$B$2:$G$56,5,0)</f>
        <v>B</v>
      </c>
      <c r="R24" s="150" t="str">
        <f>VLOOKUP(V24,'[1]- DLiêu Gốc -'!$B$2:$G$56,6,0)</f>
        <v>- - -</v>
      </c>
      <c r="S24" s="551" t="s">
        <v>34</v>
      </c>
      <c r="T24" s="399" t="str">
        <f t="shared" si="1"/>
        <v>Cán sự</v>
      </c>
      <c r="U24" s="151" t="str">
        <f t="shared" si="2"/>
        <v>01.004</v>
      </c>
      <c r="V24" s="152" t="s">
        <v>137</v>
      </c>
      <c r="W24" s="151" t="str">
        <f>VLOOKUP(V24,'[1]- DLiêu Gốc -'!$B$1:$G$121,2,0)</f>
        <v>01.004</v>
      </c>
      <c r="X24" s="153" t="str">
        <f t="shared" si="3"/>
        <v>Lương</v>
      </c>
      <c r="Y24" s="154">
        <v>5</v>
      </c>
      <c r="Z24" s="155" t="str">
        <f t="shared" si="4"/>
        <v>/</v>
      </c>
      <c r="AA24" s="156">
        <f t="shared" si="5"/>
        <v>12</v>
      </c>
      <c r="AB24" s="157">
        <f t="shared" si="6"/>
        <v>2.66</v>
      </c>
      <c r="AC24" s="158">
        <f t="shared" si="7"/>
        <v>6</v>
      </c>
      <c r="AD24" s="291" t="str">
        <f t="shared" si="8"/>
        <v>/</v>
      </c>
      <c r="AE24" s="156">
        <f t="shared" si="9"/>
        <v>12</v>
      </c>
      <c r="AF24" s="292">
        <f t="shared" si="10"/>
        <v>2.8600000000000003</v>
      </c>
      <c r="AG24" s="159" t="s">
        <v>8</v>
      </c>
      <c r="AH24" s="160" t="s">
        <v>9</v>
      </c>
      <c r="AI24" s="161" t="s">
        <v>25</v>
      </c>
      <c r="AJ24" s="162" t="s">
        <v>9</v>
      </c>
      <c r="AK24" s="163">
        <v>2016</v>
      </c>
      <c r="AL24" s="164"/>
      <c r="AM24" s="165">
        <v>8</v>
      </c>
      <c r="AN24" s="143">
        <f t="shared" si="11"/>
        <v>2</v>
      </c>
      <c r="AO24" s="143">
        <f t="shared" si="12"/>
        <v>-24200</v>
      </c>
      <c r="AP24" s="137"/>
      <c r="AQ24" s="166"/>
      <c r="AR24" s="145">
        <f>VLOOKUP(V24,'[1]- DLiêu Gốc -'!$B$1:$E$56,3,0)</f>
        <v>1.86</v>
      </c>
      <c r="AS24" s="139">
        <f>VLOOKUP(V24,'[1]- DLiêu Gốc -'!$B$1:$E$56,4,0)</f>
        <v>0.2</v>
      </c>
      <c r="AT24" s="167"/>
      <c r="AU24" s="168" t="str">
        <f t="shared" si="13"/>
        <v>o-o-o</v>
      </c>
      <c r="AV24" s="169"/>
      <c r="AW24" s="169"/>
      <c r="AX24" s="139">
        <f t="shared" si="14"/>
        <v>0</v>
      </c>
      <c r="AY24" s="170"/>
      <c r="AZ24" s="293"/>
      <c r="BA24" s="142"/>
      <c r="BB24" s="142"/>
      <c r="BC24" s="142"/>
      <c r="BD24" s="142"/>
      <c r="BE24" s="142"/>
      <c r="BF24" s="142"/>
      <c r="BG24" s="144" t="str">
        <f t="shared" si="15"/>
        <v>- - -</v>
      </c>
      <c r="BH24" s="171" t="str">
        <f t="shared" si="16"/>
        <v>- - -</v>
      </c>
      <c r="BI24" s="331" t="str">
        <f t="shared" si="17"/>
        <v>NLĐ</v>
      </c>
      <c r="BJ24" s="523"/>
      <c r="BK24" s="524"/>
      <c r="BL24" s="525" t="s">
        <v>36</v>
      </c>
      <c r="BM24" s="526" t="str">
        <f t="shared" si="18"/>
        <v>Chánh Văn phòng Học viện, Trưởng Ban Tổ chức - Cán bộ</v>
      </c>
      <c r="BN24" s="527" t="str">
        <f t="shared" si="19"/>
        <v>A</v>
      </c>
      <c r="BO24" s="525" t="str">
        <f t="shared" si="20"/>
        <v>=&gt; s</v>
      </c>
      <c r="BP24" s="528">
        <f t="shared" si="21"/>
        <v>24212</v>
      </c>
      <c r="BQ24" s="529" t="str">
        <f t="shared" si="22"/>
        <v>---</v>
      </c>
      <c r="BR24" s="530"/>
      <c r="BS24" s="531"/>
      <c r="BT24" s="531"/>
      <c r="BU24" s="531"/>
      <c r="BV24" s="530" t="str">
        <f t="shared" si="23"/>
        <v>- - -</v>
      </c>
      <c r="BW24" s="529" t="str">
        <f t="shared" si="24"/>
        <v>- - -</v>
      </c>
      <c r="BX24" s="525"/>
      <c r="BY24" s="525"/>
      <c r="BZ24" s="532"/>
      <c r="CA24" s="532"/>
      <c r="CB24" s="532" t="str">
        <f t="shared" si="25"/>
        <v>- - -</v>
      </c>
      <c r="CC24" s="532"/>
      <c r="CD24" s="532"/>
      <c r="CE24" s="532"/>
      <c r="CF24" s="532"/>
      <c r="CG24" s="532" t="str">
        <f t="shared" si="26"/>
        <v>---</v>
      </c>
      <c r="CH24" s="532" t="str">
        <f t="shared" si="27"/>
        <v>/-/ /-/</v>
      </c>
      <c r="CI24" s="532">
        <f t="shared" si="28"/>
        <v>1</v>
      </c>
      <c r="CJ24" s="532">
        <f t="shared" si="29"/>
        <v>2043</v>
      </c>
      <c r="CK24" s="532">
        <f t="shared" si="30"/>
        <v>10</v>
      </c>
      <c r="CL24" s="532">
        <f t="shared" si="31"/>
        <v>2042</v>
      </c>
      <c r="CM24" s="532">
        <f t="shared" si="32"/>
        <v>7</v>
      </c>
      <c r="CN24" s="532">
        <f t="shared" si="33"/>
        <v>2042</v>
      </c>
      <c r="CO24" s="532" t="str">
        <f t="shared" si="34"/>
        <v>- - -</v>
      </c>
      <c r="CP24" s="533" t="str">
        <f t="shared" si="35"/>
        <v>. .</v>
      </c>
      <c r="CQ24" s="530"/>
      <c r="CR24" s="534">
        <f t="shared" si="36"/>
        <v>720</v>
      </c>
      <c r="CS24" s="535">
        <f t="shared" si="37"/>
        <v>-23784</v>
      </c>
      <c r="CT24" s="536">
        <f t="shared" si="38"/>
        <v>-1982</v>
      </c>
      <c r="CU24" s="537" t="str">
        <f t="shared" si="39"/>
        <v>Nam dưới 35</v>
      </c>
      <c r="CV24" s="523"/>
      <c r="CW24" s="536"/>
      <c r="CX24" s="538" t="str">
        <f t="shared" si="40"/>
        <v>Đến 30</v>
      </c>
      <c r="CY24" s="539" t="str">
        <f t="shared" si="41"/>
        <v>--</v>
      </c>
      <c r="CZ24" s="539"/>
      <c r="DA24" s="523"/>
      <c r="DB24" s="540"/>
      <c r="DC24" s="541"/>
      <c r="DD24" s="532"/>
      <c r="DE24" s="532"/>
      <c r="DF24" s="532"/>
      <c r="DG24" s="532"/>
      <c r="DH24" s="532"/>
      <c r="DI24" s="532" t="s">
        <v>141</v>
      </c>
      <c r="DJ24" s="532" t="s">
        <v>8</v>
      </c>
      <c r="DK24" s="532" t="s">
        <v>9</v>
      </c>
      <c r="DL24" s="532" t="s">
        <v>25</v>
      </c>
      <c r="DM24" s="532" t="s">
        <v>9</v>
      </c>
      <c r="DN24" s="532">
        <v>2012</v>
      </c>
      <c r="DO24" s="532">
        <f t="shared" si="42"/>
        <v>0</v>
      </c>
      <c r="DP24" s="532" t="str">
        <f t="shared" si="43"/>
        <v>- - -</v>
      </c>
      <c r="DQ24" s="532" t="s">
        <v>8</v>
      </c>
      <c r="DR24" s="532" t="s">
        <v>9</v>
      </c>
      <c r="DS24" s="532" t="s">
        <v>25</v>
      </c>
      <c r="DT24" s="532" t="s">
        <v>9</v>
      </c>
      <c r="DU24" s="532">
        <v>2012</v>
      </c>
      <c r="DV24" s="532"/>
      <c r="DW24" s="532" t="str">
        <f t="shared" si="44"/>
        <v>- - -</v>
      </c>
      <c r="DX24" s="532" t="str">
        <f t="shared" si="45"/>
        <v>---</v>
      </c>
      <c r="DY24" s="532"/>
    </row>
    <row r="25" spans="1:148" s="365" customFormat="1" ht="18.75" customHeight="1" x14ac:dyDescent="0.25">
      <c r="A25" s="333"/>
      <c r="B25" s="334" t="s">
        <v>95</v>
      </c>
      <c r="C25" s="334"/>
      <c r="D25" s="408" t="s">
        <v>96</v>
      </c>
      <c r="E25" s="409"/>
      <c r="F25" s="409"/>
      <c r="G25" s="409"/>
      <c r="H25" s="409"/>
      <c r="I25" s="409"/>
      <c r="J25" s="409"/>
      <c r="K25" s="409"/>
      <c r="L25" s="409"/>
      <c r="M25" s="409"/>
      <c r="N25" s="409"/>
      <c r="O25" s="409"/>
      <c r="P25" s="409"/>
      <c r="Q25" s="409"/>
      <c r="R25" s="409"/>
      <c r="S25" s="409"/>
      <c r="T25" s="409"/>
      <c r="U25" s="410"/>
      <c r="V25" s="335"/>
      <c r="W25" s="336"/>
      <c r="X25" s="337"/>
      <c r="Y25" s="338"/>
      <c r="Z25" s="339"/>
      <c r="AA25" s="340"/>
      <c r="AB25" s="341"/>
      <c r="AC25" s="342"/>
      <c r="AD25" s="343"/>
      <c r="AE25" s="344"/>
      <c r="AF25" s="345"/>
      <c r="AG25" s="346"/>
      <c r="AH25" s="347"/>
      <c r="AI25" s="348"/>
      <c r="AJ25" s="349"/>
      <c r="AK25" s="350"/>
      <c r="AL25" s="351"/>
      <c r="AM25" s="352"/>
      <c r="AN25" s="353"/>
      <c r="AO25" s="353"/>
      <c r="AP25" s="354"/>
      <c r="AQ25" s="355"/>
      <c r="AR25" s="356"/>
      <c r="AS25" s="357"/>
      <c r="AT25" s="358"/>
      <c r="AU25" s="334"/>
      <c r="AV25" s="359"/>
      <c r="AW25" s="359"/>
      <c r="AX25" s="357"/>
      <c r="AY25" s="360"/>
      <c r="AZ25" s="347"/>
      <c r="BA25" s="361"/>
      <c r="BB25" s="362"/>
      <c r="BC25" s="362"/>
      <c r="BD25" s="362"/>
      <c r="BE25" s="362"/>
      <c r="BF25" s="362"/>
      <c r="BG25" s="357"/>
      <c r="BH25" s="363"/>
      <c r="BI25" s="364"/>
      <c r="BJ25" s="510"/>
      <c r="BK25" s="511"/>
      <c r="BL25" s="512"/>
      <c r="BM25" s="512"/>
      <c r="BN25" s="513"/>
      <c r="BO25" s="512"/>
      <c r="BP25" s="542"/>
      <c r="BQ25" s="514"/>
      <c r="BR25" s="515"/>
      <c r="BS25" s="516"/>
      <c r="BT25" s="516"/>
      <c r="BU25" s="516"/>
      <c r="BV25" s="515"/>
      <c r="BW25" s="514"/>
      <c r="BX25" s="512"/>
      <c r="BY25" s="512"/>
      <c r="BZ25" s="522"/>
      <c r="CA25" s="522"/>
      <c r="CB25" s="522"/>
      <c r="CC25" s="522"/>
      <c r="CD25" s="522"/>
      <c r="CE25" s="522"/>
      <c r="CF25" s="522"/>
      <c r="CG25" s="522"/>
      <c r="CH25" s="522"/>
      <c r="CI25" s="522"/>
      <c r="CJ25" s="522"/>
      <c r="CK25" s="522"/>
      <c r="CL25" s="522"/>
      <c r="CM25" s="522"/>
      <c r="CN25" s="522"/>
      <c r="CO25" s="522"/>
      <c r="CP25" s="517"/>
      <c r="CQ25" s="515"/>
      <c r="CR25" s="518"/>
      <c r="CS25" s="512"/>
      <c r="CT25" s="510"/>
      <c r="CU25" s="519"/>
      <c r="CV25" s="510"/>
      <c r="CW25" s="510"/>
      <c r="CX25" s="511"/>
      <c r="CY25" s="520"/>
      <c r="CZ25" s="520"/>
      <c r="DA25" s="510"/>
      <c r="DB25" s="521"/>
      <c r="DC25" s="520"/>
      <c r="DD25" s="522"/>
      <c r="DE25" s="522"/>
      <c r="DF25" s="522"/>
      <c r="DG25" s="522"/>
      <c r="DH25" s="522"/>
      <c r="DI25" s="522"/>
      <c r="DJ25" s="522"/>
      <c r="DK25" s="522"/>
      <c r="DL25" s="522"/>
      <c r="DM25" s="522"/>
      <c r="DN25" s="522"/>
      <c r="DO25" s="522"/>
      <c r="DP25" s="522"/>
      <c r="DQ25" s="522"/>
      <c r="DR25" s="522"/>
      <c r="DS25" s="522"/>
      <c r="DT25" s="522"/>
      <c r="DU25" s="522"/>
      <c r="DV25" s="522"/>
      <c r="DW25" s="522"/>
      <c r="DX25" s="522"/>
      <c r="DY25" s="522"/>
    </row>
    <row r="26" spans="1:148" s="372" customFormat="1" ht="32.25" customHeight="1" x14ac:dyDescent="0.25">
      <c r="A26" s="366">
        <v>325</v>
      </c>
      <c r="B26" s="140">
        <v>1</v>
      </c>
      <c r="C26" s="140"/>
      <c r="D26" s="462" t="str">
        <f>IF(F26="Nam","Ông","Bà")</f>
        <v>Ông</v>
      </c>
      <c r="E26" s="328" t="s">
        <v>142</v>
      </c>
      <c r="F26" s="398" t="s">
        <v>32</v>
      </c>
      <c r="G26" s="148" t="s">
        <v>109</v>
      </c>
      <c r="H26" s="148" t="s">
        <v>9</v>
      </c>
      <c r="I26" s="148" t="s">
        <v>37</v>
      </c>
      <c r="J26" s="149" t="s">
        <v>9</v>
      </c>
      <c r="K26" s="367">
        <v>1951</v>
      </c>
      <c r="L26" s="368" t="str">
        <f>IF(AND((N26+0)&gt;0.3,(N26+0)&lt;1.5),"CVụ","- -")</f>
        <v>CVụ</v>
      </c>
      <c r="M26" s="368" t="s">
        <v>143</v>
      </c>
      <c r="N26" s="369">
        <f>VLOOKUP(M26,'[1]- DLiêu Gốc -'!$B$2:$G$121,2,0)</f>
        <v>1.1000000000000001</v>
      </c>
      <c r="O26" s="509" t="s">
        <v>144</v>
      </c>
      <c r="P26" s="279" t="s">
        <v>145</v>
      </c>
      <c r="Q26" s="150" t="str">
        <f>VLOOKUP(V26,'[1]- DLiêu Gốc -'!$B$2:$G$56,5,0)</f>
        <v>A3</v>
      </c>
      <c r="R26" s="150" t="str">
        <f>VLOOKUP(V26,'[1]- DLiêu Gốc -'!$B$2:$G$56,6,0)</f>
        <v>A3.1</v>
      </c>
      <c r="S26" s="551" t="s">
        <v>28</v>
      </c>
      <c r="T26" s="399" t="str">
        <f>IF(OR(V26="Kỹ thuật viên đánh máy",V26="Nhân viên đánh máy",V26="Nhân viên kỹ thuật",V26="Nhân viên văn thư",V26="Nhân viên phục vụ",V26="Lái xe cơ quan",V26="Nhân viên bảo vệ"),"Nhân viên",V26)</f>
        <v>Giảng viên cao cấp (hạng I)</v>
      </c>
      <c r="U26" s="151" t="str">
        <f>IF(T26="Nhân viên","01.005",W26)</f>
        <v>V.07.01.01</v>
      </c>
      <c r="V26" s="152" t="s">
        <v>74</v>
      </c>
      <c r="W26" s="151" t="str">
        <f>VLOOKUP(V26,'[1]- DLiêu Gốc -'!$B$1:$G$121,2,0)</f>
        <v>V.07.01.01</v>
      </c>
      <c r="X26" s="153" t="str">
        <f>IF(OR(AND(AO26=36,AN26=3),AND(AO26=24,AN26=2),AND(AO26=12,AN26=1)),"Đến $",IF(OR(AND(AO26&gt;36,AN26=3),AND(AO26&gt;24,AN26=2),AND(AO26&gt;12,AN26=1)),"Dừng $","Lương"))</f>
        <v>Lương</v>
      </c>
      <c r="Y26" s="154">
        <v>6</v>
      </c>
      <c r="Z26" s="155" t="str">
        <f>IF(AA26&gt;0,"/")</f>
        <v>/</v>
      </c>
      <c r="AA26" s="156">
        <f>IF(OR(AS26=0.18,AS26=0.2),12,IF(AS26=0.31,10,IF(AS26=0.33,9,IF(AS26=0.34,8,IF(AS26=0.36,6)))))</f>
        <v>6</v>
      </c>
      <c r="AB26" s="157">
        <f>AR26+(Y26-1)*AS26</f>
        <v>8</v>
      </c>
      <c r="AC26" s="158">
        <v>11</v>
      </c>
      <c r="AD26" s="156" t="str">
        <f>IF(AA26=Y26,"%",IF(AA26&gt;Y26,"/"))</f>
        <v>%</v>
      </c>
      <c r="AE26" s="158">
        <f>IF(AND(AA26=Y26,AC26=4),5,IF(AND(AA26=Y26,AC26&gt;4),AC26+1,IF(AA26&gt;Y26,AA26)))</f>
        <v>12</v>
      </c>
      <c r="AF26" s="370" t="str">
        <f>IF(AA26=Y26,"%",IF(AA26&gt;Y26,AB26+AS26))</f>
        <v>%</v>
      </c>
      <c r="AG26" s="159" t="s">
        <v>8</v>
      </c>
      <c r="AH26" s="160" t="s">
        <v>9</v>
      </c>
      <c r="AI26" s="161" t="s">
        <v>25</v>
      </c>
      <c r="AJ26" s="162" t="s">
        <v>9</v>
      </c>
      <c r="AK26" s="163">
        <v>2016</v>
      </c>
      <c r="AL26" s="164"/>
      <c r="AM26" s="165">
        <v>8</v>
      </c>
      <c r="AN26" s="143">
        <f>IF(AND(AA26&gt;Y26,OR(AS26=0.18,AS26=0.2)),2,IF(AND(AA26&gt;Y26,OR(AS26=0.31,AS26=0.33,AS26=0.34,AS26=0.36)),3,IF(AA26=Y26,1)))</f>
        <v>1</v>
      </c>
      <c r="AO26" s="143">
        <f>12*($X$2-AK26)+($X$4-AI26)-AP26</f>
        <v>-24200</v>
      </c>
      <c r="AP26" s="137"/>
      <c r="AQ26" s="166"/>
      <c r="AR26" s="145">
        <f>VLOOKUP(V26,'[1]- DLiêu Gốc -'!$B$1:$E$56,3,0)</f>
        <v>6.2</v>
      </c>
      <c r="AS26" s="139">
        <f>VLOOKUP(V26,'[1]- DLiêu Gốc -'!$B$1:$E$56,4,0)</f>
        <v>0.36</v>
      </c>
      <c r="AT26" s="167"/>
      <c r="AU26" s="168" t="str">
        <f>IF(AND(AV26&gt;3,BG26=12),"Đến %",IF(AND(AV26&gt;3,BG26&gt;12,BG26&lt;120),"Dừng %",IF(AND(AV26&gt;3,BG26&lt;12),"PCTN","o-o-o")))</f>
        <v>PCTN</v>
      </c>
      <c r="AV26" s="169">
        <v>20</v>
      </c>
      <c r="AW26" s="169" t="s">
        <v>31</v>
      </c>
      <c r="AX26" s="139">
        <f>IF(AV26&gt;3,AV26+1,0)</f>
        <v>21</v>
      </c>
      <c r="AY26" s="170" t="s">
        <v>31</v>
      </c>
      <c r="AZ26" s="371">
        <v>12</v>
      </c>
      <c r="BA26" s="282" t="s">
        <v>9</v>
      </c>
      <c r="BB26" s="142">
        <v>2015</v>
      </c>
      <c r="BC26" s="142"/>
      <c r="BD26" s="142"/>
      <c r="BE26" s="142"/>
      <c r="BF26" s="142">
        <v>12</v>
      </c>
      <c r="BG26" s="144">
        <f>IF(AV26&gt;3,(($AU$2-BB26)*12+($AU$4-AZ26)-BD26),"- - -")</f>
        <v>-24192</v>
      </c>
      <c r="BH26" s="171" t="str">
        <f>IF(AND(CH26="Hưu",AV26&gt;3),12-(12*(CN26-BB26)+(CM26-AZ26))-BD26,"- - -")</f>
        <v>- - -</v>
      </c>
      <c r="BI26" s="331" t="str">
        <f>IF(BL26="công chức","CC",IF(BL26="viên chức","VC",IF(BL26="người lao động","NLĐ","- - -")))</f>
        <v>VC</v>
      </c>
      <c r="BJ26" s="543"/>
      <c r="BK26" s="544"/>
      <c r="BL26" s="544" t="s">
        <v>79</v>
      </c>
      <c r="BM26" s="545" t="str">
        <f>IF(OR(P26="Ban Tổ chức - Cán bộ",P26="Văn phòng Học viện",P26="Phó Giám đốc Thường trực Học viện",P26="Phó Giám đốc Học viện"),"Chánh Văn phòng Học viện, Trưởng Ban Tổ chức - Cán bộ",IF(OR(P26="Trung tâm Ngoại ngữ",P26="Trung tâm Tin học hành chính và Công nghệ thông tin",P26="Trung tâm Tin học - Thư viện",P26="Phân viện khu vực Tây Nguyên"),"Chánh Văn phòng Học viện, Trưởng Ban Tổ chức - Cán bộ, "&amp;CONCATENATE("Giám đốc ",P26),IF(P26="Tạp chí Quản lý nhà nước","Chánh Văn phòng Học viện, Trưởng Ban Tổ chức - Cán bộ, "&amp;CONCATENATE("Tổng Biên tập ",P26),IF(P26="Văn phòng Đảng uỷ Học viện","Chánh Văn phòng Học viện, Trưởng Ban Tổ chức - Cán bộ, "&amp;CONCATENATE("Chánh",P26),IF(P26="Viện Nghiên cứu Khoa học hành chính","Chánh Văn phòng Học viện, Trưởng Ban Tổ chức - Cán bộ, "&amp;CONCATENATE("Viện Trưởng ",P26),IF(OR(P26="Cơ sở Học viện Hành chính Quốc gia khu vực miền Trung",P26="Cơ sở Học viện Hành chính Quốc gia tại Thành phố Hồ Chí Minh"),"Chánh Văn phòng Học viện, Trưởng Ban Tổ chức - Cán bộ, "&amp;CONCATENATE("Thủ trưởng ",P26),"Chánh Văn phòng Học viện, Trưởng Ban Tổ chức - Cán bộ, "&amp;CONCATENATE("Trưởng ",P26)))))))</f>
        <v>Chánh Văn phòng Học viện, Trưởng Ban Tổ chức - Cán bộ, Trưởng Khoa Sau đại học</v>
      </c>
      <c r="BN26" s="546" t="str">
        <f>IF(P26="Cơ sở Học viện Hành chính khu vực miền Trung","B",IF(P26="Phân viện Khu vực Tây Nguyên","C",IF(P26="Cơ sở Học viện Hành chính tại thành phố Hồ Chí Minh","D","A")))</f>
        <v>A</v>
      </c>
      <c r="BO26" s="303" t="str">
        <f>IF(AND(AC26&gt;0,Y26&lt;(AA26-1),BP26&gt;0,BP26&lt;13,OR(AND(BV26="Cùg Ng",($BO$2-BR26)&gt;AN26),BV26="- - -")),"Sớm TT","=&gt; s")</f>
        <v>=&gt; s</v>
      </c>
      <c r="BP26" s="547" t="str">
        <f>IF(AN26=3,36-(12*($BO$2-AK26)+(12-AI26)-AP26),IF(AN26=2,24-(12*($BO$2-AK26)+(12-AI26)-AP26),"---"))</f>
        <v>---</v>
      </c>
      <c r="BQ26" s="546" t="str">
        <f>IF(BR26&gt;1,"S","---")</f>
        <v>---</v>
      </c>
      <c r="BR26" s="544"/>
      <c r="BS26" s="544"/>
      <c r="BT26" s="544"/>
      <c r="BU26" s="544"/>
      <c r="BV26" s="546" t="str">
        <f>IF(U26=BS26,"Cùg Ng","- - -")</f>
        <v>- - -</v>
      </c>
      <c r="BW26" s="548" t="str">
        <f>IF(BY26&gt;2000,"NN","- - -")</f>
        <v>- - -</v>
      </c>
      <c r="BX26" s="549"/>
      <c r="BY26" s="303"/>
      <c r="BZ26" s="546"/>
      <c r="CA26" s="546"/>
      <c r="CB26" s="546" t="str">
        <f>IF(CD26&gt;2000,"CN","- - -")</f>
        <v>- - -</v>
      </c>
      <c r="CC26" s="546"/>
      <c r="CD26" s="546"/>
      <c r="CE26" s="546"/>
      <c r="CF26" s="546"/>
      <c r="CG26" s="546" t="str">
        <f>IF(AND(CH26="Hưu",Y26&lt;(AA26-1),CO26&gt;0,CO26&lt;18,OR(AV26&lt;4,AND(AV26&gt;3,OR(BH26&lt;3,BH26&gt;5)))),"Lg Sớm",IF(AND(CH26="Hưu",Y26&gt;(AA26-2),OR(AS26=0.33,AS26=0.34),OR(AV26&lt;4,AND(AV26&gt;3,OR(BH26&lt;3,BH26&gt;5)))),"Nâng Ngạch",IF(AND(CH26="Hưu",AN26=1,CO26&gt;2,CO26&lt;6,OR(AV26&lt;4,AND(AV26&gt;3,OR(BH26&lt;3,BH26&gt;5)))),"Nâng PcVK cùng QĐ",IF(AND(CH26="Hưu",AV26&gt;3,BH26&gt;2,BH26&lt;6,Y26&lt;(AA26-1),CO26&gt;17,OR(AN26&gt;1,AND(AN26=1,OR(CO26&lt;3,CO26&gt;5)))),"Nâng PcNG cùng QĐ",IF(AND(CH26="Hưu",Y26&lt;(AA26-1),CO26&gt;0,CO26&lt;18,AV26&gt;3,BH26&gt;2,BH26&lt;6),"Nâng Lg Sớm +(PcNG cùng QĐ)",IF(AND(CH26="Hưu",Y26&gt;(AA26-2),OR(AS26=0.33,AS26=0.34),AV26&gt;3,BH26&gt;2,BH26&lt;6),"Nâng Ngạch +(PcNG cùng QĐ)",IF(AND(CH26="Hưu",AN26=1,CO26&gt;2,CO26&lt;6,AV26&gt;3,BH26&gt;2,BH26&lt;6),"Nâng (PcVK +PcNG) cùng QĐ",("---"))))))))</f>
        <v>---</v>
      </c>
      <c r="CH26" s="546" t="str">
        <f>IF(AND(CS26&gt;CR26,CS26&lt;(CR26+13)),"Hưu",IF(AND(CS26&gt;(CR26+12),CS26&lt;1000),"Quá","/-/ /-/"))</f>
        <v>/-/ /-/</v>
      </c>
      <c r="CI26" s="546">
        <f>IF((I26+0)&lt;12,(I26+0)+1,IF((I26+0)=12,1,IF((I26+0)&gt;12,(I26+0)-12)))</f>
        <v>11</v>
      </c>
      <c r="CJ26" s="546">
        <f>IF(OR((I26+0)=12,(I26+0)&gt;12),K26+CR26/12+1,IF(AND((I26+0)&gt;0,(I26+0)&lt;12),K26+CR26/12,"---"))</f>
        <v>2021</v>
      </c>
      <c r="CK26" s="546">
        <f>IF(AND(CI26&gt;3,CI26&lt;13),CI26-3,IF(CI26&lt;4,CI26-3+12))</f>
        <v>8</v>
      </c>
      <c r="CL26" s="546">
        <f>IF(CK26&lt;CI26,CJ26,IF(CK26&gt;CI26,CJ26-1))</f>
        <v>2021</v>
      </c>
      <c r="CM26" s="546">
        <f>IF(CI26&gt;6,CI26-6,IF(CI26=6,12,IF(CI26&lt;6,CI26+6)))</f>
        <v>5</v>
      </c>
      <c r="CN26" s="546">
        <f>IF(CI26&gt;6,CJ26,IF(CI26&lt;7,CJ26-1))</f>
        <v>2021</v>
      </c>
      <c r="CO26" s="546" t="str">
        <f>IF(AND(CH26="Hưu",AN26=3),36+AP26-(12*(CN26-AK26)+(CM26-AI26)),IF(AND(CH26="Hưu",AN26=2),24+AP26-(12*(CN26-AK26)+(CM26-AI26)),IF(AND(CH26="Hưu",AN26=1),12+AP26-(12*(CN26-AK26)+(CM26-AI26)),"- - -")))</f>
        <v>- - -</v>
      </c>
      <c r="CP26" s="546" t="str">
        <f>IF(CQ26&gt;0,"K.Dài",". .")</f>
        <v>K.Dài</v>
      </c>
      <c r="CQ26" s="546">
        <v>10</v>
      </c>
      <c r="CR26" s="546">
        <f>IF(F26="Nam",(60+CQ26)*12,IF(F26="Nữ",(55+CQ26)*12,))</f>
        <v>840</v>
      </c>
      <c r="CS26" s="546">
        <f>12*($CH$4-K26)+(12-I26)</f>
        <v>-23410</v>
      </c>
      <c r="CT26" s="546">
        <f>$CX$4-K26</f>
        <v>-1951</v>
      </c>
      <c r="CU26" s="546" t="str">
        <f>IF(AND(CT26&lt;35,F26="Nam"),"Nam dưới 35",IF(AND(CT26&lt;30,F26="Nữ"),"Nữ dưới 30",IF(AND(CT26&gt;34,CT26&lt;46,F26="Nam"),"Nam từ 35 - 45",IF(AND(CT26&gt;29,CT26&lt;41,F26="Nữ"),"Nữ từ 30 - 40",IF(AND(CT26&gt;45,CT26&lt;56,F26="Nam"),"Nam trên 45 - 55",IF(AND(CT26&gt;40,CT26&lt;51,F26="Nữ"),"Nữ trên 40 - 50",IF(AND(CT26&gt;55,F26="Nam"),"Nam trên 55","Nữ trên 50")))))))</f>
        <v>Nam dưới 35</v>
      </c>
      <c r="CV26" s="546"/>
      <c r="CW26" s="546"/>
      <c r="CX26" s="546" t="str">
        <f>IF(CT26&lt;31,"Đến 30",IF(AND(CT26&gt;30,CT26&lt;46),"31 - 45",IF(AND(CT26&gt;45,CT26&lt;70),"Trên 45")))</f>
        <v>Đến 30</v>
      </c>
      <c r="CY26" s="546" t="str">
        <f>IF(CZ26&gt;0,"TD","--")</f>
        <v>--</v>
      </c>
      <c r="CZ26" s="546"/>
      <c r="DA26" s="546"/>
      <c r="DB26" s="546"/>
      <c r="DC26" s="546"/>
      <c r="DD26" s="546" t="s">
        <v>146</v>
      </c>
      <c r="DE26" s="546"/>
      <c r="DF26" s="546"/>
      <c r="DG26" s="546"/>
      <c r="DH26" s="546"/>
      <c r="DI26" s="546" t="s">
        <v>144</v>
      </c>
      <c r="DJ26" s="546" t="s">
        <v>8</v>
      </c>
      <c r="DK26" s="546" t="s">
        <v>9</v>
      </c>
      <c r="DL26" s="546" t="s">
        <v>25</v>
      </c>
      <c r="DM26" s="546" t="s">
        <v>9</v>
      </c>
      <c r="DN26" s="546">
        <v>2013</v>
      </c>
      <c r="DO26" s="546">
        <f>(DJ26+0)-(DQ26+0)</f>
        <v>0</v>
      </c>
      <c r="DP26" s="546" t="str">
        <f>IF(DO26&gt;0,"Sửa","- - -")</f>
        <v>- - -</v>
      </c>
      <c r="DQ26" s="546" t="s">
        <v>8</v>
      </c>
      <c r="DR26" s="546" t="s">
        <v>9</v>
      </c>
      <c r="DS26" s="546" t="s">
        <v>25</v>
      </c>
      <c r="DT26" s="546" t="s">
        <v>9</v>
      </c>
      <c r="DU26" s="546">
        <v>2013</v>
      </c>
      <c r="DV26" s="546"/>
      <c r="DW26" s="546" t="str">
        <f>IF(AND(AS26&gt;0.34,AC26=1,OR(AR26=6.2,AR26=5.75)),((AR26-DV26)-2*0.34),IF(AND(AS26&gt;0.33,AC26=1,OR(AR26=4.4,AR26=4)),((AR26-DV26)-2*0.33),"- - -"))</f>
        <v>- - -</v>
      </c>
      <c r="DX26" s="546" t="str">
        <f>IF(CH26="Hưu",12*(CN26-AK26)+(CM26-AI26),"---")</f>
        <v>---</v>
      </c>
      <c r="DY26" s="546"/>
    </row>
    <row r="27" spans="1:148" s="372" customFormat="1" ht="32.25" customHeight="1" x14ac:dyDescent="0.25">
      <c r="A27" s="366">
        <v>463</v>
      </c>
      <c r="B27" s="140">
        <v>2</v>
      </c>
      <c r="C27" s="140"/>
      <c r="D27" s="462" t="str">
        <f>IF(F27="Nam","Ông","Bà")</f>
        <v>Ông</v>
      </c>
      <c r="E27" s="328" t="s">
        <v>147</v>
      </c>
      <c r="F27" s="398" t="s">
        <v>32</v>
      </c>
      <c r="G27" s="148" t="s">
        <v>104</v>
      </c>
      <c r="H27" s="148" t="s">
        <v>9</v>
      </c>
      <c r="I27" s="148" t="s">
        <v>75</v>
      </c>
      <c r="J27" s="149" t="s">
        <v>9</v>
      </c>
      <c r="K27" s="367" t="s">
        <v>92</v>
      </c>
      <c r="L27" s="368" t="str">
        <f>IF(AND((N27+0)&gt;0.3,(N27+0)&lt;1.5),"CVụ","- -")</f>
        <v>CVụ</v>
      </c>
      <c r="M27" s="368" t="s">
        <v>148</v>
      </c>
      <c r="N27" s="369" t="str">
        <f>VLOOKUP(M27,'[1]- DLiêu Gốc -'!$B$2:$G$121,2,0)</f>
        <v>0,6</v>
      </c>
      <c r="O27" s="400" t="s">
        <v>149</v>
      </c>
      <c r="P27" s="279" t="s">
        <v>94</v>
      </c>
      <c r="Q27" s="150" t="str">
        <f>VLOOKUP(V27,'[1]- DLiêu Gốc -'!$B$2:$G$56,5,0)</f>
        <v>C</v>
      </c>
      <c r="R27" s="150" t="str">
        <f>VLOOKUP(V27,'[1]- DLiêu Gốc -'!$B$2:$G$56,6,0)</f>
        <v>Nhân viên</v>
      </c>
      <c r="S27" s="551" t="s">
        <v>34</v>
      </c>
      <c r="T27" s="399" t="str">
        <f>IF(OR(V27="Kỹ thuật viên đánh máy",V27="Nhân viên đánh máy",V27="Nhân viên kỹ thuật",V27="Nhân viên văn thư",V27="Nhân viên phục vụ",V27="Lái xe cơ quan",V27="Nhân viên bảo vệ"),"Nhân viên",V27)</f>
        <v>Nhân viên</v>
      </c>
      <c r="U27" s="151" t="str">
        <f>IF(T27="Nhân viên","01.005",W27)</f>
        <v>01.005</v>
      </c>
      <c r="V27" s="152" t="s">
        <v>112</v>
      </c>
      <c r="W27" s="151" t="str">
        <f>VLOOKUP(V27,'[1]- DLiêu Gốc -'!$B$1:$G$121,2,0)</f>
        <v>01.010</v>
      </c>
      <c r="X27" s="153" t="str">
        <f>IF(OR(AND(AO27=36,AN27=3),AND(AO27=24,AN27=2),AND(AO27=12,AN27=1)),"Đến $",IF(OR(AND(AO27&gt;36,AN27=3),AND(AO27&gt;24,AN27=2),AND(AO27&gt;12,AN27=1)),"Dừng $","Lương"))</f>
        <v>Lương</v>
      </c>
      <c r="Y27" s="154">
        <v>12</v>
      </c>
      <c r="Z27" s="155" t="str">
        <f>IF(AA27&gt;0,"/")</f>
        <v>/</v>
      </c>
      <c r="AA27" s="156">
        <f>IF(OR(AS27=0.18,AS27=0.2),12,IF(AS27=0.31,10,IF(AS27=0.33,9,IF(AS27=0.34,8,IF(AS27=0.36,6)))))</f>
        <v>12</v>
      </c>
      <c r="AB27" s="157">
        <f>AR27+(Y27-1)*AS27</f>
        <v>4.0299999999999994</v>
      </c>
      <c r="AC27" s="158">
        <v>16</v>
      </c>
      <c r="AD27" s="156" t="str">
        <f>IF(AA27=Y27,"%",IF(AA27&gt;Y27,"/"))</f>
        <v>%</v>
      </c>
      <c r="AE27" s="158">
        <f>IF(AND(AA27=Y27,AC27=4),5,IF(AND(AA27=Y27,AC27&gt;4),AC27+1,IF(AA27&gt;Y27,AA27)))</f>
        <v>17</v>
      </c>
      <c r="AF27" s="370" t="str">
        <f>IF(AA27=Y27,"%",IF(AA27&gt;Y27,AB27+AS27))</f>
        <v>%</v>
      </c>
      <c r="AG27" s="159" t="s">
        <v>8</v>
      </c>
      <c r="AH27" s="160" t="s">
        <v>9</v>
      </c>
      <c r="AI27" s="161" t="s">
        <v>25</v>
      </c>
      <c r="AJ27" s="162" t="s">
        <v>9</v>
      </c>
      <c r="AK27" s="163">
        <v>2016</v>
      </c>
      <c r="AL27" s="164"/>
      <c r="AM27" s="165">
        <v>8</v>
      </c>
      <c r="AN27" s="143">
        <f>IF(AND(AA27&gt;Y27,OR(AS27=0.18,AS27=0.2)),2,IF(AND(AA27&gt;Y27,OR(AS27=0.31,AS27=0.33,AS27=0.34,AS27=0.36)),3,IF(AA27=Y27,1)))</f>
        <v>1</v>
      </c>
      <c r="AO27" s="143">
        <f>12*($X$2-AK27)+($X$4-AI27)-AP27</f>
        <v>-24200</v>
      </c>
      <c r="AP27" s="137"/>
      <c r="AQ27" s="166"/>
      <c r="AR27" s="145">
        <f>VLOOKUP(V27,'[1]- DLiêu Gốc -'!$B$1:$E$56,3,0)</f>
        <v>2.0499999999999998</v>
      </c>
      <c r="AS27" s="139">
        <f>VLOOKUP(V27,'[1]- DLiêu Gốc -'!$B$1:$E$56,4,0)</f>
        <v>0.18</v>
      </c>
      <c r="AT27" s="167"/>
      <c r="AU27" s="168" t="str">
        <f>IF(AND(AV27&gt;3,BG27=12),"Đến %",IF(AND(AV27&gt;3,BG27&gt;12,BG27&lt;120),"Dừng %",IF(AND(AV27&gt;3,BG27&lt;12),"PCTN","o-o-o")))</f>
        <v>o-o-o</v>
      </c>
      <c r="AV27" s="169"/>
      <c r="AW27" s="169"/>
      <c r="AX27" s="139">
        <f>IF(AV27&gt;3,AV27+1,0)</f>
        <v>0</v>
      </c>
      <c r="AY27" s="170"/>
      <c r="AZ27" s="371"/>
      <c r="BA27" s="282"/>
      <c r="BB27" s="142"/>
      <c r="BC27" s="142"/>
      <c r="BD27" s="142"/>
      <c r="BE27" s="142"/>
      <c r="BF27" s="142"/>
      <c r="BG27" s="144" t="str">
        <f>IF(AV27&gt;3,(($AU$2-BB27)*12+($AU$4-AZ27)-BD27),"- - -")</f>
        <v>- - -</v>
      </c>
      <c r="BH27" s="171" t="str">
        <f>IF(AND(CH27="Hưu",AV27&gt;3),12-(12*(CN27-BB27)+(CM27-AZ27))-BD27,"- - -")</f>
        <v>- - -</v>
      </c>
      <c r="BI27" s="331" t="str">
        <f>IF(BL27="công chức","CC",IF(BL27="viên chức","VC",IF(BL27="người lao động","NLĐ","- - -")))</f>
        <v>VC</v>
      </c>
      <c r="BJ27" s="543"/>
      <c r="BK27" s="544"/>
      <c r="BL27" s="544" t="s">
        <v>79</v>
      </c>
      <c r="BM27" s="545" t="str">
        <f>IF(OR(P27="Ban Tổ chức - Cán bộ",P27="Văn phòng Học viện",P27="Phó Giám đốc Thường trực Học viện",P27="Phó Giám đốc Học viện"),"Chánh Văn phòng Học viện, Trưởng Ban Tổ chức - Cán bộ",IF(OR(P27="Trung tâm Ngoại ngữ",P27="Trung tâm Tin học hành chính và Công nghệ thông tin",P27="Trung tâm Tin học - Thư viện",P27="Phân viện khu vực Tây Nguyên"),"Chánh Văn phòng Học viện, Trưởng Ban Tổ chức - Cán bộ, "&amp;CONCATENATE("Giám đốc ",P27),IF(P27="Tạp chí Quản lý nhà nước","Chánh Văn phòng Học viện, Trưởng Ban Tổ chức - Cán bộ, "&amp;CONCATENATE("Tổng Biên tập ",P27),IF(P27="Văn phòng Đảng uỷ Học viện","Chánh Văn phòng Học viện, Trưởng Ban Tổ chức - Cán bộ, "&amp;CONCATENATE("Chánh",P27),IF(P27="Viện Nghiên cứu Khoa học hành chính","Chánh Văn phòng Học viện, Trưởng Ban Tổ chức - Cán bộ, "&amp;CONCATENATE("Viện Trưởng ",P27),IF(OR(P27="Cơ sở Học viện Hành chính Quốc gia khu vực miền Trung",P27="Cơ sở Học viện Hành chính Quốc gia tại Thành phố Hồ Chí Minh"),"Chánh Văn phòng Học viện, Trưởng Ban Tổ chức - Cán bộ, "&amp;CONCATENATE("Thủ trưởng ",P27),"Chánh Văn phòng Học viện, Trưởng Ban Tổ chức - Cán bộ, "&amp;CONCATENATE("Trưởng ",P27)))))))</f>
        <v>Chánh Văn phòng Học viện, Trưởng Ban Tổ chức - Cán bộ</v>
      </c>
      <c r="BN27" s="546" t="str">
        <f>IF(P27="Cơ sở Học viện Hành chính khu vực miền Trung","B",IF(P27="Phân viện Khu vực Tây Nguyên","C",IF(P27="Cơ sở Học viện Hành chính tại thành phố Hồ Chí Minh","D","A")))</f>
        <v>A</v>
      </c>
      <c r="BO27" s="303" t="str">
        <f>IF(AND(AC27&gt;0,Y27&lt;(AA27-1),BP27&gt;0,BP27&lt;13,OR(AND(BV27="Cùg Ng",($BO$2-BR27)&gt;AN27),BV27="- - -")),"Sớm TT","=&gt; s")</f>
        <v>=&gt; s</v>
      </c>
      <c r="BP27" s="547" t="str">
        <f>IF(AN27=3,36-(12*($BO$2-AK27)+(12-AI27)-AP27),IF(AN27=2,24-(12*($BO$2-AK27)+(12-AI27)-AP27),"---"))</f>
        <v>---</v>
      </c>
      <c r="BQ27" s="546" t="str">
        <f>IF(BR27&gt;1,"S","---")</f>
        <v>---</v>
      </c>
      <c r="BR27" s="544"/>
      <c r="BS27" s="544"/>
      <c r="BT27" s="544"/>
      <c r="BU27" s="544"/>
      <c r="BV27" s="546" t="str">
        <f>IF(U27=BS27,"Cùg Ng","- - -")</f>
        <v>- - -</v>
      </c>
      <c r="BW27" s="548" t="str">
        <f>IF(BY27&gt;2000,"NN","- - -")</f>
        <v>- - -</v>
      </c>
      <c r="BX27" s="549"/>
      <c r="BY27" s="303"/>
      <c r="BZ27" s="546"/>
      <c r="CA27" s="546"/>
      <c r="CB27" s="546" t="str">
        <f>IF(CD27&gt;2000,"CN","- - -")</f>
        <v>- - -</v>
      </c>
      <c r="CC27" s="546"/>
      <c r="CD27" s="546"/>
      <c r="CE27" s="546"/>
      <c r="CF27" s="546"/>
      <c r="CG27" s="546" t="str">
        <f>IF(AND(CH27="Hưu",Y27&lt;(AA27-1),CO27&gt;0,CO27&lt;18,OR(AV27&lt;4,AND(AV27&gt;3,OR(BH27&lt;3,BH27&gt;5)))),"Lg Sớm",IF(AND(CH27="Hưu",Y27&gt;(AA27-2),OR(AS27=0.33,AS27=0.34),OR(AV27&lt;4,AND(AV27&gt;3,OR(BH27&lt;3,BH27&gt;5)))),"Nâng Ngạch",IF(AND(CH27="Hưu",AN27=1,CO27&gt;2,CO27&lt;6,OR(AV27&lt;4,AND(AV27&gt;3,OR(BH27&lt;3,BH27&gt;5)))),"Nâng PcVK cùng QĐ",IF(AND(CH27="Hưu",AV27&gt;3,BH27&gt;2,BH27&lt;6,Y27&lt;(AA27-1),CO27&gt;17,OR(AN27&gt;1,AND(AN27=1,OR(CO27&lt;3,CO27&gt;5)))),"Nâng PcNG cùng QĐ",IF(AND(CH27="Hưu",Y27&lt;(AA27-1),CO27&gt;0,CO27&lt;18,AV27&gt;3,BH27&gt;2,BH27&lt;6),"Nâng Lg Sớm +(PcNG cùng QĐ)",IF(AND(CH27="Hưu",Y27&gt;(AA27-2),OR(AS27=0.33,AS27=0.34),AV27&gt;3,BH27&gt;2,BH27&lt;6),"Nâng Ngạch +(PcNG cùng QĐ)",IF(AND(CH27="Hưu",AN27=1,CO27&gt;2,CO27&lt;6,AV27&gt;3,BH27&gt;2,BH27&lt;6),"Nâng (PcVK +PcNG) cùng QĐ",("---"))))))))</f>
        <v>---</v>
      </c>
      <c r="CH27" s="546" t="str">
        <f>IF(AND(CS27&gt;CR27,CS27&lt;(CR27+13)),"Hưu",IF(AND(CS27&gt;(CR27+12),CS27&lt;1000),"Quá","/-/ /-/"))</f>
        <v>/-/ /-/</v>
      </c>
      <c r="CI27" s="546">
        <f>IF((I27+0)&lt;12,(I27+0)+1,IF((I27+0)=12,1,IF((I27+0)&gt;12,(I27+0)-12)))</f>
        <v>4</v>
      </c>
      <c r="CJ27" s="546">
        <f>IF(OR((I27+0)=12,(I27+0)&gt;12),K27+CR27/12+1,IF(AND((I27+0)&gt;0,(I27+0)&lt;12),K27+CR27/12,"---"))</f>
        <v>2022</v>
      </c>
      <c r="CK27" s="546">
        <f>IF(AND(CI27&gt;3,CI27&lt;13),CI27-3,IF(CI27&lt;4,CI27-3+12))</f>
        <v>1</v>
      </c>
      <c r="CL27" s="546">
        <f>IF(CK27&lt;CI27,CJ27,IF(CK27&gt;CI27,CJ27-1))</f>
        <v>2022</v>
      </c>
      <c r="CM27" s="546">
        <f>IF(CI27&gt;6,CI27-6,IF(CI27=6,12,IF(CI27&lt;6,CI27+6)))</f>
        <v>10</v>
      </c>
      <c r="CN27" s="546">
        <f>IF(CI27&gt;6,CJ27,IF(CI27&lt;7,CJ27-1))</f>
        <v>2021</v>
      </c>
      <c r="CO27" s="546" t="str">
        <f>IF(AND(CH27="Hưu",AN27=3),36+AP27-(12*(CN27-AK27)+(CM27-AI27)),IF(AND(CH27="Hưu",AN27=2),24+AP27-(12*(CN27-AK27)+(CM27-AI27)),IF(AND(CH27="Hưu",AN27=1),12+AP27-(12*(CN27-AK27)+(CM27-AI27)),"- - -")))</f>
        <v>- - -</v>
      </c>
      <c r="CP27" s="546" t="str">
        <f>IF(CQ27&gt;0,"K.Dài",". .")</f>
        <v>. .</v>
      </c>
      <c r="CQ27" s="546"/>
      <c r="CR27" s="546">
        <f>IF(F27="Nam",(60+CQ27)*12,IF(F27="Nữ",(55+CQ27)*12,))</f>
        <v>720</v>
      </c>
      <c r="CS27" s="546">
        <f>12*($CH$4-K27)+(12-I27)</f>
        <v>-23535</v>
      </c>
      <c r="CT27" s="546">
        <f>$CX$4-K27</f>
        <v>-1962</v>
      </c>
      <c r="CU27" s="546" t="str">
        <f>IF(AND(CT27&lt;35,F27="Nam"),"Nam dưới 35",IF(AND(CT27&lt;30,F27="Nữ"),"Nữ dưới 30",IF(AND(CT27&gt;34,CT27&lt;46,F27="Nam"),"Nam từ 35 - 45",IF(AND(CT27&gt;29,CT27&lt;41,F27="Nữ"),"Nữ từ 30 - 40",IF(AND(CT27&gt;45,CT27&lt;56,F27="Nam"),"Nam trên 45 - 55",IF(AND(CT27&gt;40,CT27&lt;51,F27="Nữ"),"Nữ trên 40 - 50",IF(AND(CT27&gt;55,F27="Nam"),"Nam trên 55","Nữ trên 50")))))))</f>
        <v>Nam dưới 35</v>
      </c>
      <c r="CV27" s="546"/>
      <c r="CW27" s="546"/>
      <c r="CX27" s="546" t="str">
        <f>IF(CT27&lt;31,"Đến 30",IF(AND(CT27&gt;30,CT27&lt;46),"31 - 45",IF(AND(CT27&gt;45,CT27&lt;70),"Trên 45")))</f>
        <v>Đến 30</v>
      </c>
      <c r="CY27" s="546" t="str">
        <f>IF(CZ27&gt;0,"TD","--")</f>
        <v>--</v>
      </c>
      <c r="CZ27" s="546"/>
      <c r="DA27" s="546"/>
      <c r="DB27" s="546"/>
      <c r="DC27" s="546"/>
      <c r="DD27" s="546"/>
      <c r="DE27" s="546"/>
      <c r="DF27" s="546"/>
      <c r="DG27" s="546"/>
      <c r="DH27" s="546"/>
      <c r="DI27" s="546" t="s">
        <v>149</v>
      </c>
      <c r="DJ27" s="546" t="s">
        <v>8</v>
      </c>
      <c r="DK27" s="546" t="s">
        <v>9</v>
      </c>
      <c r="DL27" s="546" t="s">
        <v>25</v>
      </c>
      <c r="DM27" s="546" t="s">
        <v>9</v>
      </c>
      <c r="DN27" s="546">
        <v>2013</v>
      </c>
      <c r="DO27" s="546">
        <f>(DJ27+0)-(DQ27+0)</f>
        <v>0</v>
      </c>
      <c r="DP27" s="546" t="str">
        <f>IF(DO27&gt;0,"Sửa","- - -")</f>
        <v>- - -</v>
      </c>
      <c r="DQ27" s="546" t="s">
        <v>8</v>
      </c>
      <c r="DR27" s="546" t="s">
        <v>9</v>
      </c>
      <c r="DS27" s="546" t="s">
        <v>25</v>
      </c>
      <c r="DT27" s="546" t="s">
        <v>9</v>
      </c>
      <c r="DU27" s="546">
        <v>2013</v>
      </c>
      <c r="DV27" s="546"/>
      <c r="DW27" s="546" t="str">
        <f>IF(AND(AS27&gt;0.34,AC27=1,OR(AR27=6.2,AR27=5.75)),((AR27-DV27)-2*0.34),IF(AND(AS27&gt;0.33,AC27=1,OR(AR27=4.4,AR27=4)),((AR27-DV27)-2*0.33),"- - -"))</f>
        <v>- - -</v>
      </c>
      <c r="DX27" s="546" t="str">
        <f>IF(CH27="Hưu",12*(CN27-AK27)+(CM27-AI27),"---")</f>
        <v>---</v>
      </c>
      <c r="DY27" s="546"/>
    </row>
    <row r="28" spans="1:148" s="372" customFormat="1" ht="32.25" customHeight="1" x14ac:dyDescent="0.25">
      <c r="A28" s="366">
        <v>509</v>
      </c>
      <c r="B28" s="140">
        <v>3</v>
      </c>
      <c r="C28" s="140"/>
      <c r="D28" s="462" t="str">
        <f>IF(F28="Nam","Ông","Bà")</f>
        <v>Bà</v>
      </c>
      <c r="E28" s="328" t="s">
        <v>150</v>
      </c>
      <c r="F28" s="398" t="s">
        <v>27</v>
      </c>
      <c r="G28" s="148" t="s">
        <v>151</v>
      </c>
      <c r="H28" s="148" t="s">
        <v>9</v>
      </c>
      <c r="I28" s="148" t="s">
        <v>25</v>
      </c>
      <c r="J28" s="149" t="s">
        <v>9</v>
      </c>
      <c r="K28" s="367" t="s">
        <v>152</v>
      </c>
      <c r="L28" s="368"/>
      <c r="M28" s="368"/>
      <c r="N28" s="369" t="e">
        <f>VLOOKUP(M28,'[1]- DLiêu Gốc -'!$B$2:$G$121,2,0)</f>
        <v>#N/A</v>
      </c>
      <c r="O28" s="400" t="s">
        <v>141</v>
      </c>
      <c r="P28" s="279" t="s">
        <v>94</v>
      </c>
      <c r="Q28" s="150" t="str">
        <f>VLOOKUP(V28,'[1]- DLiêu Gốc -'!$B$2:$G$56,5,0)</f>
        <v>C</v>
      </c>
      <c r="R28" s="150" t="str">
        <f>VLOOKUP(V28,'[1]- DLiêu Gốc -'!$B$2:$G$56,6,0)</f>
        <v>Nhân viên</v>
      </c>
      <c r="S28" s="551" t="s">
        <v>34</v>
      </c>
      <c r="T28" s="399" t="str">
        <f>IF(OR(V28="Kỹ thuật viên đánh máy",V28="Nhân viên đánh máy",V28="Nhân viên kỹ thuật",V28="Nhân viên văn thư",V28="Nhân viên phục vụ",V28="Lái xe cơ quan",V28="Nhân viên bảo vệ"),"Nhân viên",V28)</f>
        <v>Nhân viên</v>
      </c>
      <c r="U28" s="151" t="str">
        <f>IF(T28="Nhân viên","01.005",W28)</f>
        <v>01.005</v>
      </c>
      <c r="V28" s="152" t="s">
        <v>153</v>
      </c>
      <c r="W28" s="151" t="str">
        <f>VLOOKUP(V28,'[1]- DLiêu Gốc -'!$B$1:$G$121,2,0)</f>
        <v>01.009</v>
      </c>
      <c r="X28" s="153" t="str">
        <f>IF(OR(AND(AO28=36,AN28=3),AND(AO28=24,AN28=2),AND(AO28=12,AN28=1)),"Đến $",IF(OR(AND(AO28&gt;36,AN28=3),AND(AO28&gt;24,AN28=2),AND(AO28&gt;12,AN28=1)),"Dừng $","Lương"))</f>
        <v>Lương</v>
      </c>
      <c r="Y28" s="154">
        <v>12</v>
      </c>
      <c r="Z28" s="155" t="str">
        <f>IF(AA28&gt;0,"/")</f>
        <v>/</v>
      </c>
      <c r="AA28" s="156">
        <f>IF(OR(AS28=0.18,AS28=0.2),12,IF(AS28=0.31,10,IF(AS28=0.33,9,IF(AS28=0.34,8,IF(AS28=0.36,6)))))</f>
        <v>12</v>
      </c>
      <c r="AB28" s="157">
        <f>AR28+(Y28-1)*AS28</f>
        <v>2.98</v>
      </c>
      <c r="AC28" s="158">
        <v>22</v>
      </c>
      <c r="AD28" s="156" t="str">
        <f>IF(AA28=Y28,"%",IF(AA28&gt;Y28,"/"))</f>
        <v>%</v>
      </c>
      <c r="AE28" s="158">
        <f>IF(AND(AA28=Y28,AC28=4),5,IF(AND(AA28=Y28,AC28&gt;4),AC28+1,IF(AA28&gt;Y28,AA28)))</f>
        <v>23</v>
      </c>
      <c r="AF28" s="370" t="str">
        <f>IF(AA28=Y28,"%",IF(AA28&gt;Y28,AB28+AS28))</f>
        <v>%</v>
      </c>
      <c r="AG28" s="159" t="s">
        <v>8</v>
      </c>
      <c r="AH28" s="160" t="s">
        <v>9</v>
      </c>
      <c r="AI28" s="161" t="s">
        <v>25</v>
      </c>
      <c r="AJ28" s="162" t="s">
        <v>9</v>
      </c>
      <c r="AK28" s="163">
        <v>2016</v>
      </c>
      <c r="AL28" s="164"/>
      <c r="AM28" s="165">
        <v>8</v>
      </c>
      <c r="AN28" s="143">
        <f>IF(AND(AA28&gt;Y28,OR(AS28=0.18,AS28=0.2)),2,IF(AND(AA28&gt;Y28,OR(AS28=0.31,AS28=0.33,AS28=0.34,AS28=0.36)),3,IF(AA28=Y28,1)))</f>
        <v>1</v>
      </c>
      <c r="AO28" s="143">
        <f>12*($X$2-AK28)+($X$4-AI28)-AP28</f>
        <v>-24200</v>
      </c>
      <c r="AP28" s="137"/>
      <c r="AQ28" s="166"/>
      <c r="AR28" s="145">
        <f>VLOOKUP(V28,'[1]- DLiêu Gốc -'!$B$1:$E$56,3,0)</f>
        <v>1</v>
      </c>
      <c r="AS28" s="139">
        <f>VLOOKUP(V28,'[1]- DLiêu Gốc -'!$B$1:$E$56,4,0)</f>
        <v>0.18</v>
      </c>
      <c r="AT28" s="167"/>
      <c r="AU28" s="168" t="str">
        <f>IF(AND(AV28&gt;3,BG28=12),"Đến %",IF(AND(AV28&gt;3,BG28&gt;12,BG28&lt;120),"Dừng %",IF(AND(AV28&gt;3,BG28&lt;12),"PCTN","o-o-o")))</f>
        <v>o-o-o</v>
      </c>
      <c r="AV28" s="169"/>
      <c r="AW28" s="169"/>
      <c r="AX28" s="139">
        <f>IF(AV28&gt;3,AV28+1,0)</f>
        <v>0</v>
      </c>
      <c r="AY28" s="170"/>
      <c r="AZ28" s="371"/>
      <c r="BA28" s="282"/>
      <c r="BB28" s="142"/>
      <c r="BC28" s="142"/>
      <c r="BD28" s="142"/>
      <c r="BE28" s="142"/>
      <c r="BF28" s="142"/>
      <c r="BG28" s="144" t="str">
        <f>IF(AV28&gt;3,(($AU$2-BB28)*12+($AU$4-AZ28)-BD28),"- - -")</f>
        <v>- - -</v>
      </c>
      <c r="BH28" s="171" t="str">
        <f>IF(AND(CH28="Hưu",AV28&gt;3),12-(12*(CN28-BB28)+(CM28-AZ28))-BD28,"- - -")</f>
        <v>- - -</v>
      </c>
      <c r="BI28" s="331" t="str">
        <f>IF(BL28="công chức","CC",IF(BL28="viên chức","VC",IF(BL28="người lao động","NLĐ","- - -")))</f>
        <v>VC</v>
      </c>
      <c r="BJ28" s="543"/>
      <c r="BK28" s="544"/>
      <c r="BL28" s="544" t="s">
        <v>79</v>
      </c>
      <c r="BM28" s="545" t="str">
        <f>IF(OR(P28="Ban Tổ chức - Cán bộ",P28="Văn phòng Học viện",P28="Phó Giám đốc Thường trực Học viện",P28="Phó Giám đốc Học viện"),"Chánh Văn phòng Học viện, Trưởng Ban Tổ chức - Cán bộ",IF(OR(P28="Trung tâm Ngoại ngữ",P28="Trung tâm Tin học hành chính và Công nghệ thông tin",P28="Trung tâm Tin học - Thư viện",P28="Phân viện khu vực Tây Nguyên"),"Chánh Văn phòng Học viện, Trưởng Ban Tổ chức - Cán bộ, "&amp;CONCATENATE("Giám đốc ",P28),IF(P28="Tạp chí Quản lý nhà nước","Chánh Văn phòng Học viện, Trưởng Ban Tổ chức - Cán bộ, "&amp;CONCATENATE("Tổng Biên tập ",P28),IF(P28="Văn phòng Đảng uỷ Học viện","Chánh Văn phòng Học viện, Trưởng Ban Tổ chức - Cán bộ, "&amp;CONCATENATE("Chánh",P28),IF(P28="Viện Nghiên cứu Khoa học hành chính","Chánh Văn phòng Học viện, Trưởng Ban Tổ chức - Cán bộ, "&amp;CONCATENATE("Viện Trưởng ",P28),IF(OR(P28="Cơ sở Học viện Hành chính Quốc gia khu vực miền Trung",P28="Cơ sở Học viện Hành chính Quốc gia tại Thành phố Hồ Chí Minh"),"Chánh Văn phòng Học viện, Trưởng Ban Tổ chức - Cán bộ, "&amp;CONCATENATE("Thủ trưởng ",P28),"Chánh Văn phòng Học viện, Trưởng Ban Tổ chức - Cán bộ, "&amp;CONCATENATE("Trưởng ",P28)))))))</f>
        <v>Chánh Văn phòng Học viện, Trưởng Ban Tổ chức - Cán bộ</v>
      </c>
      <c r="BN28" s="546" t="str">
        <f>IF(P28="Cơ sở Học viện Hành chính khu vực miền Trung","B",IF(P28="Phân viện Khu vực Tây Nguyên","C",IF(P28="Cơ sở Học viện Hành chính tại thành phố Hồ Chí Minh","D","A")))</f>
        <v>A</v>
      </c>
      <c r="BO28" s="303" t="str">
        <f>IF(AND(AC28&gt;0,Y28&lt;(AA28-1),BP28&gt;0,BP28&lt;13,OR(AND(BV28="Cùg Ng",($BO$2-BR28)&gt;AN28),BV28="- - -")),"Sớm TT","=&gt; s")</f>
        <v>=&gt; s</v>
      </c>
      <c r="BP28" s="547" t="str">
        <f>IF(AN28=3,36-(12*($BO$2-AK28)+(12-AI28)-AP28),IF(AN28=2,24-(12*($BO$2-AK28)+(12-AI28)-AP28),"---"))</f>
        <v>---</v>
      </c>
      <c r="BQ28" s="546" t="str">
        <f>IF(BR28&gt;1,"S","---")</f>
        <v>---</v>
      </c>
      <c r="BR28" s="544"/>
      <c r="BS28" s="544"/>
      <c r="BT28" s="544"/>
      <c r="BU28" s="544"/>
      <c r="BV28" s="546" t="str">
        <f>IF(U28=BS28,"Cùg Ng","- - -")</f>
        <v>- - -</v>
      </c>
      <c r="BW28" s="548" t="str">
        <f>IF(BY28&gt;2000,"NN","- - -")</f>
        <v>- - -</v>
      </c>
      <c r="BX28" s="549"/>
      <c r="BY28" s="303"/>
      <c r="BZ28" s="546"/>
      <c r="CA28" s="546"/>
      <c r="CB28" s="546" t="str">
        <f>IF(CD28&gt;2000,"CN","- - -")</f>
        <v>- - -</v>
      </c>
      <c r="CC28" s="546"/>
      <c r="CD28" s="546"/>
      <c r="CE28" s="546"/>
      <c r="CF28" s="546"/>
      <c r="CG28" s="546" t="str">
        <f>IF(AND(CH28="Hưu",Y28&lt;(AA28-1),CO28&gt;0,CO28&lt;18,OR(AV28&lt;4,AND(AV28&gt;3,OR(BH28&lt;3,BH28&gt;5)))),"Lg Sớm",IF(AND(CH28="Hưu",Y28&gt;(AA28-2),OR(AS28=0.33,AS28=0.34),OR(AV28&lt;4,AND(AV28&gt;3,OR(BH28&lt;3,BH28&gt;5)))),"Nâng Ngạch",IF(AND(CH28="Hưu",AN28=1,CO28&gt;2,CO28&lt;6,OR(AV28&lt;4,AND(AV28&gt;3,OR(BH28&lt;3,BH28&gt;5)))),"Nâng PcVK cùng QĐ",IF(AND(CH28="Hưu",AV28&gt;3,BH28&gt;2,BH28&lt;6,Y28&lt;(AA28-1),CO28&gt;17,OR(AN28&gt;1,AND(AN28=1,OR(CO28&lt;3,CO28&gt;5)))),"Nâng PcNG cùng QĐ",IF(AND(CH28="Hưu",Y28&lt;(AA28-1),CO28&gt;0,CO28&lt;18,AV28&gt;3,BH28&gt;2,BH28&lt;6),"Nâng Lg Sớm +(PcNG cùng QĐ)",IF(AND(CH28="Hưu",Y28&gt;(AA28-2),OR(AS28=0.33,AS28=0.34),AV28&gt;3,BH28&gt;2,BH28&lt;6),"Nâng Ngạch +(PcNG cùng QĐ)",IF(AND(CH28="Hưu",AN28=1,CO28&gt;2,CO28&lt;6,AV28&gt;3,BH28&gt;2,BH28&lt;6),"Nâng (PcVK +PcNG) cùng QĐ",("---"))))))))</f>
        <v>---</v>
      </c>
      <c r="CH28" s="546" t="str">
        <f>IF(AND(CS28&gt;CR28,CS28&lt;(CR28+13)),"Hưu",IF(AND(CS28&gt;(CR28+12),CS28&lt;1000),"Quá","/-/ /-/"))</f>
        <v>/-/ /-/</v>
      </c>
      <c r="CI28" s="546">
        <f>IF((I28+0)&lt;12,(I28+0)+1,IF((I28+0)=12,1,IF((I28+0)&gt;12,(I28+0)-12)))</f>
        <v>9</v>
      </c>
      <c r="CJ28" s="546">
        <f>IF(OR((I28+0)=12,(I28+0)&gt;12),K28+CR28/12+1,IF(AND((I28+0)&gt;0,(I28+0)&lt;12),K28+CR28/12,"---"))</f>
        <v>2023</v>
      </c>
      <c r="CK28" s="546">
        <f>IF(AND(CI28&gt;3,CI28&lt;13),CI28-3,IF(CI28&lt;4,CI28-3+12))</f>
        <v>6</v>
      </c>
      <c r="CL28" s="546">
        <f>IF(CK28&lt;CI28,CJ28,IF(CK28&gt;CI28,CJ28-1))</f>
        <v>2023</v>
      </c>
      <c r="CM28" s="546">
        <f>IF(CI28&gt;6,CI28-6,IF(CI28=6,12,IF(CI28&lt;6,CI28+6)))</f>
        <v>3</v>
      </c>
      <c r="CN28" s="546">
        <f>IF(CI28&gt;6,CJ28,IF(CI28&lt;7,CJ28-1))</f>
        <v>2023</v>
      </c>
      <c r="CO28" s="546" t="str">
        <f>IF(AND(CH28="Hưu",AN28=3),36+AP28-(12*(CN28-AK28)+(CM28-AI28)),IF(AND(CH28="Hưu",AN28=2),24+AP28-(12*(CN28-AK28)+(CM28-AI28)),IF(AND(CH28="Hưu",AN28=1),12+AP28-(12*(CN28-AK28)+(CM28-AI28)),"- - -")))</f>
        <v>- - -</v>
      </c>
      <c r="CP28" s="546" t="str">
        <f>IF(CQ28&gt;0,"K.Dài",". .")</f>
        <v>. .</v>
      </c>
      <c r="CQ28" s="546"/>
      <c r="CR28" s="546">
        <f>IF(F28="Nam",(60+CQ28)*12,IF(F28="Nữ",(55+CQ28)*12,))</f>
        <v>660</v>
      </c>
      <c r="CS28" s="546">
        <f>12*($CH$4-K28)+(12-I28)</f>
        <v>-23612</v>
      </c>
      <c r="CT28" s="546">
        <f>$CX$4-K28</f>
        <v>-1968</v>
      </c>
      <c r="CU28" s="546" t="str">
        <f>IF(AND(CT28&lt;35,F28="Nam"),"Nam dưới 35",IF(AND(CT28&lt;30,F28="Nữ"),"Nữ dưới 30",IF(AND(CT28&gt;34,CT28&lt;46,F28="Nam"),"Nam từ 35 - 45",IF(AND(CT28&gt;29,CT28&lt;41,F28="Nữ"),"Nữ từ 30 - 40",IF(AND(CT28&gt;45,CT28&lt;56,F28="Nam"),"Nam trên 45 - 55",IF(AND(CT28&gt;40,CT28&lt;51,F28="Nữ"),"Nữ trên 40 - 50",IF(AND(CT28&gt;55,F28="Nam"),"Nam trên 55","Nữ trên 50")))))))</f>
        <v>Nữ dưới 30</v>
      </c>
      <c r="CV28" s="546"/>
      <c r="CW28" s="546"/>
      <c r="CX28" s="546" t="str">
        <f>IF(CT28&lt;31,"Đến 30",IF(AND(CT28&gt;30,CT28&lt;46),"31 - 45",IF(AND(CT28&gt;45,CT28&lt;70),"Trên 45")))</f>
        <v>Đến 30</v>
      </c>
      <c r="CY28" s="546" t="str">
        <f>IF(CZ28&gt;0,"TD","--")</f>
        <v>--</v>
      </c>
      <c r="CZ28" s="546"/>
      <c r="DA28" s="546"/>
      <c r="DB28" s="546"/>
      <c r="DC28" s="546"/>
      <c r="DD28" s="546"/>
      <c r="DE28" s="546"/>
      <c r="DF28" s="546"/>
      <c r="DG28" s="546"/>
      <c r="DH28" s="546"/>
      <c r="DI28" s="546" t="s">
        <v>141</v>
      </c>
      <c r="DJ28" s="546" t="s">
        <v>8</v>
      </c>
      <c r="DK28" s="546" t="s">
        <v>9</v>
      </c>
      <c r="DL28" s="546" t="s">
        <v>25</v>
      </c>
      <c r="DM28" s="546" t="s">
        <v>9</v>
      </c>
      <c r="DN28" s="546">
        <v>2013</v>
      </c>
      <c r="DO28" s="546">
        <f>(DJ28+0)-(DQ28+0)</f>
        <v>0</v>
      </c>
      <c r="DP28" s="546" t="str">
        <f>IF(DO28&gt;0,"Sửa","- - -")</f>
        <v>- - -</v>
      </c>
      <c r="DQ28" s="546" t="s">
        <v>8</v>
      </c>
      <c r="DR28" s="546" t="s">
        <v>9</v>
      </c>
      <c r="DS28" s="546" t="s">
        <v>25</v>
      </c>
      <c r="DT28" s="546" t="s">
        <v>9</v>
      </c>
      <c r="DU28" s="546">
        <v>2013</v>
      </c>
      <c r="DV28" s="546"/>
      <c r="DW28" s="546" t="str">
        <f>IF(AND(AS28&gt;0.34,AC28=1,OR(AR28=6.2,AR28=5.75)),((AR28-DV28)-2*0.34),IF(AND(AS28&gt;0.33,AC28=1,OR(AR28=4.4,AR28=4)),((AR28-DV28)-2*0.33),"- - -"))</f>
        <v>- - -</v>
      </c>
      <c r="DX28" s="546" t="str">
        <f>IF(CH28="Hưu",12*(CN28-AK28)+(CM28-AI28),"---")</f>
        <v>---</v>
      </c>
      <c r="DY28" s="546"/>
    </row>
    <row r="29" spans="1:148" s="372" customFormat="1" ht="32.25" customHeight="1" x14ac:dyDescent="0.25">
      <c r="A29" s="366">
        <v>512</v>
      </c>
      <c r="B29" s="140">
        <v>4</v>
      </c>
      <c r="C29" s="140"/>
      <c r="D29" s="462" t="str">
        <f>IF(F29="Nam","Ông","Bà")</f>
        <v>Bà</v>
      </c>
      <c r="E29" s="328" t="s">
        <v>154</v>
      </c>
      <c r="F29" s="398" t="s">
        <v>27</v>
      </c>
      <c r="G29" s="148" t="s">
        <v>155</v>
      </c>
      <c r="H29" s="148" t="s">
        <v>9</v>
      </c>
      <c r="I29" s="148" t="s">
        <v>85</v>
      </c>
      <c r="J29" s="149" t="s">
        <v>9</v>
      </c>
      <c r="K29" s="367">
        <v>1970</v>
      </c>
      <c r="L29" s="368"/>
      <c r="M29" s="368"/>
      <c r="N29" s="369" t="e">
        <f>VLOOKUP(M29,'[1]- DLiêu Gốc -'!$B$2:$G$121,2,0)</f>
        <v>#N/A</v>
      </c>
      <c r="O29" s="400" t="s">
        <v>141</v>
      </c>
      <c r="P29" s="279" t="s">
        <v>94</v>
      </c>
      <c r="Q29" s="150" t="str">
        <f>VLOOKUP(V29,'[1]- DLiêu Gốc -'!$B$2:$G$56,5,0)</f>
        <v>C</v>
      </c>
      <c r="R29" s="150" t="str">
        <f>VLOOKUP(V29,'[1]- DLiêu Gốc -'!$B$2:$G$56,6,0)</f>
        <v>Nhân viên</v>
      </c>
      <c r="S29" s="551" t="s">
        <v>34</v>
      </c>
      <c r="T29" s="399" t="str">
        <f>IF(OR(V29="Kỹ thuật viên đánh máy",V29="Nhân viên đánh máy",V29="Nhân viên kỹ thuật",V29="Nhân viên văn thư",V29="Nhân viên phục vụ",V29="Lái xe cơ quan",V29="Nhân viên bảo vệ"),"Nhân viên",V29)</f>
        <v>Thủ kho bảo quản</v>
      </c>
      <c r="U29" s="151" t="str">
        <f>IF(T29="Nhân viên","01.005",W29)</f>
        <v>19.185</v>
      </c>
      <c r="V29" s="152" t="s">
        <v>156</v>
      </c>
      <c r="W29" s="151" t="str">
        <f>VLOOKUP(V29,'[1]- DLiêu Gốc -'!$B$1:$G$121,2,0)</f>
        <v>19.185</v>
      </c>
      <c r="X29" s="153" t="str">
        <f>IF(OR(AND(AO29=36,AN29=3),AND(AO29=24,AN29=2),AND(AO29=12,AN29=1)),"Đến $",IF(OR(AND(AO29&gt;36,AN29=3),AND(AO29&gt;24,AN29=2),AND(AO29&gt;12,AN29=1)),"Dừng $","Lương"))</f>
        <v>Lương</v>
      </c>
      <c r="Y29" s="154">
        <v>12</v>
      </c>
      <c r="Z29" s="155" t="str">
        <f>IF(AA29&gt;0,"/")</f>
        <v>/</v>
      </c>
      <c r="AA29" s="156">
        <f>IF(OR(AS29=0.18,AS29=0.2),12,IF(AS29=0.31,10,IF(AS29=0.33,9,IF(AS29=0.34,8,IF(AS29=0.36,6)))))</f>
        <v>12</v>
      </c>
      <c r="AB29" s="157">
        <f>AR29+(Y29-1)*AS29</f>
        <v>3.63</v>
      </c>
      <c r="AC29" s="158">
        <v>7</v>
      </c>
      <c r="AD29" s="156" t="str">
        <f>IF(AA29=Y29,"%",IF(AA29&gt;Y29,"/"))</f>
        <v>%</v>
      </c>
      <c r="AE29" s="158">
        <f>IF(AND(AA29=Y29,AC29=4),5,IF(AND(AA29=Y29,AC29&gt;4),AC29+1,IF(AA29&gt;Y29,AA29)))</f>
        <v>8</v>
      </c>
      <c r="AF29" s="370" t="str">
        <f>IF(AA29=Y29,"%",IF(AA29&gt;Y29,AB29+AS29))</f>
        <v>%</v>
      </c>
      <c r="AG29" s="159" t="s">
        <v>8</v>
      </c>
      <c r="AH29" s="160" t="s">
        <v>9</v>
      </c>
      <c r="AI29" s="161" t="s">
        <v>25</v>
      </c>
      <c r="AJ29" s="162" t="s">
        <v>9</v>
      </c>
      <c r="AK29" s="163">
        <v>2016</v>
      </c>
      <c r="AL29" s="164"/>
      <c r="AM29" s="165">
        <v>8</v>
      </c>
      <c r="AN29" s="143">
        <f>IF(AND(AA29&gt;Y29,OR(AS29=0.18,AS29=0.2)),2,IF(AND(AA29&gt;Y29,OR(AS29=0.31,AS29=0.33,AS29=0.34,AS29=0.36)),3,IF(AA29=Y29,1)))</f>
        <v>1</v>
      </c>
      <c r="AO29" s="143">
        <f>12*($X$2-AK29)+($X$4-AI29)-AP29</f>
        <v>-24200</v>
      </c>
      <c r="AP29" s="137"/>
      <c r="AQ29" s="166"/>
      <c r="AR29" s="145">
        <f>VLOOKUP(V29,'[1]- DLiêu Gốc -'!$B$1:$E$56,3,0)</f>
        <v>1.65</v>
      </c>
      <c r="AS29" s="139">
        <f>VLOOKUP(V29,'[1]- DLiêu Gốc -'!$B$1:$E$56,4,0)</f>
        <v>0.18</v>
      </c>
      <c r="AT29" s="167"/>
      <c r="AU29" s="168" t="str">
        <f>IF(AND(AV29&gt;3,BG29=12),"Đến %",IF(AND(AV29&gt;3,BG29&gt;12,BG29&lt;120),"Dừng %",IF(AND(AV29&gt;3,BG29&lt;12),"PCTN","o-o-o")))</f>
        <v>o-o-o</v>
      </c>
      <c r="AV29" s="169"/>
      <c r="AW29" s="169"/>
      <c r="AX29" s="139">
        <f>IF(AV29&gt;3,AV29+1,0)</f>
        <v>0</v>
      </c>
      <c r="AY29" s="170"/>
      <c r="AZ29" s="371"/>
      <c r="BA29" s="282"/>
      <c r="BB29" s="142"/>
      <c r="BC29" s="142"/>
      <c r="BD29" s="142"/>
      <c r="BE29" s="142"/>
      <c r="BF29" s="142"/>
      <c r="BG29" s="144" t="str">
        <f>IF(AV29&gt;3,(($AU$2-BB29)*12+($AU$4-AZ29)-BD29),"- - -")</f>
        <v>- - -</v>
      </c>
      <c r="BH29" s="171" t="str">
        <f>IF(AND(CH29="Hưu",AV29&gt;3),12-(12*(CN29-BB29)+(CM29-AZ29))-BD29,"- - -")</f>
        <v>- - -</v>
      </c>
      <c r="BI29" s="331" t="str">
        <f>IF(BL29="công chức","CC",IF(BL29="viên chức","VC",IF(BL29="người lao động","NLĐ","- - -")))</f>
        <v>NLĐ</v>
      </c>
      <c r="BJ29" s="543"/>
      <c r="BK29" s="544" t="s">
        <v>157</v>
      </c>
      <c r="BL29" s="544" t="s">
        <v>36</v>
      </c>
      <c r="BM29" s="545" t="str">
        <f>IF(OR(P29="Ban Tổ chức - Cán bộ",P29="Văn phòng Học viện",P29="Phó Giám đốc Thường trực Học viện",P29="Phó Giám đốc Học viện"),"Chánh Văn phòng Học viện, Trưởng Ban Tổ chức - Cán bộ",IF(OR(P29="Trung tâm Ngoại ngữ",P29="Trung tâm Tin học hành chính và Công nghệ thông tin",P29="Trung tâm Tin học - Thư viện",P29="Phân viện khu vực Tây Nguyên"),"Chánh Văn phòng Học viện, Trưởng Ban Tổ chức - Cán bộ, "&amp;CONCATENATE("Giám đốc ",P29),IF(P29="Tạp chí Quản lý nhà nước","Chánh Văn phòng Học viện, Trưởng Ban Tổ chức - Cán bộ, "&amp;CONCATENATE("Tổng Biên tập ",P29),IF(P29="Văn phòng Đảng uỷ Học viện","Chánh Văn phòng Học viện, Trưởng Ban Tổ chức - Cán bộ, "&amp;CONCATENATE("Chánh",P29),IF(P29="Viện Nghiên cứu Khoa học hành chính","Chánh Văn phòng Học viện, Trưởng Ban Tổ chức - Cán bộ, "&amp;CONCATENATE("Viện Trưởng ",P29),IF(OR(P29="Cơ sở Học viện Hành chính Quốc gia khu vực miền Trung",P29="Cơ sở Học viện Hành chính Quốc gia tại Thành phố Hồ Chí Minh"),"Chánh Văn phòng Học viện, Trưởng Ban Tổ chức - Cán bộ, "&amp;CONCATENATE("Thủ trưởng ",P29),"Chánh Văn phòng Học viện, Trưởng Ban Tổ chức - Cán bộ, "&amp;CONCATENATE("Trưởng ",P29)))))))</f>
        <v>Chánh Văn phòng Học viện, Trưởng Ban Tổ chức - Cán bộ</v>
      </c>
      <c r="BN29" s="546" t="str">
        <f>IF(P29="Cơ sở Học viện Hành chính khu vực miền Trung","B",IF(P29="Phân viện Khu vực Tây Nguyên","C",IF(P29="Cơ sở Học viện Hành chính tại thành phố Hồ Chí Minh","D","A")))</f>
        <v>A</v>
      </c>
      <c r="BO29" s="303" t="str">
        <f>IF(AND(AC29&gt;0,Y29&lt;(AA29-1),BP29&gt;0,BP29&lt;13,OR(AND(BV29="Cùg Ng",($BO$2-BR29)&gt;AN29),BV29="- - -")),"Sớm TT","=&gt; s")</f>
        <v>=&gt; s</v>
      </c>
      <c r="BP29" s="547" t="str">
        <f>IF(AN29=3,36-(12*($BO$2-AK29)+(12-AI29)-AP29),IF(AN29=2,24-(12*($BO$2-AK29)+(12-AI29)-AP29),"---"))</f>
        <v>---</v>
      </c>
      <c r="BQ29" s="546" t="str">
        <f>IF(BR29&gt;1,"S","---")</f>
        <v>---</v>
      </c>
      <c r="BR29" s="544"/>
      <c r="BS29" s="544"/>
      <c r="BT29" s="544"/>
      <c r="BU29" s="544"/>
      <c r="BV29" s="546" t="str">
        <f>IF(U29=BS29,"Cùg Ng","- - -")</f>
        <v>- - -</v>
      </c>
      <c r="BW29" s="548" t="str">
        <f>IF(BY29&gt;2000,"NN","- - -")</f>
        <v>- - -</v>
      </c>
      <c r="BX29" s="549"/>
      <c r="BY29" s="303"/>
      <c r="BZ29" s="546"/>
      <c r="CA29" s="546"/>
      <c r="CB29" s="546" t="str">
        <f>IF(CD29&gt;2000,"CN","- - -")</f>
        <v>- - -</v>
      </c>
      <c r="CC29" s="546"/>
      <c r="CD29" s="546"/>
      <c r="CE29" s="546"/>
      <c r="CF29" s="546"/>
      <c r="CG29" s="546" t="str">
        <f>IF(AND(CH29="Hưu",Y29&lt;(AA29-1),CO29&gt;0,CO29&lt;18,OR(AV29&lt;4,AND(AV29&gt;3,OR(BH29&lt;3,BH29&gt;5)))),"Lg Sớm",IF(AND(CH29="Hưu",Y29&gt;(AA29-2),OR(AS29=0.33,AS29=0.34),OR(AV29&lt;4,AND(AV29&gt;3,OR(BH29&lt;3,BH29&gt;5)))),"Nâng Ngạch",IF(AND(CH29="Hưu",AN29=1,CO29&gt;2,CO29&lt;6,OR(AV29&lt;4,AND(AV29&gt;3,OR(BH29&lt;3,BH29&gt;5)))),"Nâng PcVK cùng QĐ",IF(AND(CH29="Hưu",AV29&gt;3,BH29&gt;2,BH29&lt;6,Y29&lt;(AA29-1),CO29&gt;17,OR(AN29&gt;1,AND(AN29=1,OR(CO29&lt;3,CO29&gt;5)))),"Nâng PcNG cùng QĐ",IF(AND(CH29="Hưu",Y29&lt;(AA29-1),CO29&gt;0,CO29&lt;18,AV29&gt;3,BH29&gt;2,BH29&lt;6),"Nâng Lg Sớm +(PcNG cùng QĐ)",IF(AND(CH29="Hưu",Y29&gt;(AA29-2),OR(AS29=0.33,AS29=0.34),AV29&gt;3,BH29&gt;2,BH29&lt;6),"Nâng Ngạch +(PcNG cùng QĐ)",IF(AND(CH29="Hưu",AN29=1,CO29&gt;2,CO29&lt;6,AV29&gt;3,BH29&gt;2,BH29&lt;6),"Nâng (PcVK +PcNG) cùng QĐ",("---"))))))))</f>
        <v>---</v>
      </c>
      <c r="CH29" s="546" t="str">
        <f>IF(AND(CS29&gt;CR29,CS29&lt;(CR29+13)),"Hưu",IF(AND(CS29&gt;(CR29+12),CS29&lt;1000),"Quá","/-/ /-/"))</f>
        <v>/-/ /-/</v>
      </c>
      <c r="CI29" s="546">
        <f>IF((I29+0)&lt;12,(I29+0)+1,IF((I29+0)=12,1,IF((I29+0)&gt;12,(I29+0)-12)))</f>
        <v>7</v>
      </c>
      <c r="CJ29" s="546">
        <f>IF(OR((I29+0)=12,(I29+0)&gt;12),K29+CR29/12+1,IF(AND((I29+0)&gt;0,(I29+0)&lt;12),K29+CR29/12,"---"))</f>
        <v>2025</v>
      </c>
      <c r="CK29" s="546">
        <f>IF(AND(CI29&gt;3,CI29&lt;13),CI29-3,IF(CI29&lt;4,CI29-3+12))</f>
        <v>4</v>
      </c>
      <c r="CL29" s="546">
        <f>IF(CK29&lt;CI29,CJ29,IF(CK29&gt;CI29,CJ29-1))</f>
        <v>2025</v>
      </c>
      <c r="CM29" s="546">
        <f>IF(CI29&gt;6,CI29-6,IF(CI29=6,12,IF(CI29&lt;6,CI29+6)))</f>
        <v>1</v>
      </c>
      <c r="CN29" s="546">
        <f>IF(CI29&gt;6,CJ29,IF(CI29&lt;7,CJ29-1))</f>
        <v>2025</v>
      </c>
      <c r="CO29" s="546" t="str">
        <f>IF(AND(CH29="Hưu",AN29=3),36+AP29-(12*(CN29-AK29)+(CM29-AI29)),IF(AND(CH29="Hưu",AN29=2),24+AP29-(12*(CN29-AK29)+(CM29-AI29)),IF(AND(CH29="Hưu",AN29=1),12+AP29-(12*(CN29-AK29)+(CM29-AI29)),"- - -")))</f>
        <v>- - -</v>
      </c>
      <c r="CP29" s="546" t="str">
        <f>IF(CQ29&gt;0,"K.Dài",". .")</f>
        <v>. .</v>
      </c>
      <c r="CQ29" s="546"/>
      <c r="CR29" s="546">
        <f>IF(F29="Nam",(60+CQ29)*12,IF(F29="Nữ",(55+CQ29)*12,))</f>
        <v>660</v>
      </c>
      <c r="CS29" s="546">
        <f>12*($CH$4-K29)+(12-I29)</f>
        <v>-23634</v>
      </c>
      <c r="CT29" s="546">
        <f>$CX$4-K29</f>
        <v>-1970</v>
      </c>
      <c r="CU29" s="546" t="str">
        <f>IF(AND(CT29&lt;35,F29="Nam"),"Nam dưới 35",IF(AND(CT29&lt;30,F29="Nữ"),"Nữ dưới 30",IF(AND(CT29&gt;34,CT29&lt;46,F29="Nam"),"Nam từ 35 - 45",IF(AND(CT29&gt;29,CT29&lt;41,F29="Nữ"),"Nữ từ 30 - 40",IF(AND(CT29&gt;45,CT29&lt;56,F29="Nam"),"Nam trên 45 - 55",IF(AND(CT29&gt;40,CT29&lt;51,F29="Nữ"),"Nữ trên 40 - 50",IF(AND(CT29&gt;55,F29="Nam"),"Nam trên 55","Nữ trên 50")))))))</f>
        <v>Nữ dưới 30</v>
      </c>
      <c r="CV29" s="546"/>
      <c r="CW29" s="546"/>
      <c r="CX29" s="546" t="str">
        <f>IF(CT29&lt;31,"Đến 30",IF(AND(CT29&gt;30,CT29&lt;46),"31 - 45",IF(AND(CT29&gt;45,CT29&lt;70),"Trên 45")))</f>
        <v>Đến 30</v>
      </c>
      <c r="CY29" s="546" t="str">
        <f>IF(CZ29&gt;0,"TD","--")</f>
        <v>--</v>
      </c>
      <c r="CZ29" s="546"/>
      <c r="DA29" s="546"/>
      <c r="DB29" s="546"/>
      <c r="DC29" s="546"/>
      <c r="DD29" s="546"/>
      <c r="DE29" s="546"/>
      <c r="DF29" s="546"/>
      <c r="DG29" s="546"/>
      <c r="DH29" s="546"/>
      <c r="DI29" s="546" t="s">
        <v>141</v>
      </c>
      <c r="DJ29" s="546" t="s">
        <v>8</v>
      </c>
      <c r="DK29" s="546" t="s">
        <v>9</v>
      </c>
      <c r="DL29" s="546" t="s">
        <v>25</v>
      </c>
      <c r="DM29" s="546" t="s">
        <v>9</v>
      </c>
      <c r="DN29" s="546">
        <v>2013</v>
      </c>
      <c r="DO29" s="546">
        <f>(DJ29+0)-(DQ29+0)</f>
        <v>0</v>
      </c>
      <c r="DP29" s="546" t="str">
        <f>IF(DO29&gt;0,"Sửa","- - -")</f>
        <v>- - -</v>
      </c>
      <c r="DQ29" s="546" t="s">
        <v>8</v>
      </c>
      <c r="DR29" s="546" t="s">
        <v>9</v>
      </c>
      <c r="DS29" s="546" t="s">
        <v>25</v>
      </c>
      <c r="DT29" s="546" t="s">
        <v>9</v>
      </c>
      <c r="DU29" s="546">
        <v>2013</v>
      </c>
      <c r="DV29" s="546"/>
      <c r="DW29" s="546" t="str">
        <f>IF(AND(AS29&gt;0.34,AC29=1,OR(AR29=6.2,AR29=5.75)),((AR29-DV29)-2*0.34),IF(AND(AS29&gt;0.33,AC29=1,OR(AR29=4.4,AR29=4)),((AR29-DV29)-2*0.33),"- - -"))</f>
        <v>- - -</v>
      </c>
      <c r="DX29" s="546" t="str">
        <f>IF(CH29="Hưu",12*(CN29-AK29)+(CM29-AI29),"---")</f>
        <v>---</v>
      </c>
      <c r="DY29" s="546"/>
    </row>
    <row r="30" spans="1:148" s="179" customFormat="1" ht="21" customHeight="1" x14ac:dyDescent="0.3">
      <c r="A30" s="173"/>
      <c r="B30" s="174" t="s">
        <v>38</v>
      </c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6"/>
      <c r="Q30" s="176"/>
      <c r="R30" s="176"/>
      <c r="S30" s="177"/>
      <c r="T30" s="178"/>
      <c r="U30" s="177"/>
      <c r="V30" s="326"/>
      <c r="W30" s="326"/>
      <c r="X30" s="412" t="s">
        <v>39</v>
      </c>
      <c r="Y30" s="412"/>
      <c r="Z30" s="412"/>
      <c r="AA30" s="412"/>
      <c r="AB30" s="412"/>
      <c r="AC30" s="412"/>
      <c r="AD30" s="412"/>
      <c r="AE30" s="412"/>
      <c r="AF30" s="412"/>
      <c r="AG30" s="412"/>
      <c r="AH30" s="412"/>
      <c r="AI30" s="412"/>
      <c r="AJ30" s="412"/>
      <c r="AK30" s="412"/>
      <c r="AL30" s="412"/>
      <c r="AM30" s="412"/>
      <c r="AN30" s="412"/>
      <c r="AO30" s="412"/>
      <c r="AP30" s="412"/>
      <c r="AQ30" s="412"/>
      <c r="AR30" s="412"/>
      <c r="AS30" s="412"/>
      <c r="AT30" s="412"/>
      <c r="AU30" s="412"/>
      <c r="AV30" s="412"/>
      <c r="AW30" s="412"/>
      <c r="AX30" s="412"/>
      <c r="AY30" s="412"/>
      <c r="AZ30" s="412"/>
      <c r="BA30" s="412"/>
      <c r="BB30" s="412"/>
      <c r="BC30" s="412"/>
      <c r="BD30" s="412"/>
      <c r="BE30" s="412"/>
      <c r="BF30" s="412"/>
      <c r="BG30" s="412"/>
      <c r="BH30" s="412"/>
      <c r="BI30" s="295"/>
      <c r="BJ30" s="295"/>
      <c r="BK30" s="295"/>
      <c r="BL30" s="295"/>
      <c r="BM30" s="295"/>
      <c r="BN30" s="295"/>
      <c r="BO30" s="295"/>
      <c r="BP30" s="295"/>
      <c r="BQ30" s="295"/>
      <c r="BR30" s="295"/>
      <c r="BS30" s="295"/>
      <c r="BT30" s="295"/>
      <c r="BU30" s="295"/>
      <c r="BV30" s="295"/>
      <c r="BW30" s="295"/>
      <c r="BX30" s="295"/>
      <c r="BY30" s="295"/>
      <c r="BZ30" s="295"/>
      <c r="CA30" s="295"/>
      <c r="CB30" s="295"/>
      <c r="CC30" s="295"/>
      <c r="CD30" s="295"/>
      <c r="CE30" s="295"/>
      <c r="CF30" s="295"/>
      <c r="CG30" s="295"/>
      <c r="CH30" s="295"/>
      <c r="CI30" s="295"/>
      <c r="CJ30" s="295"/>
      <c r="CK30" s="295"/>
      <c r="CL30" s="295"/>
      <c r="CM30" s="295"/>
      <c r="CN30" s="295"/>
      <c r="CO30" s="295"/>
      <c r="CP30" s="295"/>
      <c r="CQ30" s="295"/>
      <c r="CR30" s="295"/>
      <c r="CS30" s="295"/>
      <c r="CT30" s="295"/>
      <c r="CU30" s="295"/>
      <c r="CV30" s="295"/>
      <c r="CW30" s="295"/>
      <c r="CX30" s="295"/>
      <c r="CY30" s="295"/>
      <c r="CZ30" s="295"/>
      <c r="DA30" s="295"/>
      <c r="DB30" s="295"/>
      <c r="DC30" s="295"/>
      <c r="DD30" s="295"/>
      <c r="DE30" s="295"/>
      <c r="DF30" s="295"/>
      <c r="DG30" s="295"/>
      <c r="DH30" s="295"/>
      <c r="DI30" s="295"/>
      <c r="DJ30" s="295"/>
      <c r="DK30" s="295"/>
      <c r="DL30" s="295"/>
      <c r="DM30" s="295"/>
      <c r="DN30" s="295"/>
      <c r="DO30" s="295"/>
      <c r="DP30" s="295"/>
      <c r="DQ30" s="295"/>
      <c r="DR30" s="295"/>
      <c r="DS30" s="295"/>
      <c r="DT30" s="295"/>
      <c r="DU30" s="295"/>
      <c r="DV30" s="295"/>
      <c r="DW30" s="295"/>
      <c r="DX30" s="295"/>
      <c r="DY30" s="295"/>
      <c r="DZ30" s="295"/>
      <c r="EA30" s="295"/>
      <c r="EB30" s="295"/>
      <c r="EC30" s="295"/>
      <c r="ED30" s="295"/>
      <c r="EE30" s="295"/>
      <c r="EF30" s="295"/>
      <c r="EG30" s="295"/>
      <c r="EH30" s="295"/>
      <c r="EI30" s="295"/>
      <c r="EJ30" s="295"/>
      <c r="EK30" s="295"/>
      <c r="EL30" s="295"/>
      <c r="EM30" s="295"/>
      <c r="EN30" s="295"/>
      <c r="EO30" s="295"/>
      <c r="EP30" s="295"/>
      <c r="EQ30" s="295"/>
      <c r="ER30" s="295"/>
    </row>
    <row r="31" spans="1:148" s="187" customFormat="1" ht="15.75" x14ac:dyDescent="0.25">
      <c r="A31" s="180"/>
      <c r="B31" s="189" t="s">
        <v>42</v>
      </c>
      <c r="C31" s="181"/>
      <c r="D31" s="179"/>
      <c r="E31" s="182"/>
      <c r="F31" s="181"/>
      <c r="G31" s="183"/>
      <c r="H31" s="179"/>
      <c r="I31" s="184"/>
      <c r="J31" s="184"/>
      <c r="K31" s="184"/>
      <c r="L31" s="184"/>
      <c r="M31" s="184"/>
      <c r="N31" s="185"/>
      <c r="O31" s="185"/>
      <c r="P31" s="184"/>
      <c r="Q31" s="184"/>
      <c r="R31" s="184"/>
      <c r="S31" s="185"/>
      <c r="T31" s="182"/>
      <c r="U31" s="185"/>
      <c r="V31" s="186"/>
      <c r="W31" s="186"/>
      <c r="X31" s="413" t="s">
        <v>41</v>
      </c>
      <c r="Y31" s="413"/>
      <c r="Z31" s="413"/>
      <c r="AA31" s="413"/>
      <c r="AB31" s="413"/>
      <c r="AC31" s="413"/>
      <c r="AD31" s="413"/>
      <c r="AE31" s="413"/>
      <c r="AF31" s="413"/>
      <c r="AG31" s="413"/>
      <c r="AH31" s="413"/>
      <c r="AI31" s="413"/>
      <c r="AJ31" s="413"/>
      <c r="AK31" s="413"/>
      <c r="AL31" s="413"/>
      <c r="AM31" s="413"/>
      <c r="AN31" s="413"/>
      <c r="AO31" s="413"/>
      <c r="AP31" s="413"/>
      <c r="AQ31" s="413"/>
      <c r="AR31" s="413"/>
      <c r="AS31" s="413"/>
      <c r="AT31" s="413"/>
      <c r="AU31" s="413"/>
      <c r="AV31" s="413"/>
      <c r="AW31" s="413"/>
      <c r="AX31" s="413"/>
      <c r="AY31" s="413"/>
      <c r="AZ31" s="413"/>
      <c r="BA31" s="413"/>
      <c r="BB31" s="413"/>
      <c r="BC31" s="413"/>
      <c r="BD31" s="413"/>
      <c r="BE31" s="413"/>
      <c r="BF31" s="413"/>
      <c r="BG31" s="413"/>
      <c r="BH31" s="413"/>
      <c r="BI31" s="296"/>
      <c r="BJ31" s="296"/>
      <c r="BK31" s="296"/>
      <c r="BL31" s="296"/>
      <c r="BM31" s="296"/>
      <c r="BN31" s="296"/>
      <c r="BO31" s="296"/>
      <c r="BP31" s="296"/>
      <c r="BQ31" s="296"/>
      <c r="BR31" s="296"/>
      <c r="BS31" s="296"/>
      <c r="BT31" s="296"/>
      <c r="BU31" s="296"/>
      <c r="BV31" s="296"/>
      <c r="BW31" s="296"/>
      <c r="BX31" s="296"/>
      <c r="BY31" s="296"/>
      <c r="BZ31" s="296"/>
      <c r="CA31" s="296"/>
      <c r="CB31" s="296"/>
      <c r="CC31" s="296"/>
      <c r="CD31" s="296"/>
      <c r="CE31" s="296"/>
      <c r="CF31" s="296"/>
      <c r="CG31" s="296"/>
      <c r="CH31" s="296"/>
      <c r="CI31" s="296"/>
      <c r="CJ31" s="296"/>
      <c r="CK31" s="296"/>
      <c r="CL31" s="296"/>
      <c r="CM31" s="296"/>
      <c r="CN31" s="296"/>
      <c r="CO31" s="296"/>
      <c r="CP31" s="296"/>
      <c r="CQ31" s="296"/>
      <c r="CR31" s="296"/>
      <c r="CS31" s="296"/>
      <c r="CT31" s="296"/>
      <c r="CU31" s="296"/>
      <c r="CV31" s="296"/>
      <c r="CW31" s="296"/>
      <c r="CX31" s="296"/>
      <c r="CY31" s="296"/>
      <c r="CZ31" s="312"/>
      <c r="DA31" s="312"/>
      <c r="DB31" s="312"/>
      <c r="DC31" s="312"/>
      <c r="DD31" s="312"/>
      <c r="DE31" s="312"/>
      <c r="DF31" s="312"/>
      <c r="DG31" s="312"/>
      <c r="DH31" s="312"/>
      <c r="DI31" s="312"/>
      <c r="DJ31" s="312"/>
      <c r="DK31" s="312"/>
      <c r="DL31" s="312"/>
      <c r="DM31" s="312"/>
      <c r="DN31" s="312"/>
      <c r="DO31" s="312"/>
      <c r="DP31" s="312"/>
      <c r="DQ31" s="312"/>
      <c r="DR31" s="312"/>
      <c r="DS31" s="312"/>
    </row>
    <row r="32" spans="1:148" s="194" customFormat="1" ht="15.75" x14ac:dyDescent="0.25">
      <c r="A32" s="188">
        <v>690</v>
      </c>
      <c r="B32" s="189" t="s">
        <v>44</v>
      </c>
      <c r="C32" s="181"/>
      <c r="D32" s="179"/>
      <c r="E32" s="182"/>
      <c r="F32" s="181"/>
      <c r="G32" s="183"/>
      <c r="H32" s="179"/>
      <c r="I32" s="184"/>
      <c r="J32" s="184"/>
      <c r="K32" s="184"/>
      <c r="L32" s="184"/>
      <c r="M32" s="184"/>
      <c r="N32" s="185"/>
      <c r="O32" s="185"/>
      <c r="P32" s="184"/>
      <c r="Q32" s="184"/>
      <c r="R32" s="184"/>
      <c r="S32" s="185"/>
      <c r="T32" s="182"/>
      <c r="U32" s="185"/>
      <c r="V32" s="186"/>
      <c r="W32" s="186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1"/>
      <c r="AL32" s="192"/>
      <c r="AM32" s="192"/>
      <c r="AN32" s="192"/>
      <c r="AO32" s="192"/>
      <c r="AP32" s="192"/>
      <c r="AQ32" s="192"/>
      <c r="AR32" s="192"/>
      <c r="AS32" s="192"/>
      <c r="AT32" s="192"/>
      <c r="AU32" s="193"/>
      <c r="AV32" s="193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294"/>
      <c r="BJ32" s="217"/>
      <c r="BK32" s="218"/>
      <c r="BL32" s="219"/>
      <c r="BM32" s="218"/>
      <c r="BN32" s="297"/>
      <c r="BO32" s="298"/>
      <c r="BP32" s="299"/>
      <c r="BQ32" s="300"/>
      <c r="BR32" s="300"/>
      <c r="BS32" s="300"/>
      <c r="BT32" s="299"/>
      <c r="BU32" s="298"/>
      <c r="BV32" s="218"/>
      <c r="BW32" s="218"/>
      <c r="BX32" s="301"/>
      <c r="BY32" s="301"/>
      <c r="BZ32" s="301"/>
      <c r="CA32" s="301"/>
      <c r="CB32" s="301"/>
      <c r="CC32" s="301"/>
      <c r="CD32" s="301"/>
      <c r="CE32" s="301"/>
      <c r="CF32" s="301"/>
      <c r="CG32" s="301"/>
      <c r="CH32" s="301"/>
      <c r="CI32" s="301"/>
      <c r="CJ32" s="301"/>
      <c r="CK32" s="301"/>
      <c r="CL32" s="301"/>
      <c r="CM32" s="301"/>
      <c r="CN32" s="302"/>
      <c r="CO32" s="305"/>
      <c r="CP32" s="306"/>
      <c r="CQ32" s="307"/>
      <c r="CR32" s="308"/>
      <c r="CS32" s="309"/>
      <c r="CT32" s="294"/>
      <c r="CU32" s="308"/>
      <c r="CV32" s="310"/>
      <c r="CW32" s="311"/>
      <c r="CX32" s="311"/>
      <c r="CY32" s="294"/>
      <c r="CZ32" s="313"/>
      <c r="DA32" s="314"/>
      <c r="DB32" s="303"/>
      <c r="DC32" s="303"/>
      <c r="DD32" s="315"/>
      <c r="DE32" s="315"/>
      <c r="DF32" s="315"/>
      <c r="DG32" s="315"/>
      <c r="DH32" s="315"/>
      <c r="DI32" s="315"/>
      <c r="DJ32" s="315"/>
      <c r="DK32" s="315"/>
      <c r="DL32" s="315"/>
      <c r="DM32" s="315"/>
      <c r="DN32" s="315"/>
      <c r="DO32" s="315"/>
      <c r="DP32" s="315"/>
      <c r="DQ32" s="315"/>
      <c r="DR32" s="315"/>
      <c r="DS32" s="315"/>
    </row>
    <row r="33" spans="1:123" s="194" customFormat="1" ht="15.75" x14ac:dyDescent="0.25">
      <c r="A33" s="188">
        <v>721</v>
      </c>
      <c r="B33" s="189"/>
      <c r="C33" s="181"/>
      <c r="D33" s="179"/>
      <c r="E33" s="182"/>
      <c r="F33" s="181"/>
      <c r="G33" s="183"/>
      <c r="H33" s="179"/>
      <c r="I33" s="195"/>
      <c r="J33" s="195"/>
      <c r="K33" s="195"/>
      <c r="L33" s="195"/>
      <c r="M33" s="195"/>
      <c r="N33" s="196"/>
      <c r="O33" s="196"/>
      <c r="P33" s="195"/>
      <c r="Q33" s="195"/>
      <c r="R33" s="195"/>
      <c r="S33" s="196"/>
      <c r="T33" s="197"/>
      <c r="U33" s="196"/>
      <c r="V33" s="186"/>
      <c r="W33" s="186"/>
      <c r="X33" s="429" t="s">
        <v>43</v>
      </c>
      <c r="Y33" s="429"/>
      <c r="Z33" s="429"/>
      <c r="AA33" s="429"/>
      <c r="AB33" s="429"/>
      <c r="AC33" s="429"/>
      <c r="AD33" s="429"/>
      <c r="AE33" s="429"/>
      <c r="AF33" s="429"/>
      <c r="AG33" s="429"/>
      <c r="AH33" s="429"/>
      <c r="AI33" s="429"/>
      <c r="AJ33" s="429"/>
      <c r="AK33" s="429"/>
      <c r="AL33" s="429"/>
      <c r="AM33" s="429"/>
      <c r="AN33" s="429"/>
      <c r="AO33" s="429"/>
      <c r="AP33" s="429"/>
      <c r="AQ33" s="429"/>
      <c r="AR33" s="429"/>
      <c r="AS33" s="429"/>
      <c r="AT33" s="429"/>
      <c r="AU33" s="429"/>
      <c r="AV33" s="429"/>
      <c r="AW33" s="429"/>
      <c r="AX33" s="429"/>
      <c r="AY33" s="429"/>
      <c r="AZ33" s="429"/>
      <c r="BA33" s="429"/>
      <c r="BB33" s="429"/>
      <c r="BC33" s="429"/>
      <c r="BD33" s="429"/>
      <c r="BE33" s="429"/>
      <c r="BF33" s="429"/>
      <c r="BG33" s="429"/>
      <c r="BH33" s="429"/>
      <c r="BI33" s="294"/>
      <c r="BJ33" s="217"/>
      <c r="BK33" s="218"/>
      <c r="BL33" s="219"/>
      <c r="BM33" s="218"/>
      <c r="BN33" s="297"/>
      <c r="BO33" s="298"/>
      <c r="BP33" s="299"/>
      <c r="BQ33" s="300"/>
      <c r="BR33" s="300"/>
      <c r="BS33" s="300"/>
      <c r="BT33" s="299"/>
      <c r="BU33" s="298"/>
      <c r="BV33" s="218"/>
      <c r="BW33" s="218"/>
      <c r="BX33" s="301"/>
      <c r="BY33" s="301"/>
      <c r="BZ33" s="301"/>
      <c r="CA33" s="301"/>
      <c r="CB33" s="301"/>
      <c r="CC33" s="301"/>
      <c r="CD33" s="301"/>
      <c r="CE33" s="301"/>
      <c r="CF33" s="301"/>
      <c r="CG33" s="301"/>
      <c r="CH33" s="301"/>
      <c r="CI33" s="301"/>
      <c r="CJ33" s="301"/>
      <c r="CK33" s="301"/>
      <c r="CL33" s="301"/>
      <c r="CM33" s="301"/>
      <c r="CN33" s="302"/>
      <c r="CO33" s="305"/>
      <c r="CP33" s="306"/>
      <c r="CQ33" s="307"/>
      <c r="CR33" s="308"/>
      <c r="CS33" s="309"/>
      <c r="CT33" s="294"/>
      <c r="CU33" s="308"/>
      <c r="CV33" s="310"/>
      <c r="CW33" s="311"/>
      <c r="CX33" s="311"/>
      <c r="CY33" s="294"/>
      <c r="CZ33" s="313"/>
      <c r="DA33" s="314"/>
      <c r="DB33" s="303"/>
      <c r="DC33" s="303"/>
      <c r="DD33" s="315"/>
      <c r="DE33" s="315"/>
      <c r="DF33" s="315"/>
      <c r="DG33" s="315"/>
      <c r="DH33" s="315"/>
      <c r="DI33" s="315"/>
      <c r="DJ33" s="315"/>
      <c r="DK33" s="315"/>
      <c r="DL33" s="315"/>
      <c r="DM33" s="315"/>
      <c r="DN33" s="315"/>
      <c r="DO33" s="315"/>
      <c r="DP33" s="315"/>
      <c r="DQ33" s="315"/>
      <c r="DR33" s="315"/>
      <c r="DS33" s="315"/>
    </row>
    <row r="34" spans="1:123" s="194" customFormat="1" ht="15.75" x14ac:dyDescent="0.25">
      <c r="A34" s="188">
        <v>746</v>
      </c>
      <c r="C34" s="181"/>
      <c r="D34" s="179"/>
      <c r="E34" s="182"/>
      <c r="F34" s="181"/>
      <c r="G34" s="183"/>
      <c r="H34" s="179"/>
      <c r="I34" s="195"/>
      <c r="J34" s="195"/>
      <c r="K34" s="195"/>
      <c r="L34" s="195"/>
      <c r="M34" s="195"/>
      <c r="N34" s="196"/>
      <c r="O34" s="196"/>
      <c r="P34" s="195"/>
      <c r="Q34" s="195"/>
      <c r="R34" s="195"/>
      <c r="S34" s="196"/>
      <c r="T34" s="197"/>
      <c r="U34" s="196"/>
      <c r="V34" s="186"/>
      <c r="W34" s="186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294"/>
      <c r="BJ34" s="217"/>
      <c r="BK34" s="218"/>
      <c r="BL34" s="219"/>
      <c r="BM34" s="218"/>
      <c r="BN34" s="297"/>
      <c r="BO34" s="298"/>
      <c r="BP34" s="299"/>
      <c r="BQ34" s="300"/>
      <c r="BR34" s="300"/>
      <c r="BS34" s="300"/>
      <c r="BT34" s="299"/>
      <c r="BU34" s="298"/>
      <c r="BV34" s="218"/>
      <c r="BW34" s="218"/>
      <c r="BX34" s="301"/>
      <c r="BY34" s="301"/>
      <c r="BZ34" s="301"/>
      <c r="CA34" s="301"/>
      <c r="CB34" s="301"/>
      <c r="CC34" s="301"/>
      <c r="CD34" s="301"/>
      <c r="CE34" s="301"/>
      <c r="CF34" s="301"/>
      <c r="CG34" s="301"/>
      <c r="CH34" s="301"/>
      <c r="CI34" s="301"/>
      <c r="CJ34" s="301"/>
      <c r="CK34" s="301"/>
      <c r="CL34" s="301"/>
      <c r="CM34" s="301"/>
      <c r="CN34" s="302"/>
      <c r="CO34" s="305"/>
      <c r="CP34" s="306"/>
      <c r="CQ34" s="307"/>
      <c r="CR34" s="308"/>
      <c r="CS34" s="309"/>
      <c r="CT34" s="294"/>
      <c r="CU34" s="308"/>
      <c r="CV34" s="310"/>
      <c r="CW34" s="311"/>
      <c r="CX34" s="311"/>
      <c r="CY34" s="294"/>
      <c r="CZ34" s="313"/>
      <c r="DA34" s="314"/>
      <c r="DB34" s="303"/>
      <c r="DC34" s="303"/>
      <c r="DD34" s="315"/>
      <c r="DE34" s="315"/>
      <c r="DF34" s="315"/>
      <c r="DG34" s="315"/>
      <c r="DH34" s="315"/>
      <c r="DI34" s="315"/>
      <c r="DJ34" s="315"/>
      <c r="DK34" s="315"/>
      <c r="DL34" s="315"/>
      <c r="DM34" s="315"/>
      <c r="DN34" s="315"/>
      <c r="DO34" s="315"/>
      <c r="DP34" s="315"/>
      <c r="DQ34" s="315"/>
      <c r="DR34" s="315"/>
      <c r="DS34" s="315"/>
    </row>
    <row r="35" spans="1:123" s="194" customFormat="1" ht="16.5" customHeight="1" x14ac:dyDescent="0.3">
      <c r="A35" s="188">
        <v>749</v>
      </c>
      <c r="B35" s="199"/>
      <c r="C35" s="181"/>
      <c r="D35" s="200"/>
      <c r="E35" s="182"/>
      <c r="F35" s="181"/>
      <c r="G35" s="183"/>
      <c r="H35" s="179"/>
      <c r="I35" s="195"/>
      <c r="J35" s="195"/>
      <c r="K35" s="195"/>
      <c r="L35" s="195"/>
      <c r="M35" s="195"/>
      <c r="N35" s="196"/>
      <c r="O35" s="196"/>
      <c r="P35" s="195"/>
      <c r="Q35" s="195"/>
      <c r="R35" s="195"/>
      <c r="S35" s="196"/>
      <c r="T35" s="197"/>
      <c r="U35" s="196"/>
      <c r="V35" s="186"/>
      <c r="W35" s="186"/>
      <c r="X35" s="430" t="s">
        <v>88</v>
      </c>
      <c r="Y35" s="430"/>
      <c r="Z35" s="430"/>
      <c r="AA35" s="430"/>
      <c r="AB35" s="430"/>
      <c r="AC35" s="430"/>
      <c r="AD35" s="430"/>
      <c r="AE35" s="430"/>
      <c r="AF35" s="430"/>
      <c r="AG35" s="430"/>
      <c r="AH35" s="430"/>
      <c r="AI35" s="430"/>
      <c r="AJ35" s="430"/>
      <c r="AK35" s="430"/>
      <c r="AL35" s="430"/>
      <c r="AM35" s="430"/>
      <c r="AN35" s="430"/>
      <c r="AO35" s="430"/>
      <c r="AP35" s="430"/>
      <c r="AQ35" s="430"/>
      <c r="AR35" s="430"/>
      <c r="AS35" s="430"/>
      <c r="AT35" s="430"/>
      <c r="AU35" s="430"/>
      <c r="AV35" s="430"/>
      <c r="AW35" s="430"/>
      <c r="AX35" s="430"/>
      <c r="AY35" s="430"/>
      <c r="AZ35" s="430"/>
      <c r="BA35" s="430"/>
      <c r="BB35" s="430"/>
      <c r="BC35" s="430"/>
      <c r="BD35" s="430"/>
      <c r="BE35" s="430"/>
      <c r="BF35" s="430"/>
      <c r="BG35" s="430"/>
      <c r="BH35" s="430"/>
      <c r="BI35" s="316"/>
      <c r="BJ35" s="217"/>
      <c r="BK35" s="218"/>
      <c r="BL35" s="219"/>
      <c r="BM35" s="218"/>
      <c r="BN35" s="297"/>
      <c r="BO35" s="298"/>
      <c r="BP35" s="299"/>
      <c r="BQ35" s="300"/>
      <c r="BR35" s="300"/>
      <c r="BS35" s="300"/>
      <c r="BT35" s="299"/>
      <c r="BU35" s="298"/>
      <c r="BV35" s="218"/>
      <c r="BW35" s="218"/>
      <c r="BX35" s="301"/>
      <c r="BY35" s="301"/>
      <c r="BZ35" s="301"/>
      <c r="CA35" s="301"/>
      <c r="CB35" s="301"/>
      <c r="CC35" s="301"/>
      <c r="CD35" s="301"/>
      <c r="CE35" s="301"/>
      <c r="CF35" s="301"/>
      <c r="CG35" s="301"/>
      <c r="CH35" s="301"/>
      <c r="CI35" s="301"/>
      <c r="CJ35" s="301"/>
      <c r="CK35" s="301"/>
      <c r="CL35" s="301"/>
      <c r="CM35" s="301"/>
      <c r="CN35" s="302"/>
      <c r="CO35" s="305"/>
      <c r="CP35" s="306"/>
      <c r="CQ35" s="307"/>
      <c r="CR35" s="308"/>
      <c r="CS35" s="309"/>
      <c r="CT35" s="294"/>
      <c r="CU35" s="308"/>
      <c r="CV35" s="310"/>
      <c r="CW35" s="311"/>
      <c r="CX35" s="311"/>
      <c r="CY35" s="294"/>
      <c r="CZ35" s="313"/>
      <c r="DA35" s="314"/>
      <c r="DB35" s="303"/>
      <c r="DC35" s="303"/>
      <c r="DD35" s="315"/>
      <c r="DE35" s="315"/>
      <c r="DF35" s="315"/>
      <c r="DG35" s="315"/>
      <c r="DH35" s="315"/>
      <c r="DI35" s="315"/>
      <c r="DJ35" s="315"/>
      <c r="DK35" s="315"/>
      <c r="DL35" s="315"/>
      <c r="DM35" s="315"/>
      <c r="DN35" s="315"/>
      <c r="DO35" s="315"/>
      <c r="DP35" s="315"/>
      <c r="DQ35" s="315"/>
      <c r="DR35" s="315"/>
      <c r="DS35" s="315"/>
    </row>
  </sheetData>
  <mergeCells count="37">
    <mergeCell ref="A4:BH5"/>
    <mergeCell ref="B1:N1"/>
    <mergeCell ref="S1:AE1"/>
    <mergeCell ref="B2:N2"/>
    <mergeCell ref="S2:AE2"/>
    <mergeCell ref="S3:AE3"/>
    <mergeCell ref="AF6:AJ6"/>
    <mergeCell ref="B13:B14"/>
    <mergeCell ref="D13:D14"/>
    <mergeCell ref="E13:E14"/>
    <mergeCell ref="S13:T14"/>
    <mergeCell ref="U13:U14"/>
    <mergeCell ref="V13:V14"/>
    <mergeCell ref="N13:P14"/>
    <mergeCell ref="F13:F14"/>
    <mergeCell ref="B11:E11"/>
    <mergeCell ref="X33:BH33"/>
    <mergeCell ref="X35:BH35"/>
    <mergeCell ref="S15:T15"/>
    <mergeCell ref="D25:U25"/>
    <mergeCell ref="N15:P15"/>
    <mergeCell ref="X15:AA15"/>
    <mergeCell ref="AC15:AE15"/>
    <mergeCell ref="AG15:AK15"/>
    <mergeCell ref="BI13:BI14"/>
    <mergeCell ref="D16:U16"/>
    <mergeCell ref="E10:S10"/>
    <mergeCell ref="X30:BH30"/>
    <mergeCell ref="X31:BH31"/>
    <mergeCell ref="AM13:AM14"/>
    <mergeCell ref="AX13:AX14"/>
    <mergeCell ref="BH13:BH14"/>
    <mergeCell ref="Y14:AA14"/>
    <mergeCell ref="AC14:AE14"/>
    <mergeCell ref="AG14:AK14"/>
    <mergeCell ref="X13:AK13"/>
    <mergeCell ref="AL13:AL14"/>
  </mergeCells>
  <conditionalFormatting sqref="BI12">
    <cfRule type="expression" dxfId="351" priority="4028" stopIfTrue="1">
      <formula>IF(BJ12="Trên 45",1,0)</formula>
    </cfRule>
    <cfRule type="expression" dxfId="350" priority="4029" stopIfTrue="1">
      <formula>IF(BJ12="30 - 45",1,0)</formula>
    </cfRule>
    <cfRule type="expression" dxfId="349" priority="4030" stopIfTrue="1">
      <formula>IF(BJ12="Dưới 30",1,0)</formula>
    </cfRule>
  </conditionalFormatting>
  <conditionalFormatting sqref="CU12:CU14">
    <cfRule type="expression" dxfId="348" priority="4031" stopIfTrue="1">
      <formula>IF(CV12&gt;0,1,0)</formula>
    </cfRule>
    <cfRule type="expression" dxfId="347" priority="4032" stopIfTrue="1">
      <formula>IF(CV12=0,1,0)</formula>
    </cfRule>
  </conditionalFormatting>
  <conditionalFormatting sqref="CT12:CT14">
    <cfRule type="expression" dxfId="346" priority="4022" stopIfTrue="1">
      <formula>12*(#REF!-CM12)+(#REF!-CK12)</formula>
    </cfRule>
  </conditionalFormatting>
  <conditionalFormatting sqref="CY12:CY14">
    <cfRule type="expression" dxfId="345" priority="4023" stopIfTrue="1">
      <formula>12*(#REF!-CQ12)+(#REF!-CO12)</formula>
    </cfRule>
  </conditionalFormatting>
  <conditionalFormatting sqref="BJ10">
    <cfRule type="expression" dxfId="344" priority="3808" stopIfTrue="1">
      <formula>IF(BK10="Trên 45",1,0)</formula>
    </cfRule>
    <cfRule type="expression" dxfId="343" priority="3809" stopIfTrue="1">
      <formula>IF(BK10="30 - 45",1,0)</formula>
    </cfRule>
    <cfRule type="expression" dxfId="342" priority="3810" stopIfTrue="1">
      <formula>IF(BK10="Dưới 30",1,0)</formula>
    </cfRule>
  </conditionalFormatting>
  <conditionalFormatting sqref="CV10">
    <cfRule type="expression" dxfId="341" priority="3811" stopIfTrue="1">
      <formula>IF(CW10&gt;0,1,0)</formula>
    </cfRule>
    <cfRule type="expression" dxfId="340" priority="3812" stopIfTrue="1">
      <formula>IF(CW10=0,1,0)</formula>
    </cfRule>
  </conditionalFormatting>
  <conditionalFormatting sqref="BI10">
    <cfRule type="cellIs" dxfId="339" priority="3813" stopIfTrue="1" operator="between">
      <formula>"720"</formula>
      <formula>"720"</formula>
    </cfRule>
    <cfRule type="cellIs" dxfId="338" priority="3814" stopIfTrue="1" operator="between">
      <formula>"660"</formula>
      <formula>"660"</formula>
    </cfRule>
  </conditionalFormatting>
  <conditionalFormatting sqref="CY10">
    <cfRule type="expression" dxfId="337" priority="3820" stopIfTrue="1">
      <formula>IF(OR(CY10=0.36),1,0)</formula>
    </cfRule>
    <cfRule type="expression" dxfId="336" priority="3821" stopIfTrue="1">
      <formula>IF(CY10=0.34,1,0)</formula>
    </cfRule>
    <cfRule type="expression" dxfId="335" priority="3822" stopIfTrue="1">
      <formula>IF(CY10&lt;0.33,1,0)</formula>
    </cfRule>
  </conditionalFormatting>
  <conditionalFormatting sqref="DB10">
    <cfRule type="cellIs" dxfId="334" priority="3823" stopIfTrue="1" operator="between">
      <formula>"Hưu"</formula>
      <formula>"Hưu"</formula>
    </cfRule>
    <cfRule type="cellIs" dxfId="333" priority="3824" stopIfTrue="1" operator="between">
      <formula>"---"</formula>
      <formula>"---"</formula>
    </cfRule>
    <cfRule type="cellIs" dxfId="332" priority="3825" stopIfTrue="1" operator="between">
      <formula>"Quá"</formula>
      <formula>"Quá"</formula>
    </cfRule>
  </conditionalFormatting>
  <conditionalFormatting sqref="CX10">
    <cfRule type="expression" dxfId="331" priority="3826" stopIfTrue="1">
      <formula>IF(OR(CX10=5.57,CX10=6.2),1,0)</formula>
    </cfRule>
    <cfRule type="expression" dxfId="330" priority="3827" stopIfTrue="1">
      <formula>IF(OR(CX10=4,CX10=4.4),1,0)</formula>
    </cfRule>
    <cfRule type="expression" dxfId="329" priority="3828" stopIfTrue="1">
      <formula>IF(AND(CX10&gt;0.9,CX10&lt;2.34),1,0)</formula>
    </cfRule>
  </conditionalFormatting>
  <conditionalFormatting sqref="CT10">
    <cfRule type="cellIs" dxfId="328" priority="3829" stopIfTrue="1" operator="between">
      <formula>1</formula>
      <formula>1</formula>
    </cfRule>
    <cfRule type="cellIs" dxfId="327" priority="3830" stopIfTrue="1" operator="between">
      <formula>2</formula>
      <formula>2</formula>
    </cfRule>
    <cfRule type="cellIs" dxfId="326" priority="3831" stopIfTrue="1" operator="between">
      <formula>3</formula>
      <formula>3</formula>
    </cfRule>
  </conditionalFormatting>
  <conditionalFormatting sqref="CW10">
    <cfRule type="expression" dxfId="325" priority="3832" stopIfTrue="1">
      <formula>IF(CW10&gt;0,1,0)</formula>
    </cfRule>
    <cfRule type="expression" dxfId="324" priority="3833" stopIfTrue="1">
      <formula>IF(CW10&lt;1,1,0)</formula>
    </cfRule>
  </conditionalFormatting>
  <conditionalFormatting sqref="CS10">
    <cfRule type="cellIs" dxfId="323" priority="3834" stopIfTrue="1" operator="between">
      <formula>"Đến"</formula>
      <formula>"Đến"</formula>
    </cfRule>
    <cfRule type="cellIs" dxfId="322" priority="3835" stopIfTrue="1" operator="between">
      <formula>"Quá"</formula>
      <formula>"Quá"</formula>
    </cfRule>
    <cfRule type="expression" dxfId="321" priority="3836" stopIfTrue="1">
      <formula>IF(OR(CS10="Lương Sớm Hưu",CS10="Nâng Ngạch Hưu"),1,0)</formula>
    </cfRule>
  </conditionalFormatting>
  <conditionalFormatting sqref="DC10:DD10">
    <cfRule type="expression" dxfId="320" priority="3837" stopIfTrue="1">
      <formula>IF(DC10&gt;0,1,0)</formula>
    </cfRule>
  </conditionalFormatting>
  <conditionalFormatting sqref="CR10">
    <cfRule type="cellIs" dxfId="319" priority="3838" stopIfTrue="1" operator="between">
      <formula>"B"</formula>
      <formula>"B"</formula>
    </cfRule>
    <cfRule type="cellIs" dxfId="318" priority="3839" stopIfTrue="1" operator="between">
      <formula>"C"</formula>
      <formula>"C"</formula>
    </cfRule>
    <cfRule type="cellIs" dxfId="317" priority="3840" stopIfTrue="1" operator="between">
      <formula>"D"</formula>
      <formula>"D"</formula>
    </cfRule>
  </conditionalFormatting>
  <conditionalFormatting sqref="CQ10">
    <cfRule type="cellIs" dxfId="316" priority="3841" stopIfTrue="1" operator="between">
      <formula>"công chức, viên chức"</formula>
      <formula>"công chức, viên chức"</formula>
    </cfRule>
    <cfRule type="cellIs" dxfId="315" priority="3842" stopIfTrue="1" operator="between">
      <formula>"lao động hợp đồng"</formula>
      <formula>"lao động hợp đồng"</formula>
    </cfRule>
  </conditionalFormatting>
  <conditionalFormatting sqref="DA10">
    <cfRule type="expression" dxfId="314" priority="3843" stopIfTrue="1">
      <formula>IF(DA10="Nâg Ngạch sau TB",1,0)</formula>
    </cfRule>
    <cfRule type="expression" dxfId="313" priority="3844" stopIfTrue="1">
      <formula>IF(DA10="Nâg Lươg Sớm sau TB",1,0)</formula>
    </cfRule>
    <cfRule type="expression" dxfId="312" priority="3845" stopIfTrue="1">
      <formula>IF(DA10="Nâg PC TNVK cùng QĐ",1,0)</formula>
    </cfRule>
  </conditionalFormatting>
  <conditionalFormatting sqref="CP10">
    <cfRule type="expression" dxfId="311" priority="3846" stopIfTrue="1">
      <formula>IF(CP10=0,1,0)</formula>
    </cfRule>
    <cfRule type="expression" dxfId="310" priority="3847" stopIfTrue="1">
      <formula>IF(CP10&gt;0,1,0)</formula>
    </cfRule>
  </conditionalFormatting>
  <conditionalFormatting sqref="BK10">
    <cfRule type="expression" dxfId="309" priority="3815" stopIfTrue="1">
      <formula>IF(BK10="Trên 45",1,0)</formula>
    </cfRule>
    <cfRule type="expression" dxfId="308" priority="3816" stopIfTrue="1">
      <formula>IF(BK10="30 - 45",1,0)</formula>
    </cfRule>
    <cfRule type="expression" dxfId="307" priority="3817" stopIfTrue="1">
      <formula>IF(BK10="Dưới 30",1,0)</formula>
    </cfRule>
  </conditionalFormatting>
  <conditionalFormatting sqref="BM10">
    <cfRule type="cellIs" dxfId="306" priority="3818" stopIfTrue="1" operator="between">
      <formula>"Có hạn"</formula>
      <formula>"Có hạn"</formula>
    </cfRule>
    <cfRule type="cellIs" dxfId="305" priority="3819" stopIfTrue="1" operator="between">
      <formula>"Ko hạn"</formula>
      <formula>"Ko hạn"</formula>
    </cfRule>
  </conditionalFormatting>
  <conditionalFormatting sqref="CX12:CX14">
    <cfRule type="expression" dxfId="304" priority="3780" stopIfTrue="1">
      <formula>IF(OR(CX12=0.36),1,0)</formula>
    </cfRule>
    <cfRule type="expression" dxfId="303" priority="3781" stopIfTrue="1">
      <formula>IF(CX12=0.34,1,0)</formula>
    </cfRule>
    <cfRule type="expression" dxfId="302" priority="3782" stopIfTrue="1">
      <formula>IF(CX12&lt;0.33,1,0)</formula>
    </cfRule>
  </conditionalFormatting>
  <conditionalFormatting sqref="DA12:DA14">
    <cfRule type="cellIs" dxfId="301" priority="3783" stopIfTrue="1" operator="between">
      <formula>"Hưu"</formula>
      <formula>"Hưu"</formula>
    </cfRule>
    <cfRule type="cellIs" dxfId="300" priority="3784" stopIfTrue="1" operator="between">
      <formula>"---"</formula>
      <formula>"---"</formula>
    </cfRule>
    <cfRule type="cellIs" dxfId="299" priority="3785" stopIfTrue="1" operator="between">
      <formula>"Quá"</formula>
      <formula>"Quá"</formula>
    </cfRule>
  </conditionalFormatting>
  <conditionalFormatting sqref="CW12:CW14">
    <cfRule type="expression" dxfId="298" priority="3786" stopIfTrue="1">
      <formula>IF(OR(CW12=5.57,CW12=6.2),1,0)</formula>
    </cfRule>
    <cfRule type="expression" dxfId="297" priority="3787" stopIfTrue="1">
      <formula>IF(OR(CW12=4,CW12=4.4),1,0)</formula>
    </cfRule>
    <cfRule type="expression" dxfId="296" priority="3788" stopIfTrue="1">
      <formula>IF(AND(CW12&gt;0.9,CW12&lt;2.34),1,0)</formula>
    </cfRule>
  </conditionalFormatting>
  <conditionalFormatting sqref="CS12:CS14">
    <cfRule type="cellIs" dxfId="295" priority="3789" stopIfTrue="1" operator="between">
      <formula>1</formula>
      <formula>1</formula>
    </cfRule>
    <cfRule type="cellIs" dxfId="294" priority="3790" stopIfTrue="1" operator="between">
      <formula>2</formula>
      <formula>2</formula>
    </cfRule>
    <cfRule type="cellIs" dxfId="293" priority="3791" stopIfTrue="1" operator="between">
      <formula>3</formula>
      <formula>3</formula>
    </cfRule>
  </conditionalFormatting>
  <conditionalFormatting sqref="CV12:CV14">
    <cfRule type="expression" dxfId="292" priority="3792" stopIfTrue="1">
      <formula>IF(CV12&gt;0,1,0)</formula>
    </cfRule>
    <cfRule type="expression" dxfId="291" priority="3793" stopIfTrue="1">
      <formula>IF(CV12&lt;1,1,0)</formula>
    </cfRule>
  </conditionalFormatting>
  <conditionalFormatting sqref="CR12:CR14">
    <cfRule type="cellIs" dxfId="290" priority="3794" stopIfTrue="1" operator="between">
      <formula>"Đến"</formula>
      <formula>"Đến"</formula>
    </cfRule>
    <cfRule type="cellIs" dxfId="289" priority="3795" stopIfTrue="1" operator="between">
      <formula>"Quá"</formula>
      <formula>"Quá"</formula>
    </cfRule>
    <cfRule type="expression" dxfId="288" priority="3796" stopIfTrue="1">
      <formula>IF(OR(CR12="Lương Sớm Hưu",CR12="Nâng Ngạch Hưu"),1,0)</formula>
    </cfRule>
  </conditionalFormatting>
  <conditionalFormatting sqref="DB12:DC14">
    <cfRule type="expression" dxfId="287" priority="3797" stopIfTrue="1">
      <formula>IF(DB12&gt;0,1,0)</formula>
    </cfRule>
  </conditionalFormatting>
  <conditionalFormatting sqref="CQ12:CQ14">
    <cfRule type="cellIs" dxfId="286" priority="3798" stopIfTrue="1" operator="between">
      <formula>"B"</formula>
      <formula>"B"</formula>
    </cfRule>
    <cfRule type="cellIs" dxfId="285" priority="3799" stopIfTrue="1" operator="between">
      <formula>"C"</formula>
      <formula>"C"</formula>
    </cfRule>
    <cfRule type="cellIs" dxfId="284" priority="3800" stopIfTrue="1" operator="between">
      <formula>"D"</formula>
      <formula>"D"</formula>
    </cfRule>
  </conditionalFormatting>
  <conditionalFormatting sqref="CP12:CP14">
    <cfRule type="cellIs" dxfId="283" priority="3801" stopIfTrue="1" operator="between">
      <formula>"công chức, viên chức"</formula>
      <formula>"công chức, viên chức"</formula>
    </cfRule>
    <cfRule type="cellIs" dxfId="282" priority="3802" stopIfTrue="1" operator="between">
      <formula>"lao động hợp đồng"</formula>
      <formula>"lao động hợp đồng"</formula>
    </cfRule>
  </conditionalFormatting>
  <conditionalFormatting sqref="CZ12:CZ14">
    <cfRule type="expression" dxfId="281" priority="3803" stopIfTrue="1">
      <formula>IF(CZ12="Nâg Ngạch sau TB",1,0)</formula>
    </cfRule>
    <cfRule type="expression" dxfId="280" priority="3804" stopIfTrue="1">
      <formula>IF(CZ12="Nâg Lươg Sớm sau TB",1,0)</formula>
    </cfRule>
    <cfRule type="expression" dxfId="279" priority="3805" stopIfTrue="1">
      <formula>IF(CZ12="Nâg PC TNVK cùng QĐ",1,0)</formula>
    </cfRule>
  </conditionalFormatting>
  <conditionalFormatting sqref="CO12:CO14">
    <cfRule type="expression" dxfId="278" priority="3806" stopIfTrue="1">
      <formula>IF(CO12=0,1,0)</formula>
    </cfRule>
    <cfRule type="expression" dxfId="277" priority="3807" stopIfTrue="1">
      <formula>IF(CO12&gt;0,1,0)</formula>
    </cfRule>
  </conditionalFormatting>
  <conditionalFormatting sqref="BJ12:BJ14">
    <cfRule type="expression" dxfId="276" priority="3775" stopIfTrue="1">
      <formula>IF(BJ12="Trên 45",1,0)</formula>
    </cfRule>
    <cfRule type="expression" dxfId="275" priority="3776" stopIfTrue="1">
      <formula>IF(BJ12="30 - 45",1,0)</formula>
    </cfRule>
    <cfRule type="expression" dxfId="274" priority="3777" stopIfTrue="1">
      <formula>IF(BJ12="Dưới 30",1,0)</formula>
    </cfRule>
  </conditionalFormatting>
  <conditionalFormatting sqref="BL12:BL14">
    <cfRule type="cellIs" dxfId="273" priority="3778" stopIfTrue="1" operator="between">
      <formula>"Có hạn"</formula>
      <formula>"Có hạn"</formula>
    </cfRule>
    <cfRule type="cellIs" dxfId="272" priority="3779" stopIfTrue="1" operator="between">
      <formula>"Ko hạn"</formula>
      <formula>"Ko hạn"</formula>
    </cfRule>
  </conditionalFormatting>
  <conditionalFormatting sqref="CZ10">
    <cfRule type="expression" dxfId="271" priority="4078" stopIfTrue="1">
      <formula>12*(#REF!-CR10)+(#REF!-CP10)</formula>
    </cfRule>
  </conditionalFormatting>
  <conditionalFormatting sqref="CU10">
    <cfRule type="expression" dxfId="270" priority="4079" stopIfTrue="1">
      <formula>12*(#REF!-CN10)+(#REF!-CL10)</formula>
    </cfRule>
  </conditionalFormatting>
  <conditionalFormatting sqref="BI32:BI34">
    <cfRule type="expression" dxfId="269" priority="3731" stopIfTrue="1">
      <formula>IF(BJ32="Trên 45",1,0)</formula>
    </cfRule>
    <cfRule type="expression" dxfId="268" priority="3732" stopIfTrue="1">
      <formula>IF(BJ32="30 - 45",1,0)</formula>
    </cfRule>
    <cfRule type="expression" dxfId="267" priority="3733" stopIfTrue="1">
      <formula>IF(BJ32="Dưới 30",1,0)</formula>
    </cfRule>
  </conditionalFormatting>
  <conditionalFormatting sqref="CU32:CU35">
    <cfRule type="expression" dxfId="266" priority="3734" stopIfTrue="1">
      <formula>IF(CV32&gt;0,1,0)</formula>
    </cfRule>
    <cfRule type="expression" dxfId="265" priority="3735" stopIfTrue="1">
      <formula>IF(CV32=0,1,0)</formula>
    </cfRule>
  </conditionalFormatting>
  <conditionalFormatting sqref="CT32:CT35">
    <cfRule type="expression" dxfId="264" priority="3736" stopIfTrue="1">
      <formula>12*(#REF!-CM32)+(#REF!-CK32)</formula>
    </cfRule>
  </conditionalFormatting>
  <conditionalFormatting sqref="CY32:CY35">
    <cfRule type="expression" dxfId="263" priority="3737" stopIfTrue="1">
      <formula>12*(#REF!-CQ32)+(#REF!-CO32)</formula>
    </cfRule>
  </conditionalFormatting>
  <conditionalFormatting sqref="AV32 CX32:CX35">
    <cfRule type="expression" dxfId="262" priority="3743" stopIfTrue="1">
      <formula>IF(OR(AV32=0.36),1,0)</formula>
    </cfRule>
    <cfRule type="expression" dxfId="261" priority="3744" stopIfTrue="1">
      <formula>IF(AV32=0.34,1,0)</formula>
    </cfRule>
    <cfRule type="expression" dxfId="260" priority="3745" stopIfTrue="1">
      <formula>IF(AV32&lt;0.33,1,0)</formula>
    </cfRule>
  </conditionalFormatting>
  <conditionalFormatting sqref="DA32:DA35">
    <cfRule type="cellIs" dxfId="259" priority="3746" stopIfTrue="1" operator="between">
      <formula>"Hưu"</formula>
      <formula>"Hưu"</formula>
    </cfRule>
    <cfRule type="cellIs" dxfId="258" priority="3747" stopIfTrue="1" operator="between">
      <formula>"---"</formula>
      <formula>"---"</formula>
    </cfRule>
    <cfRule type="cellIs" dxfId="257" priority="3748" stopIfTrue="1" operator="between">
      <formula>"Quá"</formula>
      <formula>"Quá"</formula>
    </cfRule>
  </conditionalFormatting>
  <conditionalFormatting sqref="AU32 CW32:CW35">
    <cfRule type="expression" dxfId="256" priority="3749" stopIfTrue="1">
      <formula>IF(OR(AU32=5.57,AU32=6.2),1,0)</formula>
    </cfRule>
    <cfRule type="expression" dxfId="255" priority="3750" stopIfTrue="1">
      <formula>IF(OR(AU32=4,AU32=4.4),1,0)</formula>
    </cfRule>
    <cfRule type="expression" dxfId="254" priority="3751" stopIfTrue="1">
      <formula>IF(AND(AU32&gt;0.9,AU32&lt;2.34),1,0)</formula>
    </cfRule>
  </conditionalFormatting>
  <conditionalFormatting sqref="CS32:CS35">
    <cfRule type="cellIs" dxfId="253" priority="3752" stopIfTrue="1" operator="between">
      <formula>1</formula>
      <formula>1</formula>
    </cfRule>
    <cfRule type="cellIs" dxfId="252" priority="3753" stopIfTrue="1" operator="between">
      <formula>2</formula>
      <formula>2</formula>
    </cfRule>
    <cfRule type="cellIs" dxfId="251" priority="3754" stopIfTrue="1" operator="between">
      <formula>3</formula>
      <formula>3</formula>
    </cfRule>
  </conditionalFormatting>
  <conditionalFormatting sqref="CV32:CV35">
    <cfRule type="expression" dxfId="250" priority="3755" stopIfTrue="1">
      <formula>IF(CV32&gt;0,1,0)</formula>
    </cfRule>
    <cfRule type="expression" dxfId="249" priority="3756" stopIfTrue="1">
      <formula>IF(CV32&lt;1,1,0)</formula>
    </cfRule>
  </conditionalFormatting>
  <conditionalFormatting sqref="CR32:CR35">
    <cfRule type="cellIs" dxfId="248" priority="3757" stopIfTrue="1" operator="between">
      <formula>"Đến"</formula>
      <formula>"Đến"</formula>
    </cfRule>
    <cfRule type="cellIs" dxfId="247" priority="3758" stopIfTrue="1" operator="between">
      <formula>"Quá"</formula>
      <formula>"Quá"</formula>
    </cfRule>
    <cfRule type="expression" dxfId="246" priority="3759" stopIfTrue="1">
      <formula>IF(OR(CR32="Lương Sớm Hưu",CR32="Nâng Ngạch Hưu"),1,0)</formula>
    </cfRule>
  </conditionalFormatting>
  <conditionalFormatting sqref="DB32:DC35">
    <cfRule type="expression" dxfId="245" priority="3760" stopIfTrue="1">
      <formula>IF(DB32&gt;0,1,0)</formula>
    </cfRule>
  </conditionalFormatting>
  <conditionalFormatting sqref="CQ32:CQ35">
    <cfRule type="cellIs" dxfId="244" priority="3761" stopIfTrue="1" operator="between">
      <formula>"B"</formula>
      <formula>"B"</formula>
    </cfRule>
    <cfRule type="cellIs" dxfId="243" priority="3762" stopIfTrue="1" operator="between">
      <formula>"C"</formula>
      <formula>"C"</formula>
    </cfRule>
    <cfRule type="cellIs" dxfId="242" priority="3763" stopIfTrue="1" operator="between">
      <formula>"D"</formula>
      <formula>"D"</formula>
    </cfRule>
  </conditionalFormatting>
  <conditionalFormatting sqref="CP32:CP35">
    <cfRule type="cellIs" dxfId="241" priority="3764" stopIfTrue="1" operator="between">
      <formula>"công chức, viên chức"</formula>
      <formula>"công chức, viên chức"</formula>
    </cfRule>
    <cfRule type="cellIs" dxfId="240" priority="3765" stopIfTrue="1" operator="between">
      <formula>"lao động hợp đồng"</formula>
      <formula>"lao động hợp đồng"</formula>
    </cfRule>
  </conditionalFormatting>
  <conditionalFormatting sqref="CZ32:CZ35">
    <cfRule type="expression" dxfId="239" priority="3766" stopIfTrue="1">
      <formula>IF(CZ32="Nâg Ngạch sau TB",1,0)</formula>
    </cfRule>
    <cfRule type="expression" dxfId="238" priority="3767" stopIfTrue="1">
      <formula>IF(CZ32="Nâg Lươg Sớm sau TB",1,0)</formula>
    </cfRule>
    <cfRule type="expression" dxfId="237" priority="3768" stopIfTrue="1">
      <formula>IF(CZ32="Nâg PC TNVK cùng QĐ",1,0)</formula>
    </cfRule>
  </conditionalFormatting>
  <conditionalFormatting sqref="CO32:CO35">
    <cfRule type="expression" dxfId="236" priority="3769" stopIfTrue="1">
      <formula>IF(CO32=0,1,0)</formula>
    </cfRule>
    <cfRule type="expression" dxfId="235" priority="3770" stopIfTrue="1">
      <formula>IF(CO32&gt;0,1,0)</formula>
    </cfRule>
  </conditionalFormatting>
  <conditionalFormatting sqref="BJ32:BJ35">
    <cfRule type="expression" dxfId="234" priority="3738" stopIfTrue="1">
      <formula>IF(BJ32="Trên 45",1,0)</formula>
    </cfRule>
    <cfRule type="expression" dxfId="233" priority="3739" stopIfTrue="1">
      <formula>IF(BJ32="30 - 45",1,0)</formula>
    </cfRule>
    <cfRule type="expression" dxfId="232" priority="3740" stopIfTrue="1">
      <formula>IF(BJ32="Dưới 30",1,0)</formula>
    </cfRule>
  </conditionalFormatting>
  <conditionalFormatting sqref="BL32:BL35">
    <cfRule type="cellIs" dxfId="231" priority="3741" stopIfTrue="1" operator="between">
      <formula>"Có hạn"</formula>
      <formula>"Có hạn"</formula>
    </cfRule>
    <cfRule type="cellIs" dxfId="230" priority="3742" stopIfTrue="1" operator="between">
      <formula>"Ko hạn"</formula>
      <formula>"Ko hạn"</formula>
    </cfRule>
  </conditionalFormatting>
  <conditionalFormatting sqref="A33:A35">
    <cfRule type="expression" dxfId="229" priority="3771" stopIfTrue="1">
      <formula>IF(#REF!="Hưu",1,0)</formula>
    </cfRule>
    <cfRule type="expression" dxfId="228" priority="3772" stopIfTrue="1">
      <formula>IF(#REF!="Quá",1,0)</formula>
    </cfRule>
  </conditionalFormatting>
  <conditionalFormatting sqref="A32">
    <cfRule type="expression" dxfId="227" priority="3773" stopIfTrue="1">
      <formula>IF(#REF!="Hưu",1,0)</formula>
    </cfRule>
    <cfRule type="expression" dxfId="226" priority="3774" stopIfTrue="1">
      <formula>IF(#REF!="Quá",1,0)</formula>
    </cfRule>
  </conditionalFormatting>
  <conditionalFormatting sqref="BD15">
    <cfRule type="expression" dxfId="225" priority="3686" stopIfTrue="1">
      <formula>IF(BA15&gt;6,BB15,IF(BA15&lt;7,BB15-1))</formula>
    </cfRule>
  </conditionalFormatting>
  <conditionalFormatting sqref="AT15">
    <cfRule type="expression" dxfId="224" priority="3687" stopIfTrue="1">
      <formula>IF(AU15&gt;0,1,0)</formula>
    </cfRule>
    <cfRule type="expression" dxfId="223" priority="3688" stopIfTrue="1">
      <formula>IF(AU15=0,1,0)</formula>
    </cfRule>
  </conditionalFormatting>
  <conditionalFormatting sqref="BF15">
    <cfRule type="expression" dxfId="222" priority="3689" stopIfTrue="1">
      <formula>IF(BC15&gt;6,BD15,IF(BC15&lt;7,BD15-1))</formula>
    </cfRule>
  </conditionalFormatting>
  <conditionalFormatting sqref="AW15">
    <cfRule type="expression" dxfId="221" priority="3690" stopIfTrue="1">
      <formula>IF(OR(AW15=0.36),1,0)</formula>
    </cfRule>
    <cfRule type="expression" dxfId="220" priority="3691" stopIfTrue="1">
      <formula>IF(AW15=0.34,1,0)</formula>
    </cfRule>
    <cfRule type="expression" dxfId="219" priority="3692" stopIfTrue="1">
      <formula>IF(AW15&lt;0.33,1,0)</formula>
    </cfRule>
  </conditionalFormatting>
  <conditionalFormatting sqref="AZ15">
    <cfRule type="cellIs" dxfId="218" priority="3693" stopIfTrue="1" operator="between">
      <formula>"Hưu"</formula>
      <formula>"Hưu"</formula>
    </cfRule>
    <cfRule type="cellIs" dxfId="217" priority="3694" stopIfTrue="1" operator="between">
      <formula>"---"</formula>
      <formula>"---"</formula>
    </cfRule>
    <cfRule type="cellIs" dxfId="216" priority="3695" stopIfTrue="1" operator="between">
      <formula>"Quá"</formula>
      <formula>"Quá"</formula>
    </cfRule>
  </conditionalFormatting>
  <conditionalFormatting sqref="AV15">
    <cfRule type="expression" dxfId="215" priority="3696" stopIfTrue="1">
      <formula>IF(OR(AV15=5.57,AV15=6.2),1,0)</formula>
    </cfRule>
    <cfRule type="expression" dxfId="214" priority="3697" stopIfTrue="1">
      <formula>IF(OR(AV15=4,AV15=4.4),1,0)</formula>
    </cfRule>
    <cfRule type="expression" dxfId="213" priority="3698" stopIfTrue="1">
      <formula>IF(AND(AV15&gt;0.9,AV15&lt;2.34),1,0)</formula>
    </cfRule>
  </conditionalFormatting>
  <conditionalFormatting sqref="AR15">
    <cfRule type="cellIs" dxfId="212" priority="3699" stopIfTrue="1" operator="between">
      <formula>1</formula>
      <formula>1</formula>
    </cfRule>
    <cfRule type="cellIs" dxfId="211" priority="3700" stopIfTrue="1" operator="between">
      <formula>2</formula>
      <formula>2</formula>
    </cfRule>
    <cfRule type="cellIs" dxfId="210" priority="3701" stopIfTrue="1" operator="between">
      <formula>3</formula>
      <formula>3</formula>
    </cfRule>
  </conditionalFormatting>
  <conditionalFormatting sqref="AU15">
    <cfRule type="expression" dxfId="209" priority="3702" stopIfTrue="1">
      <formula>IF(AU15&gt;0,1,0)</formula>
    </cfRule>
    <cfRule type="expression" dxfId="208" priority="3703" stopIfTrue="1">
      <formula>IF(AU15&lt;1,1,0)</formula>
    </cfRule>
  </conditionalFormatting>
  <conditionalFormatting sqref="AQ15">
    <cfRule type="cellIs" dxfId="207" priority="3704" stopIfTrue="1" operator="between">
      <formula>"Đến"</formula>
      <formula>"Đến"</formula>
    </cfRule>
    <cfRule type="cellIs" dxfId="206" priority="3705" stopIfTrue="1" operator="between">
      <formula>"Quá"</formula>
      <formula>"Quá"</formula>
    </cfRule>
    <cfRule type="expression" dxfId="205" priority="3706" stopIfTrue="1">
      <formula>IF(OR(AQ15="Lương Sớm Hưu",AQ15="Nâng Ngạch Hưu"),1,0)</formula>
    </cfRule>
  </conditionalFormatting>
  <conditionalFormatting sqref="BA15:BB15 G15">
    <cfRule type="expression" dxfId="204" priority="3707" stopIfTrue="1">
      <formula>IF(G15&gt;0,1,0)</formula>
    </cfRule>
  </conditionalFormatting>
  <conditionalFormatting sqref="AP15">
    <cfRule type="cellIs" dxfId="203" priority="3708" stopIfTrue="1" operator="between">
      <formula>"B"</formula>
      <formula>"B"</formula>
    </cfRule>
    <cfRule type="cellIs" dxfId="202" priority="3709" stopIfTrue="1" operator="between">
      <formula>"C"</formula>
      <formula>"C"</formula>
    </cfRule>
    <cfRule type="cellIs" dxfId="201" priority="3710" stopIfTrue="1" operator="between">
      <formula>"D"</formula>
      <formula>"D"</formula>
    </cfRule>
  </conditionalFormatting>
  <conditionalFormatting sqref="AO15">
    <cfRule type="cellIs" dxfId="200" priority="3711" stopIfTrue="1" operator="between">
      <formula>"công chức, viên chức"</formula>
      <formula>"công chức, viên chức"</formula>
    </cfRule>
    <cfRule type="cellIs" dxfId="199" priority="3712" stopIfTrue="1" operator="between">
      <formula>"lao động hợp đồng"</formula>
      <formula>"lao động hợp đồng"</formula>
    </cfRule>
  </conditionalFormatting>
  <conditionalFormatting sqref="AY15">
    <cfRule type="expression" dxfId="198" priority="3713" stopIfTrue="1">
      <formula>IF(AY15="Nâg Ngạch sau TB",1,0)</formula>
    </cfRule>
    <cfRule type="expression" dxfId="197" priority="3714" stopIfTrue="1">
      <formula>IF(AY15="Nâg Lươg Sớm sau TB",1,0)</formula>
    </cfRule>
    <cfRule type="expression" dxfId="196" priority="3715" stopIfTrue="1">
      <formula>IF(AY15="Nâg PC TNVK cùng QĐ",1,0)</formula>
    </cfRule>
  </conditionalFormatting>
  <conditionalFormatting sqref="AN15">
    <cfRule type="expression" dxfId="195" priority="3716" stopIfTrue="1">
      <formula>IF(AN15=0,1,0)</formula>
    </cfRule>
    <cfRule type="expression" dxfId="194" priority="3717" stopIfTrue="1">
      <formula>IF(AN15&gt;0,1,0)</formula>
    </cfRule>
  </conditionalFormatting>
  <conditionalFormatting sqref="BE15">
    <cfRule type="expression" dxfId="193" priority="3718" stopIfTrue="1">
      <formula>IF(#REF!&gt;6,#REF!-6,IF(#REF!=6,12,IF(#REF!&lt;6,#REF!+6)))</formula>
    </cfRule>
  </conditionalFormatting>
  <conditionalFormatting sqref="BG15">
    <cfRule type="cellIs" dxfId="192" priority="3719" stopIfTrue="1" operator="between">
      <formula>"-"</formula>
      <formula>"-"</formula>
    </cfRule>
    <cfRule type="cellIs" dxfId="191" priority="3720" stopIfTrue="1" operator="between">
      <formula>1</formula>
      <formula>40</formula>
    </cfRule>
  </conditionalFormatting>
  <conditionalFormatting sqref="U15">
    <cfRule type="expression" dxfId="190" priority="3721" stopIfTrue="1">
      <formula>IF(U15="A0-CĐ",1,0)</formula>
    </cfRule>
    <cfRule type="expression" dxfId="189" priority="3722" stopIfTrue="1">
      <formula>IF(U15="B-TC",1,0)</formula>
    </cfRule>
    <cfRule type="expression" dxfId="188" priority="3723" stopIfTrue="1">
      <formula>IF(U15="C-NV",1,0)</formula>
    </cfRule>
  </conditionalFormatting>
  <conditionalFormatting sqref="F15">
    <cfRule type="cellIs" dxfId="187" priority="3724" stopIfTrue="1" operator="between">
      <formula>"Nam"</formula>
      <formula>"Nam"</formula>
    </cfRule>
    <cfRule type="cellIs" dxfId="186" priority="3725" stopIfTrue="1" operator="between">
      <formula>"Nữ"</formula>
      <formula>"Nữ"</formula>
    </cfRule>
  </conditionalFormatting>
  <conditionalFormatting sqref="BC15">
    <cfRule type="expression" dxfId="185" priority="3726" stopIfTrue="1">
      <formula>IF(#REF!&gt;6,#REF!-6,IF(#REF!=6,12,IF(#REF!&lt;6,#REF!+6)))</formula>
    </cfRule>
  </conditionalFormatting>
  <conditionalFormatting sqref="CU15">
    <cfRule type="expression" dxfId="184" priority="3649" stopIfTrue="1">
      <formula>IF(CV15&gt;0,1,0)</formula>
    </cfRule>
    <cfRule type="expression" dxfId="183" priority="3650" stopIfTrue="1">
      <formula>IF(CV15=0,1,0)</formula>
    </cfRule>
  </conditionalFormatting>
  <conditionalFormatting sqref="CT15">
    <cfRule type="expression" dxfId="182" priority="3651" stopIfTrue="1">
      <formula>12*(#REF!-CM15)+(#REF!-CK15)</formula>
    </cfRule>
  </conditionalFormatting>
  <conditionalFormatting sqref="CY15">
    <cfRule type="expression" dxfId="181" priority="3652" stopIfTrue="1">
      <formula>12*(#REF!-CQ15)+(#REF!-CO15)</formula>
    </cfRule>
  </conditionalFormatting>
  <conditionalFormatting sqref="CX15">
    <cfRule type="expression" dxfId="180" priority="3658" stopIfTrue="1">
      <formula>IF(OR(CX15=0.36),1,0)</formula>
    </cfRule>
    <cfRule type="expression" dxfId="179" priority="3659" stopIfTrue="1">
      <formula>IF(CX15=0.34,1,0)</formula>
    </cfRule>
    <cfRule type="expression" dxfId="178" priority="3660" stopIfTrue="1">
      <formula>IF(CX15&lt;0.33,1,0)</formula>
    </cfRule>
  </conditionalFormatting>
  <conditionalFormatting sqref="DA15">
    <cfRule type="cellIs" dxfId="177" priority="3661" stopIfTrue="1" operator="between">
      <formula>"Hưu"</formula>
      <formula>"Hưu"</formula>
    </cfRule>
    <cfRule type="cellIs" dxfId="176" priority="3662" stopIfTrue="1" operator="between">
      <formula>"---"</formula>
      <formula>"---"</formula>
    </cfRule>
    <cfRule type="cellIs" dxfId="175" priority="3663" stopIfTrue="1" operator="between">
      <formula>"Quá"</formula>
      <formula>"Quá"</formula>
    </cfRule>
  </conditionalFormatting>
  <conditionalFormatting sqref="CW15">
    <cfRule type="expression" dxfId="174" priority="3664" stopIfTrue="1">
      <formula>IF(OR(CW15=5.57,CW15=6.2),1,0)</formula>
    </cfRule>
    <cfRule type="expression" dxfId="173" priority="3665" stopIfTrue="1">
      <formula>IF(OR(CW15=4,CW15=4.4),1,0)</formula>
    </cfRule>
    <cfRule type="expression" dxfId="172" priority="3666" stopIfTrue="1">
      <formula>IF(AND(CW15&gt;0.9,CW15&lt;2.34),1,0)</formula>
    </cfRule>
  </conditionalFormatting>
  <conditionalFormatting sqref="CS15">
    <cfRule type="cellIs" dxfId="171" priority="3667" stopIfTrue="1" operator="between">
      <formula>1</formula>
      <formula>1</formula>
    </cfRule>
    <cfRule type="cellIs" dxfId="170" priority="3668" stopIfTrue="1" operator="between">
      <formula>2</formula>
      <formula>2</formula>
    </cfRule>
    <cfRule type="cellIs" dxfId="169" priority="3669" stopIfTrue="1" operator="between">
      <formula>3</formula>
      <formula>3</formula>
    </cfRule>
  </conditionalFormatting>
  <conditionalFormatting sqref="CV15">
    <cfRule type="expression" dxfId="168" priority="3670" stopIfTrue="1">
      <formula>IF(CV15&gt;0,1,0)</formula>
    </cfRule>
    <cfRule type="expression" dxfId="167" priority="3671" stopIfTrue="1">
      <formula>IF(CV15&lt;1,1,0)</formula>
    </cfRule>
  </conditionalFormatting>
  <conditionalFormatting sqref="CR15">
    <cfRule type="cellIs" dxfId="166" priority="3672" stopIfTrue="1" operator="between">
      <formula>"Đến"</formula>
      <formula>"Đến"</formula>
    </cfRule>
    <cfRule type="cellIs" dxfId="165" priority="3673" stopIfTrue="1" operator="between">
      <formula>"Quá"</formula>
      <formula>"Quá"</formula>
    </cfRule>
    <cfRule type="expression" dxfId="164" priority="3674" stopIfTrue="1">
      <formula>IF(OR(CR15="Lương Sớm Hưu",CR15="Nâng Ngạch Hưu"),1,0)</formula>
    </cfRule>
  </conditionalFormatting>
  <conditionalFormatting sqref="DB15:DC15">
    <cfRule type="expression" dxfId="163" priority="3675" stopIfTrue="1">
      <formula>IF(DB15&gt;0,1,0)</formula>
    </cfRule>
  </conditionalFormatting>
  <conditionalFormatting sqref="CQ15">
    <cfRule type="cellIs" dxfId="162" priority="3676" stopIfTrue="1" operator="between">
      <formula>"B"</formula>
      <formula>"B"</formula>
    </cfRule>
    <cfRule type="cellIs" dxfId="161" priority="3677" stopIfTrue="1" operator="between">
      <formula>"C"</formula>
      <formula>"C"</formula>
    </cfRule>
    <cfRule type="cellIs" dxfId="160" priority="3678" stopIfTrue="1" operator="between">
      <formula>"D"</formula>
      <formula>"D"</formula>
    </cfRule>
  </conditionalFormatting>
  <conditionalFormatting sqref="CP15">
    <cfRule type="cellIs" dxfId="159" priority="3679" stopIfTrue="1" operator="between">
      <formula>"công chức, viên chức"</formula>
      <formula>"công chức, viên chức"</formula>
    </cfRule>
    <cfRule type="cellIs" dxfId="158" priority="3680" stopIfTrue="1" operator="between">
      <formula>"lao động hợp đồng"</formula>
      <formula>"lao động hợp đồng"</formula>
    </cfRule>
  </conditionalFormatting>
  <conditionalFormatting sqref="CZ15">
    <cfRule type="expression" dxfId="157" priority="3681" stopIfTrue="1">
      <formula>IF(CZ15="Nâg Ngạch sau TB",1,0)</formula>
    </cfRule>
    <cfRule type="expression" dxfId="156" priority="3682" stopIfTrue="1">
      <formula>IF(CZ15="Nâg Lươg Sớm sau TB",1,0)</formula>
    </cfRule>
    <cfRule type="expression" dxfId="155" priority="3683" stopIfTrue="1">
      <formula>IF(CZ15="Nâg PC TNVK cùng QĐ",1,0)</formula>
    </cfRule>
  </conditionalFormatting>
  <conditionalFormatting sqref="CO15">
    <cfRule type="expression" dxfId="154" priority="3684" stopIfTrue="1">
      <formula>IF(CO15=0,1,0)</formula>
    </cfRule>
    <cfRule type="expression" dxfId="153" priority="3685" stopIfTrue="1">
      <formula>IF(CO15&gt;0,1,0)</formula>
    </cfRule>
  </conditionalFormatting>
  <conditionalFormatting sqref="BJ15">
    <cfRule type="expression" dxfId="152" priority="3653" stopIfTrue="1">
      <formula>IF(BJ15="Trên 45",1,0)</formula>
    </cfRule>
    <cfRule type="expression" dxfId="151" priority="3654" stopIfTrue="1">
      <formula>IF(BJ15="30 - 45",1,0)</formula>
    </cfRule>
    <cfRule type="expression" dxfId="150" priority="3655" stopIfTrue="1">
      <formula>IF(BJ15="Dưới 30",1,0)</formula>
    </cfRule>
  </conditionalFormatting>
  <conditionalFormatting sqref="BL15">
    <cfRule type="cellIs" dxfId="149" priority="3656" stopIfTrue="1" operator="between">
      <formula>"Có hạn"</formula>
      <formula>"Có hạn"</formula>
    </cfRule>
    <cfRule type="cellIs" dxfId="148" priority="3657" stopIfTrue="1" operator="between">
      <formula>"Ko hạn"</formula>
      <formula>"Ko hạn"</formula>
    </cfRule>
  </conditionalFormatting>
  <conditionalFormatting sqref="A15">
    <cfRule type="expression" dxfId="147" priority="3727" stopIfTrue="1">
      <formula>IF(#REF!="Hưu",1,0)</formula>
    </cfRule>
    <cfRule type="expression" dxfId="146" priority="3728" stopIfTrue="1">
      <formula>IF(#REF!="Quá",1,0)</formula>
    </cfRule>
  </conditionalFormatting>
  <conditionalFormatting sqref="AX15">
    <cfRule type="expression" dxfId="145" priority="3729" stopIfTrue="1">
      <formula>12*(#REF!-AP15)+(#REF!-AN15)</formula>
    </cfRule>
  </conditionalFormatting>
  <conditionalFormatting sqref="A10">
    <cfRule type="expression" dxfId="144" priority="4082" stopIfTrue="1">
      <formula>IF(#REF!="Hưu",1,0)</formula>
    </cfRule>
    <cfRule type="expression" dxfId="143" priority="4083" stopIfTrue="1">
      <formula>IF(#REF!="Quá",1,0)</formula>
    </cfRule>
  </conditionalFormatting>
  <conditionalFormatting sqref="A12:A14">
    <cfRule type="expression" dxfId="142" priority="4086" stopIfTrue="1">
      <formula>IF(#REF!="Hưu",1,0)</formula>
    </cfRule>
    <cfRule type="expression" dxfId="141" priority="4087" stopIfTrue="1">
      <formula>IF(#REF!="Quá",1,0)</formula>
    </cfRule>
  </conditionalFormatting>
  <conditionalFormatting sqref="AN16">
    <cfRule type="cellIs" dxfId="140" priority="130" stopIfTrue="1" operator="between">
      <formula>"CC,VC"</formula>
      <formula>"CC,VC"</formula>
    </cfRule>
    <cfRule type="cellIs" dxfId="139" priority="131" stopIfTrue="1" operator="between">
      <formula>"LĐHĐ"</formula>
      <formula>"LĐHĐ"</formula>
    </cfRule>
  </conditionalFormatting>
  <conditionalFormatting sqref="AZ16 DC16">
    <cfRule type="cellIs" dxfId="138" priority="127" stopIfTrue="1" operator="between">
      <formula>"Hưu"</formula>
      <formula>"Hưu"</formula>
    </cfRule>
    <cfRule type="cellIs" dxfId="137" priority="128" stopIfTrue="1" operator="between">
      <formula>"---"</formula>
      <formula>"---"</formula>
    </cfRule>
    <cfRule type="cellIs" dxfId="136" priority="129" stopIfTrue="1" operator="between">
      <formula>"Quá"</formula>
      <formula>"Quá"</formula>
    </cfRule>
  </conditionalFormatting>
  <conditionalFormatting sqref="AR16 CU16">
    <cfRule type="cellIs" dxfId="135" priority="124" stopIfTrue="1" operator="between">
      <formula>1</formula>
      <formula>1</formula>
    </cfRule>
    <cfRule type="cellIs" dxfId="134" priority="125" stopIfTrue="1" operator="between">
      <formula>2</formula>
      <formula>2</formula>
    </cfRule>
    <cfRule type="cellIs" dxfId="133" priority="126" stopIfTrue="1" operator="between">
      <formula>3</formula>
      <formula>3</formula>
    </cfRule>
  </conditionalFormatting>
  <conditionalFormatting sqref="AQ16 CT16">
    <cfRule type="cellIs" dxfId="132" priority="122" stopIfTrue="1" operator="between">
      <formula>"Đến"</formula>
      <formula>"Đến"</formula>
    </cfRule>
    <cfRule type="cellIs" dxfId="131" priority="123" stopIfTrue="1" operator="between">
      <formula>"Quá"</formula>
      <formula>"Quá"</formula>
    </cfRule>
  </conditionalFormatting>
  <conditionalFormatting sqref="AP16 CS16">
    <cfRule type="cellIs" dxfId="130" priority="119" stopIfTrue="1" operator="between">
      <formula>"B"</formula>
      <formula>"B"</formula>
    </cfRule>
    <cfRule type="cellIs" dxfId="129" priority="120" stopIfTrue="1" operator="between">
      <formula>"C"</formula>
      <formula>"C"</formula>
    </cfRule>
    <cfRule type="cellIs" dxfId="128" priority="121" stopIfTrue="1" operator="between">
      <formula>"D"</formula>
      <formula>"D"</formula>
    </cfRule>
  </conditionalFormatting>
  <conditionalFormatting sqref="AO16 CR16">
    <cfRule type="cellIs" dxfId="127" priority="117" stopIfTrue="1" operator="between">
      <formula>"công chức, viên chức"</formula>
      <formula>"công chức, viên chức"</formula>
    </cfRule>
    <cfRule type="cellIs" dxfId="126" priority="118" stopIfTrue="1" operator="between">
      <formula>"lao động hợp đồng"</formula>
      <formula>"lao động hợp đồng"</formula>
    </cfRule>
  </conditionalFormatting>
  <conditionalFormatting sqref="BG16">
    <cfRule type="cellIs" dxfId="125" priority="115" stopIfTrue="1" operator="between">
      <formula>"-"</formula>
      <formula>"-"</formula>
    </cfRule>
    <cfRule type="cellIs" dxfId="124" priority="116" stopIfTrue="1" operator="between">
      <formula>1</formula>
      <formula>40</formula>
    </cfRule>
  </conditionalFormatting>
  <conditionalFormatting sqref="BN16">
    <cfRule type="cellIs" dxfId="123" priority="113" stopIfTrue="1" operator="between">
      <formula>"Có hạn"</formula>
      <formula>"Có hạn"</formula>
    </cfRule>
    <cfRule type="cellIs" dxfId="122" priority="114" stopIfTrue="1" operator="between">
      <formula>"Ko hạn"</formula>
      <formula>"Ko hạn"</formula>
    </cfRule>
  </conditionalFormatting>
  <conditionalFormatting sqref="BE16">
    <cfRule type="expression" dxfId="121" priority="112" stopIfTrue="1">
      <formula>IF(#REF!&gt;6,#REF!-6,IF(#REF!=6,12,IF(#REF!&lt;6,#REF!+6)))</formula>
    </cfRule>
  </conditionalFormatting>
  <conditionalFormatting sqref="BH16">
    <cfRule type="expression" dxfId="120" priority="109" stopIfTrue="1">
      <formula>IF(AND(#REF!&gt;0,#REF!&lt;5),1,0)</formula>
    </cfRule>
    <cfRule type="expression" dxfId="119" priority="110" stopIfTrue="1">
      <formula>IF(#REF!=5,1,0)</formula>
    </cfRule>
    <cfRule type="expression" dxfId="118" priority="111" stopIfTrue="1">
      <formula>IF(#REF!&gt;5,1,0)</formula>
    </cfRule>
  </conditionalFormatting>
  <conditionalFormatting sqref="BC16">
    <cfRule type="expression" dxfId="117" priority="108" stopIfTrue="1">
      <formula>IF(#REF!&gt;6,#REF!-6,IF(#REF!=6,12,IF(#REF!&lt;6,#REF!+6)))</formula>
    </cfRule>
  </conditionalFormatting>
  <conditionalFormatting sqref="AS16">
    <cfRule type="expression" dxfId="116" priority="107" stopIfTrue="1">
      <formula>12*(#REF!-#REF!)+(#REF!-#REF!)</formula>
    </cfRule>
  </conditionalFormatting>
  <conditionalFormatting sqref="BJ16">
    <cfRule type="expression" dxfId="115" priority="104" stopIfTrue="1">
      <formula>IF(#REF!="Trên 45",1,0)</formula>
    </cfRule>
    <cfRule type="expression" dxfId="114" priority="105" stopIfTrue="1">
      <formula>IF(#REF!="30 - 45",1,0)</formula>
    </cfRule>
    <cfRule type="expression" dxfId="113" priority="106" stopIfTrue="1">
      <formula>IF(#REF!="Dưới 30",1,0)</formula>
    </cfRule>
  </conditionalFormatting>
  <conditionalFormatting sqref="CW16 AT16">
    <cfRule type="expression" dxfId="112" priority="102" stopIfTrue="1">
      <formula>IF(#REF!&gt;0,1,0)</formula>
    </cfRule>
    <cfRule type="expression" dxfId="111" priority="103" stopIfTrue="1">
      <formula>IF(#REF!=0,1,0)</formula>
    </cfRule>
  </conditionalFormatting>
  <conditionalFormatting sqref="CZ16 AW16">
    <cfRule type="expression" dxfId="110" priority="99" stopIfTrue="1">
      <formula>IF(OR(#REF!=0.36),1,0)</formula>
    </cfRule>
    <cfRule type="expression" dxfId="109" priority="100" stopIfTrue="1">
      <formula>IF(#REF!=0.34,1,0)</formula>
    </cfRule>
    <cfRule type="expression" dxfId="108" priority="101" stopIfTrue="1">
      <formula>IF(#REF!&lt;0.33,1,0)</formula>
    </cfRule>
  </conditionalFormatting>
  <conditionalFormatting sqref="CY16 AV16">
    <cfRule type="expression" dxfId="107" priority="96" stopIfTrue="1">
      <formula>IF(OR(#REF!=5.57,#REF!=6.2),1,0)</formula>
    </cfRule>
    <cfRule type="expression" dxfId="106" priority="97" stopIfTrue="1">
      <formula>IF(OR(#REF!=4,#REF!=4.4),1,0)</formula>
    </cfRule>
    <cfRule type="expression" dxfId="105" priority="98" stopIfTrue="1">
      <formula>IF(AND(#REF!&gt;0.9,#REF!&lt;2.34),1,0)</formula>
    </cfRule>
  </conditionalFormatting>
  <conditionalFormatting sqref="BD16">
    <cfRule type="expression" dxfId="104" priority="95" stopIfTrue="1">
      <formula>IF(#REF!&gt;6,#REF!,IF(#REF!&lt;7,#REF!-1))</formula>
    </cfRule>
  </conditionalFormatting>
  <conditionalFormatting sqref="BF16">
    <cfRule type="expression" dxfId="103" priority="94" stopIfTrue="1">
      <formula>IF(#REF!&gt;6,#REF!,IF(#REF!&lt;7,#REF!-1))</formula>
    </cfRule>
  </conditionalFormatting>
  <conditionalFormatting sqref="CX16 AU16">
    <cfRule type="expression" dxfId="102" priority="92" stopIfTrue="1">
      <formula>IF(#REF!&gt;0,1,0)</formula>
    </cfRule>
    <cfRule type="expression" dxfId="101" priority="93" stopIfTrue="1">
      <formula>IF(#REF!&lt;1,1,0)</formula>
    </cfRule>
  </conditionalFormatting>
  <conditionalFormatting sqref="CT16 AQ16">
    <cfRule type="expression" dxfId="100" priority="91" stopIfTrue="1">
      <formula>IF(OR(#REF!="Lương Sớm Hưu",#REF!="Nâng Ngạch Hưu"),1,0)</formula>
    </cfRule>
  </conditionalFormatting>
  <conditionalFormatting sqref="DB16 AY16">
    <cfRule type="expression" dxfId="99" priority="88" stopIfTrue="1">
      <formula>IF(#REF!="Nâg Ngạch sau TB",1,0)</formula>
    </cfRule>
    <cfRule type="expression" dxfId="98" priority="89" stopIfTrue="1">
      <formula>IF(#REF!="Nâg Lươg Sớm sau TB",1,0)</formula>
    </cfRule>
    <cfRule type="expression" dxfId="97" priority="90" stopIfTrue="1">
      <formula>IF(#REF!="Nâg PC TNVK cùng QĐ",1,0)</formula>
    </cfRule>
  </conditionalFormatting>
  <conditionalFormatting sqref="CQ16 AM16">
    <cfRule type="expression" dxfId="96" priority="86" stopIfTrue="1">
      <formula>IF(#REF!=0,1,0)</formula>
    </cfRule>
    <cfRule type="expression" dxfId="95" priority="87" stopIfTrue="1">
      <formula>IF(#REF!&gt;0,1,0)</formula>
    </cfRule>
  </conditionalFormatting>
  <conditionalFormatting sqref="BK16">
    <cfRule type="expression" dxfId="94" priority="83" stopIfTrue="1">
      <formula>IF(#REF!="Trên 45",1,0)</formula>
    </cfRule>
    <cfRule type="expression" dxfId="93" priority="84" stopIfTrue="1">
      <formula>IF(#REF!="30 - 45",1,0)</formula>
    </cfRule>
    <cfRule type="expression" dxfId="92" priority="85" stopIfTrue="1">
      <formula>IF(#REF!="Dưới 30",1,0)</formula>
    </cfRule>
  </conditionalFormatting>
  <conditionalFormatting sqref="AX16">
    <cfRule type="expression" dxfId="91" priority="82" stopIfTrue="1">
      <formula>12*(#REF!-#REF!)+(#REF!-#REF!)</formula>
    </cfRule>
  </conditionalFormatting>
  <conditionalFormatting sqref="CV16">
    <cfRule type="expression" dxfId="90" priority="81" stopIfTrue="1">
      <formula>12*(#REF!-#REF!)+(#REF!-#REF!)</formula>
    </cfRule>
  </conditionalFormatting>
  <conditionalFormatting sqref="DA16">
    <cfRule type="expression" dxfId="89" priority="80" stopIfTrue="1">
      <formula>12*(#REF!-#REF!)+(#REF!-#REF!)</formula>
    </cfRule>
  </conditionalFormatting>
  <conditionalFormatting sqref="A16">
    <cfRule type="expression" dxfId="88" priority="78" stopIfTrue="1">
      <formula>IF(#REF!="Hưu",1,0)</formula>
    </cfRule>
    <cfRule type="expression" dxfId="87" priority="79" stopIfTrue="1">
      <formula>IF(#REF!="Quá",1,0)</formula>
    </cfRule>
  </conditionalFormatting>
  <conditionalFormatting sqref="BA16:BB16 DD16:DE16">
    <cfRule type="expression" dxfId="86" priority="77" stopIfTrue="1">
      <formula>IF(#REF!&gt;0,1,0)</formula>
    </cfRule>
  </conditionalFormatting>
  <conditionalFormatting sqref="AT17:AT24 CW17:CW24 AT26:AT29">
    <cfRule type="expression" dxfId="85" priority="38" stopIfTrue="1">
      <formula>IF(AU17&gt;0,1,0)</formula>
    </cfRule>
    <cfRule type="expression" dxfId="84" priority="39" stopIfTrue="1">
      <formula>IF(AU17=0,1,0)</formula>
    </cfRule>
  </conditionalFormatting>
  <conditionalFormatting sqref="AZ17:AZ24 DC17:DC24 AZ26:AZ29">
    <cfRule type="cellIs" dxfId="83" priority="35" stopIfTrue="1" operator="between">
      <formula>"Hưu"</formula>
      <formula>"Hưu"</formula>
    </cfRule>
    <cfRule type="cellIs" dxfId="82" priority="36" stopIfTrue="1" operator="between">
      <formula>"---"</formula>
      <formula>"---"</formula>
    </cfRule>
    <cfRule type="cellIs" dxfId="81" priority="37" stopIfTrue="1" operator="between">
      <formula>"Quá"</formula>
      <formula>"Quá"</formula>
    </cfRule>
  </conditionalFormatting>
  <conditionalFormatting sqref="AQ17:AQ24 CT17:CT24 AQ26:AQ29">
    <cfRule type="cellIs" dxfId="80" priority="32" stopIfTrue="1" operator="between">
      <formula>"Đến"</formula>
      <formula>"Đến"</formula>
    </cfRule>
    <cfRule type="cellIs" dxfId="79" priority="33" stopIfTrue="1" operator="between">
      <formula>"Quá"</formula>
      <formula>"Quá"</formula>
    </cfRule>
    <cfRule type="expression" dxfId="78" priority="34" stopIfTrue="1">
      <formula>IF(OR(AQ17="Lương Sớm Hưu",AQ17="Nâng Ngạch Hưu"),1,0)</formula>
    </cfRule>
  </conditionalFormatting>
  <conditionalFormatting sqref="AY17:AY24 DB17:DB24 AY26:AY29">
    <cfRule type="expression" dxfId="77" priority="29" stopIfTrue="1">
      <formula>IF(AY17="Nâg Ngạch sau TB",1,0)</formula>
    </cfRule>
    <cfRule type="expression" dxfId="76" priority="30" stopIfTrue="1">
      <formula>IF(AY17="Nâg Lươg Sớm sau TB",1,0)</formula>
    </cfRule>
    <cfRule type="expression" dxfId="75" priority="31" stopIfTrue="1">
      <formula>IF(AY17="Nâg PC TNVK cùng QĐ",1,0)</formula>
    </cfRule>
  </conditionalFormatting>
  <conditionalFormatting sqref="A17:A21">
    <cfRule type="expression" dxfId="74" priority="27" stopIfTrue="1">
      <formula>IF(AZ20="Hưu",1,0)</formula>
    </cfRule>
    <cfRule type="expression" dxfId="73" priority="28" stopIfTrue="1">
      <formula>IF(AZ20="Quá",1,0)</formula>
    </cfRule>
  </conditionalFormatting>
  <conditionalFormatting sqref="AZ25 DC25">
    <cfRule type="cellIs" dxfId="72" priority="24" stopIfTrue="1" operator="between">
      <formula>"Hưu"</formula>
      <formula>"Hưu"</formula>
    </cfRule>
    <cfRule type="cellIs" dxfId="71" priority="25" stopIfTrue="1" operator="between">
      <formula>"---"</formula>
      <formula>"---"</formula>
    </cfRule>
    <cfRule type="cellIs" dxfId="70" priority="26" stopIfTrue="1" operator="between">
      <formula>"Quá"</formula>
      <formula>"Quá"</formula>
    </cfRule>
  </conditionalFormatting>
  <conditionalFormatting sqref="AQ25 CT25">
    <cfRule type="cellIs" dxfId="69" priority="22" stopIfTrue="1" operator="between">
      <formula>"Đến"</formula>
      <formula>"Đến"</formula>
    </cfRule>
    <cfRule type="cellIs" dxfId="68" priority="23" stopIfTrue="1" operator="between">
      <formula>"Quá"</formula>
      <formula>"Quá"</formula>
    </cfRule>
  </conditionalFormatting>
  <conditionalFormatting sqref="BH25">
    <cfRule type="expression" dxfId="67" priority="19" stopIfTrue="1">
      <formula>IF(AND(#REF!&gt;0,#REF!&lt;5),1,0)</formula>
    </cfRule>
    <cfRule type="expression" dxfId="66" priority="20" stopIfTrue="1">
      <formula>IF(#REF!=5,1,0)</formula>
    </cfRule>
    <cfRule type="expression" dxfId="65" priority="21" stopIfTrue="1">
      <formula>IF(#REF!&gt;5,1,0)</formula>
    </cfRule>
  </conditionalFormatting>
  <conditionalFormatting sqref="CW25 AT25">
    <cfRule type="expression" dxfId="64" priority="17" stopIfTrue="1">
      <formula>IF(#REF!&gt;0,1,0)</formula>
    </cfRule>
    <cfRule type="expression" dxfId="63" priority="18" stopIfTrue="1">
      <formula>IF(#REF!=0,1,0)</formula>
    </cfRule>
  </conditionalFormatting>
  <conditionalFormatting sqref="CT25 AQ25">
    <cfRule type="expression" dxfId="62" priority="16" stopIfTrue="1">
      <formula>IF(OR(#REF!="Lương Sớm Hưu",#REF!="Nâng Ngạch Hưu"),1,0)</formula>
    </cfRule>
  </conditionalFormatting>
  <conditionalFormatting sqref="DB25 AY25">
    <cfRule type="expression" dxfId="61" priority="13" stopIfTrue="1">
      <formula>IF(#REF!="Nâg Ngạch sau TB",1,0)</formula>
    </cfRule>
    <cfRule type="expression" dxfId="60" priority="14" stopIfTrue="1">
      <formula>IF(#REF!="Nâg Lươg Sớm sau TB",1,0)</formula>
    </cfRule>
    <cfRule type="expression" dxfId="59" priority="15" stopIfTrue="1">
      <formula>IF(#REF!="Nâg PC TNVK cùng QĐ",1,0)</formula>
    </cfRule>
  </conditionalFormatting>
  <conditionalFormatting sqref="A25">
    <cfRule type="expression" dxfId="58" priority="11" stopIfTrue="1">
      <formula>IF(#REF!="Hưu",1,0)</formula>
    </cfRule>
    <cfRule type="expression" dxfId="57" priority="12" stopIfTrue="1">
      <formula>IF(#REF!="Quá",1,0)</formula>
    </cfRule>
  </conditionalFormatting>
  <conditionalFormatting sqref="BH17:BH24">
    <cfRule type="expression" dxfId="56" priority="8" stopIfTrue="1">
      <formula>IF(AND(#REF!&gt;0,#REF!&lt;5),1,0)</formula>
    </cfRule>
    <cfRule type="expression" dxfId="55" priority="9" stopIfTrue="1">
      <formula>IF(#REF!=5,1,0)</formula>
    </cfRule>
    <cfRule type="expression" dxfId="54" priority="10" stopIfTrue="1">
      <formula>IF(#REF!&gt;5,1,0)</formula>
    </cfRule>
  </conditionalFormatting>
  <conditionalFormatting sqref="BH26:BH29">
    <cfRule type="expression" dxfId="53" priority="5" stopIfTrue="1">
      <formula>IF(AND(#REF!&gt;0,#REF!&lt;5),1,0)</formula>
    </cfRule>
    <cfRule type="expression" dxfId="52" priority="6" stopIfTrue="1">
      <formula>IF(#REF!=5,1,0)</formula>
    </cfRule>
    <cfRule type="expression" dxfId="51" priority="7" stopIfTrue="1">
      <formula>IF(#REF!&gt;5,1,0)</formula>
    </cfRule>
  </conditionalFormatting>
  <conditionalFormatting sqref="A22:A23">
    <cfRule type="expression" dxfId="50" priority="3" stopIfTrue="1">
      <formula>IF(AZ35="Hưu",1,0)</formula>
    </cfRule>
    <cfRule type="expression" dxfId="49" priority="4" stopIfTrue="1">
      <formula>IF(AZ35="Quá",1,0)</formula>
    </cfRule>
  </conditionalFormatting>
  <conditionalFormatting sqref="A24">
    <cfRule type="expression" dxfId="48" priority="1" stopIfTrue="1">
      <formula>IF(AZ25="Hưu",1,0)</formula>
    </cfRule>
    <cfRule type="expression" dxfId="47" priority="2" stopIfTrue="1">
      <formula>IF(AZ25="Quá",1,0)</formula>
    </cfRule>
  </conditionalFormatting>
  <conditionalFormatting sqref="AS15">
    <cfRule type="expression" dxfId="46" priority="4088" stopIfTrue="1">
      <formula>12*(#REF!-AG15)+(#REF!-#REF!)</formula>
    </cfRule>
  </conditionalFormatting>
  <pageMargins left="0.45" right="0.2" top="0.25" bottom="0.2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35"/>
  <sheetViews>
    <sheetView tabSelected="1" topLeftCell="B29" workbookViewId="0">
      <selection activeCell="BM15" sqref="BM15"/>
    </sheetView>
  </sheetViews>
  <sheetFormatPr defaultRowHeight="15" x14ac:dyDescent="0.25"/>
  <cols>
    <col min="1" max="1" width="9.140625" hidden="1" customWidth="1"/>
    <col min="2" max="2" width="5.5703125" customWidth="1"/>
    <col min="3" max="3" width="9.140625" hidden="1" customWidth="1"/>
    <col min="4" max="4" width="22" hidden="1" customWidth="1"/>
    <col min="5" max="5" width="20.5703125" customWidth="1"/>
    <col min="6" max="6" width="7.5703125" customWidth="1"/>
    <col min="7" max="7" width="7.7109375" hidden="1" customWidth="1"/>
    <col min="8" max="8" width="6.5703125" hidden="1" customWidth="1"/>
    <col min="9" max="9" width="6.140625" hidden="1" customWidth="1"/>
    <col min="10" max="10" width="8" hidden="1" customWidth="1"/>
    <col min="11" max="11" width="10.28515625" hidden="1" customWidth="1"/>
    <col min="12" max="12" width="11.140625" hidden="1" customWidth="1"/>
    <col min="13" max="13" width="8.42578125" hidden="1" customWidth="1"/>
    <col min="14" max="14" width="12" hidden="1" customWidth="1"/>
    <col min="15" max="15" width="10.85546875" customWidth="1"/>
    <col min="16" max="16" width="19.28515625" customWidth="1"/>
    <col min="17" max="17" width="6.85546875" hidden="1" customWidth="1"/>
    <col min="18" max="18" width="6.28515625" hidden="1" customWidth="1"/>
    <col min="19" max="19" width="22.28515625" customWidth="1"/>
    <col min="20" max="20" width="24.28515625" customWidth="1"/>
    <col min="21" max="45" width="9.140625" hidden="1" customWidth="1"/>
    <col min="46" max="46" width="3.85546875" hidden="1" customWidth="1"/>
    <col min="47" max="47" width="3" hidden="1" customWidth="1"/>
    <col min="48" max="48" width="3.42578125" customWidth="1"/>
    <col min="49" max="49" width="3.140625" customWidth="1"/>
    <col min="50" max="50" width="2.7109375" customWidth="1"/>
    <col min="51" max="51" width="3.42578125" customWidth="1"/>
    <col min="52" max="52" width="3.5703125" customWidth="1"/>
    <col min="53" max="53" width="1.5703125" customWidth="1"/>
    <col min="54" max="54" width="4.7109375" customWidth="1"/>
    <col min="55" max="55" width="4.7109375" hidden="1" customWidth="1"/>
    <col min="56" max="56" width="4.85546875" hidden="1" customWidth="1"/>
    <col min="57" max="57" width="5.5703125" hidden="1" customWidth="1"/>
    <col min="58" max="58" width="4.28515625" hidden="1" customWidth="1"/>
    <col min="59" max="59" width="5.28515625" hidden="1" customWidth="1"/>
    <col min="60" max="60" width="8.5703125" hidden="1" customWidth="1"/>
    <col min="61" max="61" width="7.28515625" customWidth="1"/>
  </cols>
  <sheetData>
    <row r="1" spans="1:110" s="220" customFormat="1" ht="15.75" customHeight="1" x14ac:dyDescent="0.25">
      <c r="B1" s="457" t="s">
        <v>0</v>
      </c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 t="s">
        <v>1</v>
      </c>
      <c r="P1" s="457"/>
      <c r="Q1" s="457"/>
      <c r="R1" s="457"/>
      <c r="S1" s="457"/>
      <c r="T1" s="457"/>
      <c r="U1" s="457"/>
      <c r="V1" s="457"/>
      <c r="W1" s="457"/>
      <c r="X1" s="457"/>
      <c r="Y1" s="457"/>
      <c r="Z1" s="457"/>
      <c r="AA1" s="457"/>
      <c r="AB1" s="457"/>
      <c r="AC1" s="457"/>
      <c r="AD1" s="457"/>
      <c r="AE1" s="457"/>
      <c r="AF1" s="457"/>
      <c r="AG1" s="457"/>
      <c r="AH1" s="457"/>
      <c r="AI1" s="457"/>
      <c r="AJ1" s="457"/>
      <c r="AK1" s="457"/>
      <c r="AL1" s="457"/>
      <c r="AM1" s="457"/>
      <c r="AN1" s="457"/>
      <c r="AO1" s="457"/>
      <c r="AP1" s="457"/>
      <c r="AQ1" s="457"/>
      <c r="AR1" s="457"/>
      <c r="AS1" s="457"/>
      <c r="AT1" s="457"/>
      <c r="AU1" s="457"/>
      <c r="AV1" s="457"/>
      <c r="AW1" s="457"/>
      <c r="AX1" s="457"/>
      <c r="AY1" s="457"/>
      <c r="AZ1" s="457"/>
      <c r="BA1" s="457"/>
    </row>
    <row r="2" spans="1:110" s="220" customFormat="1" ht="17.25" customHeight="1" x14ac:dyDescent="0.25">
      <c r="B2" s="457" t="s">
        <v>2</v>
      </c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43" t="s">
        <v>3</v>
      </c>
      <c r="P2" s="443"/>
      <c r="Q2" s="443"/>
      <c r="R2" s="443"/>
      <c r="S2" s="443"/>
      <c r="T2" s="443"/>
      <c r="U2" s="443"/>
      <c r="V2" s="443"/>
      <c r="W2" s="443"/>
      <c r="X2" s="443"/>
      <c r="Y2" s="443"/>
      <c r="Z2" s="443"/>
      <c r="AA2" s="443"/>
      <c r="AB2" s="443"/>
      <c r="AC2" s="443"/>
      <c r="AD2" s="443"/>
      <c r="AE2" s="443"/>
      <c r="AF2" s="443"/>
      <c r="AG2" s="443"/>
      <c r="AH2" s="443"/>
      <c r="AI2" s="443"/>
      <c r="AJ2" s="443"/>
      <c r="AK2" s="443"/>
      <c r="AL2" s="443"/>
      <c r="AM2" s="443"/>
      <c r="AN2" s="443"/>
      <c r="AO2" s="443"/>
      <c r="AP2" s="443"/>
      <c r="AQ2" s="443"/>
      <c r="AR2" s="443"/>
      <c r="AS2" s="443"/>
      <c r="AT2" s="443"/>
      <c r="AU2" s="443"/>
      <c r="AV2" s="443"/>
      <c r="AW2" s="443"/>
      <c r="AX2" s="443"/>
      <c r="AY2" s="443"/>
      <c r="AZ2" s="443"/>
      <c r="BA2" s="443"/>
    </row>
    <row r="3" spans="1:110" s="227" customFormat="1" ht="22.5" customHeight="1" x14ac:dyDescent="0.25">
      <c r="A3" s="221"/>
      <c r="B3" s="222"/>
      <c r="C3" s="221"/>
      <c r="D3" s="223"/>
      <c r="E3" s="224"/>
      <c r="F3" s="224"/>
      <c r="G3" s="224"/>
      <c r="H3" s="224"/>
      <c r="I3" s="224"/>
      <c r="J3" s="224"/>
      <c r="K3" s="224"/>
      <c r="L3" s="224"/>
      <c r="M3" s="224"/>
      <c r="N3" s="225"/>
      <c r="O3" s="442" t="s">
        <v>159</v>
      </c>
      <c r="P3" s="442"/>
      <c r="Q3" s="442"/>
      <c r="R3" s="442"/>
      <c r="S3" s="442"/>
      <c r="T3" s="442"/>
      <c r="U3" s="442"/>
      <c r="V3" s="442"/>
      <c r="W3" s="442"/>
      <c r="X3" s="442"/>
      <c r="Y3" s="442"/>
      <c r="Z3" s="442"/>
      <c r="AA3" s="442"/>
      <c r="AB3" s="442"/>
      <c r="AC3" s="442"/>
      <c r="AD3" s="442"/>
      <c r="AE3" s="442"/>
      <c r="AF3" s="442"/>
      <c r="AG3" s="442"/>
      <c r="AH3" s="442"/>
      <c r="AI3" s="442"/>
      <c r="AJ3" s="442"/>
      <c r="AK3" s="442"/>
      <c r="AL3" s="442"/>
      <c r="AM3" s="442"/>
      <c r="AN3" s="442"/>
      <c r="AO3" s="442"/>
      <c r="AP3" s="442"/>
      <c r="AQ3" s="442"/>
      <c r="AR3" s="442"/>
      <c r="AS3" s="442"/>
      <c r="AT3" s="442"/>
      <c r="AU3" s="442"/>
      <c r="AV3" s="442"/>
      <c r="AW3" s="442"/>
      <c r="AX3" s="442"/>
      <c r="AY3" s="442"/>
      <c r="AZ3" s="442"/>
      <c r="BA3" s="442"/>
      <c r="BB3" s="226"/>
      <c r="BC3" s="226"/>
      <c r="BD3" s="226"/>
      <c r="BE3" s="226"/>
      <c r="BF3" s="226"/>
      <c r="BG3" s="226"/>
      <c r="BH3" s="226"/>
    </row>
    <row r="4" spans="1:110" s="228" customFormat="1" ht="23.25" customHeight="1" x14ac:dyDescent="0.25">
      <c r="A4" s="223" t="s">
        <v>46</v>
      </c>
      <c r="B4" s="443" t="s">
        <v>160</v>
      </c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  <c r="AA4" s="443"/>
      <c r="AB4" s="443"/>
      <c r="AC4" s="443"/>
      <c r="AD4" s="443"/>
      <c r="AE4" s="443"/>
      <c r="AF4" s="443"/>
      <c r="AG4" s="443"/>
      <c r="AH4" s="443"/>
      <c r="AI4" s="443"/>
      <c r="AJ4" s="443"/>
      <c r="AK4" s="443"/>
      <c r="AL4" s="443"/>
      <c r="AM4" s="443"/>
      <c r="AN4" s="443"/>
      <c r="AO4" s="443"/>
      <c r="AP4" s="443"/>
      <c r="AQ4" s="443"/>
      <c r="AR4" s="443"/>
      <c r="AS4" s="443"/>
      <c r="AT4" s="443"/>
      <c r="AU4" s="443"/>
      <c r="AV4" s="443"/>
      <c r="AW4" s="443"/>
      <c r="AX4" s="443"/>
      <c r="AY4" s="443"/>
      <c r="AZ4" s="443"/>
      <c r="BA4" s="443"/>
      <c r="BB4" s="443"/>
      <c r="BC4" s="443"/>
      <c r="BD4" s="443"/>
      <c r="BE4" s="443"/>
      <c r="BF4" s="443"/>
      <c r="BG4" s="443"/>
      <c r="BH4" s="443"/>
      <c r="BI4" s="443"/>
    </row>
    <row r="5" spans="1:110" s="231" customFormat="1" ht="15" hidden="1" customHeight="1" x14ac:dyDescent="0.25">
      <c r="A5" s="222"/>
      <c r="B5" s="222"/>
      <c r="C5" s="222"/>
      <c r="D5" s="229" t="s">
        <v>47</v>
      </c>
      <c r="E5" s="230" t="e">
        <f>#REF!</f>
        <v>#REF!</v>
      </c>
      <c r="G5" s="232"/>
      <c r="H5" s="233"/>
      <c r="I5" s="234"/>
      <c r="J5" s="232"/>
      <c r="K5" s="232"/>
      <c r="L5" s="232"/>
      <c r="M5" s="232"/>
      <c r="N5" s="235" t="s">
        <v>48</v>
      </c>
      <c r="O5" s="236"/>
      <c r="P5" s="236"/>
      <c r="Q5" s="236"/>
      <c r="R5" s="236"/>
      <c r="S5" s="228"/>
      <c r="T5" s="237"/>
      <c r="U5" s="238"/>
      <c r="V5" s="238"/>
      <c r="W5" s="232"/>
      <c r="X5" s="234"/>
      <c r="Y5" s="232"/>
      <c r="Z5" s="234"/>
      <c r="AA5" s="232"/>
      <c r="AB5" s="233"/>
      <c r="AC5" s="233"/>
      <c r="AD5" s="239"/>
      <c r="AE5" s="232"/>
      <c r="AF5" s="240"/>
      <c r="AG5" s="241"/>
      <c r="AH5" s="228" t="s">
        <v>49</v>
      </c>
      <c r="AI5" s="228"/>
      <c r="AU5" s="228"/>
      <c r="AV5" s="242"/>
      <c r="AX5" s="228"/>
      <c r="BA5" s="242"/>
    </row>
    <row r="6" spans="1:110" s="228" customFormat="1" ht="1.5" hidden="1" customHeight="1" x14ac:dyDescent="0.25">
      <c r="B6" s="243" t="s">
        <v>6</v>
      </c>
      <c r="D6" s="235"/>
      <c r="N6" s="235"/>
      <c r="O6" s="235"/>
      <c r="T6" s="243"/>
    </row>
    <row r="7" spans="1:110" s="228" customFormat="1" ht="16.5" hidden="1" x14ac:dyDescent="0.25">
      <c r="A7" s="136"/>
      <c r="B7" s="243"/>
      <c r="D7" s="228" t="s">
        <v>50</v>
      </c>
      <c r="G7" s="244"/>
      <c r="H7" s="245"/>
      <c r="I7" s="245"/>
      <c r="J7" s="245"/>
      <c r="K7" s="245"/>
      <c r="L7" s="245"/>
      <c r="M7" s="245"/>
      <c r="N7" s="235"/>
      <c r="O7" s="246"/>
      <c r="P7" s="247"/>
      <c r="Q7" s="247"/>
      <c r="R7" s="247"/>
      <c r="T7" s="248"/>
      <c r="AF7" s="249"/>
      <c r="BA7" s="250"/>
      <c r="BB7" s="251"/>
      <c r="BH7" s="252"/>
      <c r="BJ7" s="253"/>
      <c r="BK7" s="253"/>
      <c r="BR7" s="243"/>
      <c r="BS7" s="243"/>
      <c r="BT7" s="243"/>
      <c r="BU7" s="243"/>
      <c r="BW7" s="249"/>
      <c r="BX7" s="254"/>
      <c r="BY7" s="136"/>
    </row>
    <row r="8" spans="1:110" s="90" customFormat="1" ht="16.5" x14ac:dyDescent="0.25">
      <c r="A8" s="58"/>
      <c r="B8" s="59" t="s">
        <v>45</v>
      </c>
      <c r="C8" s="58"/>
      <c r="D8" s="60"/>
      <c r="E8" s="61"/>
      <c r="F8" s="62"/>
      <c r="G8" s="60"/>
      <c r="H8" s="60"/>
      <c r="I8" s="60"/>
      <c r="J8" s="376"/>
      <c r="K8" s="376"/>
      <c r="L8" s="376"/>
      <c r="M8" s="376"/>
      <c r="N8" s="59"/>
      <c r="O8" s="59"/>
      <c r="P8" s="64"/>
      <c r="Q8" s="64"/>
      <c r="R8" s="64"/>
      <c r="S8" s="65"/>
      <c r="T8" s="66"/>
      <c r="U8" s="67"/>
      <c r="V8" s="66"/>
      <c r="W8" s="66"/>
      <c r="X8" s="60"/>
      <c r="Y8" s="68"/>
      <c r="Z8" s="69"/>
      <c r="AA8" s="70"/>
      <c r="AB8" s="71"/>
      <c r="AC8" s="68"/>
      <c r="AD8" s="69"/>
      <c r="AE8" s="70"/>
      <c r="AF8" s="72"/>
      <c r="AG8" s="61"/>
      <c r="AH8" s="61"/>
      <c r="AI8" s="73"/>
      <c r="AJ8" s="74"/>
      <c r="AK8" s="75"/>
      <c r="AL8" s="76"/>
      <c r="AM8" s="77"/>
      <c r="AN8" s="60"/>
      <c r="AO8" s="68"/>
      <c r="AP8" s="78"/>
      <c r="AQ8" s="79"/>
      <c r="AR8" s="80"/>
      <c r="AS8" s="60"/>
      <c r="AT8" s="81"/>
      <c r="AU8" s="70"/>
      <c r="AV8" s="68"/>
      <c r="AW8" s="80"/>
      <c r="AX8" s="70"/>
      <c r="AY8" s="82"/>
      <c r="AZ8" s="83"/>
      <c r="BA8" s="84"/>
      <c r="BB8" s="68"/>
      <c r="BC8" s="68"/>
      <c r="BD8" s="85"/>
      <c r="BE8" s="85"/>
      <c r="BF8" s="81"/>
      <c r="BG8" s="71"/>
      <c r="BH8" s="86"/>
      <c r="BI8" s="86"/>
      <c r="BJ8" s="87"/>
      <c r="BK8" s="88"/>
      <c r="BL8" s="88"/>
      <c r="BM8" s="88"/>
      <c r="BN8" s="89"/>
      <c r="BP8" s="87"/>
      <c r="BQ8" s="87"/>
      <c r="BR8" s="87"/>
      <c r="BS8" s="87"/>
      <c r="BV8" s="91"/>
      <c r="BW8" s="86"/>
    </row>
    <row r="9" spans="1:110" s="90" customFormat="1" ht="16.5" x14ac:dyDescent="0.25">
      <c r="A9" s="58"/>
      <c r="B9" s="59"/>
      <c r="C9" s="58"/>
      <c r="D9" s="376" t="s">
        <v>77</v>
      </c>
      <c r="E9" s="376" t="s">
        <v>77</v>
      </c>
      <c r="F9" s="61"/>
      <c r="G9" s="62"/>
      <c r="H9" s="60"/>
      <c r="I9" s="60"/>
      <c r="J9" s="60"/>
      <c r="K9" s="376"/>
      <c r="L9" s="376"/>
      <c r="M9" s="376"/>
      <c r="N9" s="376"/>
      <c r="O9" s="59"/>
      <c r="P9" s="64"/>
      <c r="Q9" s="64"/>
      <c r="R9" s="64"/>
      <c r="S9" s="65"/>
      <c r="T9" s="66"/>
      <c r="U9" s="67"/>
      <c r="V9" s="66"/>
      <c r="W9" s="66"/>
      <c r="X9" s="60"/>
      <c r="Y9" s="68"/>
      <c r="Z9" s="69"/>
      <c r="AA9" s="70"/>
      <c r="AB9" s="71"/>
      <c r="AC9" s="68"/>
      <c r="AD9" s="69"/>
      <c r="AE9" s="70"/>
      <c r="AF9" s="72"/>
      <c r="AG9" s="61"/>
      <c r="AH9" s="61"/>
      <c r="AI9" s="73"/>
      <c r="AJ9" s="74"/>
      <c r="AK9" s="75"/>
      <c r="AL9" s="76"/>
      <c r="AM9" s="77"/>
      <c r="AN9" s="60"/>
      <c r="AO9" s="68"/>
      <c r="AP9" s="78"/>
      <c r="AQ9" s="79"/>
      <c r="AR9" s="80"/>
      <c r="AS9" s="60"/>
      <c r="AT9" s="81"/>
      <c r="AU9" s="70"/>
      <c r="AV9" s="68"/>
      <c r="AW9" s="80"/>
      <c r="AX9" s="70"/>
      <c r="AY9" s="82"/>
      <c r="AZ9" s="83"/>
      <c r="BA9" s="84"/>
      <c r="BB9" s="68"/>
      <c r="BC9" s="68"/>
      <c r="BD9" s="85"/>
      <c r="BE9" s="85"/>
      <c r="BF9" s="81"/>
      <c r="BG9" s="71"/>
      <c r="BH9" s="86"/>
      <c r="BI9" s="86"/>
      <c r="BJ9" s="87"/>
      <c r="BK9" s="88"/>
      <c r="BL9" s="88"/>
      <c r="BM9" s="88"/>
      <c r="BN9" s="89"/>
      <c r="BP9" s="87"/>
      <c r="BQ9" s="87"/>
      <c r="BR9" s="87"/>
      <c r="BS9" s="87"/>
      <c r="BV9" s="91"/>
      <c r="BW9" s="86"/>
    </row>
    <row r="10" spans="1:110" s="86" customFormat="1" ht="17.25" thickBot="1" x14ac:dyDescent="0.3">
      <c r="A10" s="92"/>
      <c r="B10" s="61"/>
      <c r="C10" s="58"/>
      <c r="D10" s="59" t="s">
        <v>91</v>
      </c>
      <c r="E10" s="59" t="s">
        <v>116</v>
      </c>
      <c r="F10" s="61"/>
      <c r="G10" s="62"/>
      <c r="H10" s="60"/>
      <c r="I10" s="60"/>
      <c r="J10" s="60"/>
      <c r="K10" s="376"/>
      <c r="L10" s="376"/>
      <c r="M10" s="376"/>
      <c r="N10" s="376"/>
      <c r="O10" s="59"/>
      <c r="P10" s="59"/>
      <c r="Q10" s="64"/>
      <c r="R10" s="64"/>
      <c r="S10" s="64"/>
      <c r="T10" s="65"/>
      <c r="U10" s="66"/>
      <c r="V10" s="67"/>
      <c r="W10" s="66"/>
      <c r="X10" s="66"/>
      <c r="Y10" s="60"/>
      <c r="Z10" s="69"/>
      <c r="AA10" s="70"/>
      <c r="AB10" s="71"/>
      <c r="AC10" s="68"/>
      <c r="AD10" s="69"/>
      <c r="AE10" s="70"/>
      <c r="AF10" s="93"/>
      <c r="AG10" s="78"/>
      <c r="AH10" s="94"/>
      <c r="AI10" s="95"/>
      <c r="AJ10" s="96"/>
      <c r="AK10" s="75"/>
      <c r="AL10" s="76"/>
      <c r="AM10" s="77"/>
      <c r="AN10" s="60"/>
      <c r="AO10" s="68"/>
      <c r="AP10" s="61"/>
      <c r="AQ10" s="79"/>
      <c r="AR10" s="80"/>
      <c r="AS10" s="60"/>
      <c r="AT10" s="70"/>
      <c r="AU10" s="70"/>
      <c r="AV10" s="68"/>
      <c r="AW10" s="80"/>
      <c r="AX10" s="70"/>
      <c r="AY10" s="80"/>
      <c r="AZ10" s="83"/>
      <c r="BA10" s="84"/>
      <c r="BB10" s="68"/>
      <c r="BC10" s="68"/>
      <c r="BD10" s="85"/>
      <c r="BE10" s="85"/>
      <c r="BF10" s="70"/>
      <c r="BG10" s="71"/>
      <c r="BI10" s="285"/>
      <c r="BJ10" s="285"/>
      <c r="BK10" s="286"/>
      <c r="BL10" s="286"/>
      <c r="BM10" s="286"/>
      <c r="BN10" s="285"/>
      <c r="BO10" s="285"/>
      <c r="BP10" s="285"/>
      <c r="BQ10" s="285"/>
      <c r="BR10" s="285"/>
      <c r="BS10" s="285"/>
      <c r="BT10" s="285"/>
      <c r="BU10" s="285"/>
      <c r="BV10" s="285"/>
      <c r="BW10" s="285"/>
      <c r="BX10" s="285"/>
      <c r="BY10" s="285"/>
      <c r="BZ10" s="285"/>
      <c r="CA10" s="285"/>
      <c r="CB10" s="285"/>
      <c r="CC10" s="285"/>
      <c r="CD10" s="285"/>
      <c r="CE10" s="285"/>
      <c r="CF10" s="285"/>
      <c r="CG10" s="285"/>
      <c r="CH10" s="285"/>
      <c r="CI10" s="285"/>
      <c r="CJ10" s="285"/>
      <c r="CK10" s="285"/>
      <c r="CL10" s="285"/>
      <c r="CM10" s="285"/>
      <c r="CN10" s="285"/>
      <c r="CO10" s="285"/>
      <c r="CP10" s="285"/>
      <c r="CQ10" s="285"/>
      <c r="CR10" s="285"/>
      <c r="CS10" s="285"/>
      <c r="CT10" s="285"/>
      <c r="CU10" s="285"/>
      <c r="CV10" s="285"/>
      <c r="CW10" s="285"/>
      <c r="CX10" s="285"/>
      <c r="CY10" s="285"/>
      <c r="CZ10" s="285"/>
      <c r="DA10" s="285"/>
      <c r="DB10" s="285"/>
      <c r="DC10" s="285"/>
      <c r="DD10" s="285"/>
      <c r="DE10" s="285"/>
      <c r="DF10" s="285"/>
    </row>
    <row r="11" spans="1:110" s="100" customFormat="1" ht="15" customHeight="1" thickTop="1" x14ac:dyDescent="0.25">
      <c r="A11" s="97"/>
      <c r="B11" s="61" t="s">
        <v>6</v>
      </c>
      <c r="C11" s="58"/>
      <c r="D11" s="59" t="s">
        <v>89</v>
      </c>
      <c r="E11" s="411" t="s">
        <v>89</v>
      </c>
      <c r="F11" s="411"/>
      <c r="G11" s="411"/>
      <c r="H11" s="411"/>
      <c r="I11" s="411"/>
      <c r="J11" s="411"/>
      <c r="K11" s="411"/>
      <c r="L11" s="411"/>
      <c r="M11" s="411"/>
      <c r="N11" s="411"/>
      <c r="O11" s="411"/>
      <c r="P11" s="411"/>
      <c r="Q11" s="411"/>
      <c r="R11" s="411"/>
      <c r="S11" s="411"/>
      <c r="T11" s="66"/>
      <c r="U11" s="67"/>
      <c r="V11" s="66"/>
      <c r="W11" s="66"/>
      <c r="X11" s="60"/>
      <c r="Y11" s="68"/>
      <c r="Z11" s="69"/>
      <c r="AA11" s="70"/>
      <c r="AB11" s="71"/>
      <c r="AC11" s="68"/>
      <c r="AD11" s="69"/>
      <c r="AE11" s="70"/>
      <c r="AF11" s="98"/>
      <c r="AG11" s="73"/>
      <c r="AH11" s="73"/>
      <c r="AI11" s="99"/>
      <c r="AJ11" s="74"/>
      <c r="AK11" s="75"/>
      <c r="AL11" s="76"/>
      <c r="AM11" s="77"/>
      <c r="AN11" s="60"/>
      <c r="AO11" s="68"/>
      <c r="AP11" s="78"/>
      <c r="AQ11" s="79"/>
      <c r="AR11" s="80"/>
      <c r="AS11" s="60"/>
      <c r="AT11" s="81"/>
      <c r="AU11" s="70"/>
      <c r="AV11" s="68"/>
      <c r="AW11" s="80"/>
      <c r="AX11" s="70"/>
      <c r="AY11" s="82"/>
      <c r="AZ11" s="83"/>
      <c r="BA11" s="84"/>
      <c r="BB11" s="68"/>
      <c r="BC11" s="68"/>
      <c r="BD11" s="85"/>
      <c r="BE11" s="85"/>
      <c r="BF11" s="81"/>
      <c r="BG11" s="71"/>
      <c r="BH11" s="86"/>
      <c r="BI11" s="284"/>
      <c r="BJ11" s="284"/>
      <c r="BK11" s="284"/>
      <c r="BL11" s="283"/>
      <c r="BM11" s="284"/>
      <c r="BN11" s="283"/>
      <c r="BO11" s="283"/>
      <c r="BP11" s="284"/>
      <c r="BQ11" s="284"/>
      <c r="BR11" s="284"/>
      <c r="BS11" s="284"/>
      <c r="BT11" s="284"/>
      <c r="BU11" s="284"/>
      <c r="BV11" s="284"/>
      <c r="BW11" s="283"/>
      <c r="BX11" s="283"/>
      <c r="BY11" s="284"/>
      <c r="BZ11" s="284"/>
      <c r="CA11" s="284"/>
      <c r="CB11" s="284"/>
      <c r="CC11" s="284"/>
      <c r="CD11" s="284"/>
      <c r="CE11" s="284"/>
      <c r="CF11" s="284"/>
      <c r="CG11" s="284"/>
      <c r="CH11" s="284"/>
      <c r="CI11" s="284"/>
      <c r="CJ11" s="284"/>
      <c r="CK11" s="284"/>
      <c r="CL11" s="284"/>
      <c r="CM11" s="284"/>
      <c r="CN11" s="284"/>
      <c r="CO11" s="284"/>
      <c r="CP11" s="284"/>
      <c r="CQ11" s="284"/>
      <c r="CR11" s="283"/>
      <c r="CS11" s="284"/>
      <c r="CT11" s="283"/>
      <c r="CU11" s="284"/>
      <c r="CV11" s="284"/>
      <c r="CW11" s="284"/>
      <c r="CX11" s="284"/>
      <c r="CY11" s="284"/>
      <c r="CZ11" s="284"/>
      <c r="DA11" s="284"/>
      <c r="DB11" s="284"/>
      <c r="DC11" s="284"/>
      <c r="DD11" s="284"/>
      <c r="DE11" s="284"/>
      <c r="DF11" s="284"/>
    </row>
    <row r="12" spans="1:110" s="231" customFormat="1" ht="6.75" hidden="1" customHeight="1" x14ac:dyDescent="0.25">
      <c r="A12" s="221"/>
      <c r="B12" s="222"/>
      <c r="C12" s="221"/>
      <c r="D12" s="235"/>
      <c r="E12" s="232"/>
      <c r="F12" s="234"/>
      <c r="G12" s="234"/>
      <c r="H12" s="234"/>
      <c r="I12" s="255"/>
      <c r="J12" s="256"/>
      <c r="K12" s="256"/>
      <c r="L12" s="256"/>
      <c r="M12" s="256"/>
      <c r="N12" s="235"/>
      <c r="O12" s="257"/>
      <c r="P12" s="233"/>
      <c r="Q12" s="233"/>
      <c r="R12" s="233"/>
      <c r="S12" s="228"/>
      <c r="T12" s="232"/>
      <c r="U12" s="234"/>
      <c r="V12" s="234"/>
      <c r="W12" s="233"/>
      <c r="X12" s="234"/>
      <c r="Y12" s="233"/>
      <c r="Z12" s="234"/>
      <c r="AA12" s="233"/>
      <c r="AB12" s="233"/>
      <c r="AC12" s="233"/>
      <c r="AD12" s="258"/>
      <c r="AE12" s="232"/>
      <c r="AF12" s="228"/>
      <c r="AH12" s="228"/>
      <c r="AI12" s="228"/>
      <c r="AJ12" s="256"/>
      <c r="AK12" s="256"/>
      <c r="AU12" s="228"/>
      <c r="AV12" s="242"/>
      <c r="AX12" s="228"/>
      <c r="BA12" s="242"/>
    </row>
    <row r="13" spans="1:110" s="231" customFormat="1" ht="21.75" customHeight="1" x14ac:dyDescent="0.25">
      <c r="A13" s="221"/>
      <c r="B13" s="461" t="s">
        <v>158</v>
      </c>
      <c r="C13" s="461"/>
      <c r="D13" s="461"/>
      <c r="E13" s="461"/>
      <c r="F13" s="234"/>
      <c r="G13" s="234"/>
      <c r="H13" s="234"/>
      <c r="I13" s="255"/>
      <c r="J13" s="256"/>
      <c r="K13" s="256"/>
      <c r="L13" s="256"/>
      <c r="M13" s="256"/>
      <c r="N13" s="235"/>
      <c r="O13" s="257"/>
      <c r="P13" s="233"/>
      <c r="Q13" s="233"/>
      <c r="R13" s="233"/>
      <c r="S13" s="228"/>
      <c r="T13" s="232"/>
      <c r="U13" s="234"/>
      <c r="V13" s="234"/>
      <c r="W13" s="233"/>
      <c r="X13" s="234"/>
      <c r="Y13" s="233"/>
      <c r="Z13" s="234"/>
      <c r="AA13" s="233"/>
      <c r="AB13" s="233"/>
      <c r="AC13" s="233"/>
      <c r="AD13" s="258"/>
      <c r="AE13" s="232"/>
      <c r="AF13" s="228"/>
      <c r="AH13" s="228"/>
      <c r="AI13" s="228"/>
      <c r="AJ13" s="256"/>
      <c r="AK13" s="256"/>
      <c r="AU13" s="228"/>
      <c r="AV13" s="242"/>
      <c r="AX13" s="228"/>
      <c r="BA13" s="242"/>
    </row>
    <row r="14" spans="1:110" s="260" customFormat="1" ht="33" customHeight="1" x14ac:dyDescent="0.25">
      <c r="A14" s="228" t="s">
        <v>11</v>
      </c>
      <c r="B14" s="445" t="s">
        <v>11</v>
      </c>
      <c r="C14" s="397"/>
      <c r="D14" s="445" t="s">
        <v>51</v>
      </c>
      <c r="E14" s="445" t="s">
        <v>12</v>
      </c>
      <c r="F14" s="446" t="s">
        <v>13</v>
      </c>
      <c r="G14" s="397"/>
      <c r="H14" s="397"/>
      <c r="I14" s="397"/>
      <c r="J14" s="397"/>
      <c r="K14" s="397"/>
      <c r="L14" s="397"/>
      <c r="M14" s="397"/>
      <c r="N14" s="448" t="s">
        <v>52</v>
      </c>
      <c r="O14" s="449"/>
      <c r="P14" s="450"/>
      <c r="Q14" s="397"/>
      <c r="R14" s="388" t="s">
        <v>53</v>
      </c>
      <c r="S14" s="449" t="s">
        <v>53</v>
      </c>
      <c r="T14" s="450"/>
      <c r="U14" s="445" t="s">
        <v>17</v>
      </c>
      <c r="V14" s="259"/>
      <c r="W14" s="259"/>
      <c r="X14" s="397" t="s">
        <v>54</v>
      </c>
      <c r="Y14" s="397"/>
      <c r="Z14" s="397"/>
      <c r="AA14" s="397"/>
      <c r="AB14" s="397"/>
      <c r="AC14" s="397"/>
      <c r="AD14" s="397"/>
      <c r="AE14" s="397" t="s">
        <v>19</v>
      </c>
      <c r="AF14" s="397"/>
      <c r="AG14" s="397"/>
      <c r="AH14" s="397"/>
      <c r="AI14" s="397"/>
      <c r="AJ14" s="397"/>
      <c r="AK14" s="397"/>
      <c r="AL14" s="397"/>
      <c r="AM14" s="397"/>
      <c r="AN14" s="397"/>
      <c r="AO14" s="397"/>
      <c r="AP14" s="397"/>
      <c r="AQ14" s="397"/>
      <c r="AR14" s="397"/>
      <c r="AS14" s="397"/>
      <c r="AT14" s="397"/>
      <c r="AU14" s="454" t="s">
        <v>55</v>
      </c>
      <c r="AV14" s="455"/>
      <c r="AW14" s="455"/>
      <c r="AX14" s="455"/>
      <c r="AY14" s="455"/>
      <c r="AZ14" s="455"/>
      <c r="BA14" s="455"/>
      <c r="BB14" s="456"/>
      <c r="BC14" s="445" t="s">
        <v>56</v>
      </c>
      <c r="BD14" s="445" t="s">
        <v>19</v>
      </c>
      <c r="BE14" s="397"/>
      <c r="BF14" s="397"/>
      <c r="BG14" s="397"/>
      <c r="BH14" s="445" t="s">
        <v>56</v>
      </c>
      <c r="BI14" s="445" t="s">
        <v>56</v>
      </c>
    </row>
    <row r="15" spans="1:110" s="228" customFormat="1" ht="33" customHeight="1" x14ac:dyDescent="0.25">
      <c r="B15" s="445"/>
      <c r="C15" s="397"/>
      <c r="D15" s="445"/>
      <c r="E15" s="445"/>
      <c r="F15" s="447"/>
      <c r="G15" s="397"/>
      <c r="H15" s="397"/>
      <c r="I15" s="397"/>
      <c r="J15" s="397"/>
      <c r="K15" s="397"/>
      <c r="L15" s="397"/>
      <c r="M15" s="397"/>
      <c r="N15" s="451"/>
      <c r="O15" s="452"/>
      <c r="P15" s="453"/>
      <c r="Q15" s="397"/>
      <c r="R15" s="389"/>
      <c r="S15" s="452"/>
      <c r="T15" s="453"/>
      <c r="U15" s="445"/>
      <c r="V15" s="397"/>
      <c r="W15" s="397"/>
      <c r="X15" s="397" t="s">
        <v>57</v>
      </c>
      <c r="Y15" s="397"/>
      <c r="Z15" s="397" t="s">
        <v>58</v>
      </c>
      <c r="AA15" s="397"/>
      <c r="AB15" s="397" t="s">
        <v>59</v>
      </c>
      <c r="AC15" s="397"/>
      <c r="AD15" s="397"/>
      <c r="AE15" s="397"/>
      <c r="AF15" s="397" t="s">
        <v>60</v>
      </c>
      <c r="AG15" s="397" t="s">
        <v>61</v>
      </c>
      <c r="AH15" s="261" t="s">
        <v>62</v>
      </c>
      <c r="AI15" s="397"/>
      <c r="AJ15" s="397"/>
      <c r="AK15" s="259"/>
      <c r="AL15" s="259"/>
      <c r="AM15" s="259"/>
      <c r="AN15" s="259"/>
      <c r="AO15" s="259"/>
      <c r="AP15" s="259"/>
      <c r="AQ15" s="397"/>
      <c r="AR15" s="397"/>
      <c r="AS15" s="397"/>
      <c r="AT15" s="397"/>
      <c r="AU15" s="454" t="s">
        <v>57</v>
      </c>
      <c r="AV15" s="455"/>
      <c r="AW15" s="455"/>
      <c r="AX15" s="445" t="s">
        <v>58</v>
      </c>
      <c r="AY15" s="445"/>
      <c r="AZ15" s="390"/>
      <c r="BA15" s="455" t="s">
        <v>101</v>
      </c>
      <c r="BB15" s="456"/>
      <c r="BC15" s="445"/>
      <c r="BD15" s="445"/>
      <c r="BE15" s="397"/>
      <c r="BF15" s="397"/>
      <c r="BG15" s="397"/>
      <c r="BH15" s="445"/>
      <c r="BI15" s="445"/>
    </row>
    <row r="16" spans="1:110" s="228" customFormat="1" ht="30.75" hidden="1" customHeight="1" x14ac:dyDescent="0.25">
      <c r="A16" s="228" t="s">
        <v>63</v>
      </c>
      <c r="B16" s="262"/>
      <c r="C16" s="263"/>
      <c r="D16" s="264" t="s">
        <v>64</v>
      </c>
      <c r="E16" s="263" t="s">
        <v>65</v>
      </c>
      <c r="F16" s="263"/>
      <c r="G16" s="263"/>
      <c r="H16" s="263"/>
      <c r="I16" s="263"/>
      <c r="J16" s="263"/>
      <c r="K16" s="263"/>
      <c r="L16" s="263"/>
      <c r="M16" s="263"/>
      <c r="N16" s="264" t="s">
        <v>66</v>
      </c>
      <c r="O16" s="264" t="s">
        <v>67</v>
      </c>
      <c r="P16" s="263"/>
      <c r="Q16" s="263"/>
      <c r="R16" s="263"/>
      <c r="S16" s="263"/>
      <c r="T16" s="262"/>
      <c r="U16" s="263" t="s">
        <v>68</v>
      </c>
      <c r="V16" s="263" t="s">
        <v>69</v>
      </c>
      <c r="W16" s="263"/>
      <c r="X16" s="263" t="s">
        <v>70</v>
      </c>
      <c r="Y16" s="263"/>
      <c r="Z16" s="263" t="s">
        <v>71</v>
      </c>
      <c r="AA16" s="263"/>
      <c r="AB16" s="263" t="s">
        <v>72</v>
      </c>
      <c r="AC16" s="263"/>
      <c r="AD16" s="263"/>
      <c r="AE16" s="263"/>
      <c r="AF16" s="263"/>
      <c r="AG16" s="263"/>
      <c r="AH16" s="263"/>
      <c r="AI16" s="263"/>
      <c r="AJ16" s="263"/>
      <c r="AK16" s="263"/>
      <c r="AL16" s="263"/>
      <c r="AM16" s="263"/>
      <c r="AN16" s="263"/>
      <c r="AO16" s="263"/>
      <c r="AP16" s="263"/>
      <c r="AQ16" s="263"/>
      <c r="AR16" s="263"/>
      <c r="AS16" s="263"/>
      <c r="AT16" s="263"/>
      <c r="AU16" s="263" t="s">
        <v>69</v>
      </c>
      <c r="AV16" s="263"/>
      <c r="AW16" s="263" t="s">
        <v>70</v>
      </c>
      <c r="AX16" s="263"/>
      <c r="AY16" s="263" t="s">
        <v>71</v>
      </c>
      <c r="AZ16" s="145"/>
      <c r="BA16" s="263" t="s">
        <v>72</v>
      </c>
      <c r="BB16" s="263"/>
      <c r="BC16" s="263"/>
      <c r="BD16" s="263"/>
      <c r="BE16" s="263"/>
      <c r="BF16" s="263"/>
      <c r="BG16" s="263"/>
      <c r="BH16" s="263"/>
      <c r="BI16" s="263"/>
    </row>
    <row r="17" spans="1:146" x14ac:dyDescent="0.25">
      <c r="A17" t="s">
        <v>73</v>
      </c>
      <c r="B17" s="394">
        <v>1</v>
      </c>
      <c r="C17" s="394"/>
      <c r="D17" s="394">
        <v>2</v>
      </c>
      <c r="E17" s="394">
        <v>2</v>
      </c>
      <c r="F17" s="394">
        <v>3</v>
      </c>
      <c r="G17" s="394"/>
      <c r="H17" s="394"/>
      <c r="I17" s="394"/>
      <c r="J17" s="394"/>
      <c r="K17" s="394"/>
      <c r="L17" s="394"/>
      <c r="M17" s="394"/>
      <c r="N17" s="458">
        <v>4</v>
      </c>
      <c r="O17" s="459"/>
      <c r="P17" s="460"/>
      <c r="Q17" s="394"/>
      <c r="R17" s="431">
        <v>5</v>
      </c>
      <c r="S17" s="431"/>
      <c r="T17" s="431"/>
      <c r="U17" s="394">
        <v>6</v>
      </c>
      <c r="V17" s="394">
        <v>7</v>
      </c>
      <c r="W17" s="394"/>
      <c r="X17" s="394">
        <v>8</v>
      </c>
      <c r="Y17" s="394"/>
      <c r="Z17" s="394"/>
      <c r="AA17" s="394"/>
      <c r="AB17" s="394">
        <v>9</v>
      </c>
      <c r="AC17" s="394">
        <v>10</v>
      </c>
      <c r="AD17" s="394"/>
      <c r="AE17" s="394"/>
      <c r="AF17" s="394"/>
      <c r="AG17" s="394"/>
      <c r="AH17" s="394"/>
      <c r="AI17" s="394"/>
      <c r="AJ17" s="394"/>
      <c r="AK17" s="394"/>
      <c r="AL17" s="394"/>
      <c r="AM17" s="394"/>
      <c r="AN17" s="394"/>
      <c r="AO17" s="394"/>
      <c r="AP17" s="394"/>
      <c r="AQ17" s="394"/>
      <c r="AR17" s="394"/>
      <c r="AS17" s="394"/>
      <c r="AT17" s="394"/>
      <c r="AU17" s="458">
        <v>6</v>
      </c>
      <c r="AV17" s="459"/>
      <c r="AW17" s="459"/>
      <c r="AX17" s="458">
        <v>7</v>
      </c>
      <c r="AY17" s="460"/>
      <c r="AZ17" s="458">
        <v>8</v>
      </c>
      <c r="BA17" s="459"/>
      <c r="BB17" s="460"/>
      <c r="BC17" s="394">
        <v>10</v>
      </c>
      <c r="BD17" s="394"/>
      <c r="BE17" s="394"/>
      <c r="BF17" s="394"/>
      <c r="BG17" s="394"/>
      <c r="BH17" s="394">
        <v>10</v>
      </c>
      <c r="BI17" s="394">
        <v>9</v>
      </c>
      <c r="BJ17" s="290"/>
      <c r="BK17" s="290"/>
      <c r="BL17" s="290"/>
      <c r="BM17" s="290"/>
      <c r="BN17" s="290"/>
      <c r="BO17" s="290"/>
      <c r="BP17" s="290"/>
      <c r="BQ17" s="290"/>
      <c r="BR17" s="290"/>
      <c r="BS17" s="290"/>
      <c r="BT17" s="290"/>
      <c r="BU17" s="290"/>
      <c r="BV17" s="290"/>
      <c r="BW17" s="290"/>
      <c r="BX17" s="290"/>
      <c r="BY17" s="290"/>
      <c r="BZ17" s="290"/>
      <c r="CA17" s="290"/>
      <c r="CB17" s="290"/>
      <c r="CC17" s="290"/>
      <c r="CD17" s="290"/>
      <c r="CE17" s="290"/>
      <c r="CF17" s="290"/>
      <c r="CG17" s="290"/>
      <c r="CH17" s="290"/>
      <c r="CI17" s="290"/>
      <c r="CJ17" s="290"/>
      <c r="CK17" s="290"/>
      <c r="CL17" s="290"/>
      <c r="CM17" s="290"/>
      <c r="CN17" s="290"/>
      <c r="CO17" s="290"/>
      <c r="CP17" s="290"/>
      <c r="CQ17" s="290"/>
      <c r="CR17" s="290"/>
      <c r="CS17" s="290"/>
      <c r="CT17" s="290"/>
      <c r="CU17" s="318"/>
      <c r="CV17" s="318"/>
      <c r="CW17" s="318"/>
      <c r="CX17" s="318"/>
      <c r="CY17" s="318"/>
      <c r="CZ17" s="318"/>
      <c r="DA17" s="318"/>
      <c r="DB17" s="318"/>
      <c r="DC17" s="318"/>
      <c r="DD17" s="318"/>
      <c r="DE17" s="318"/>
      <c r="DF17" s="318"/>
      <c r="DG17" s="318"/>
      <c r="DH17" s="318"/>
      <c r="DI17" s="318"/>
      <c r="DJ17" s="318"/>
      <c r="DK17" s="318"/>
    </row>
    <row r="18" spans="1:146" s="140" customFormat="1" ht="31.5" customHeight="1" x14ac:dyDescent="0.25">
      <c r="A18" s="137">
        <v>173</v>
      </c>
      <c r="B18" s="262">
        <v>1</v>
      </c>
      <c r="C18" s="137"/>
      <c r="D18" s="505" t="str">
        <f t="shared" ref="D18:D29" si="0">IF(F18="Nam","Ông","Bà")</f>
        <v>Ông</v>
      </c>
      <c r="E18" s="304" t="s">
        <v>161</v>
      </c>
      <c r="F18" s="265" t="s">
        <v>32</v>
      </c>
      <c r="G18" s="265" t="s">
        <v>110</v>
      </c>
      <c r="H18" s="265" t="s">
        <v>9</v>
      </c>
      <c r="I18" s="265" t="s">
        <v>30</v>
      </c>
      <c r="J18" s="137" t="s">
        <v>9</v>
      </c>
      <c r="K18" s="137" t="s">
        <v>162</v>
      </c>
      <c r="L18" s="137"/>
      <c r="M18" s="141"/>
      <c r="N18" s="386" t="e">
        <f>VLOOKUP(M18,'[1]- DLiêu Gốc -'!$B$2:$G$121,2,0)</f>
        <v>#N/A</v>
      </c>
      <c r="O18" s="404" t="s">
        <v>163</v>
      </c>
      <c r="P18" s="402" t="s">
        <v>82</v>
      </c>
      <c r="Q18" s="157" t="str">
        <f>VLOOKUP(V18,'[1]- DLiêu Gốc -'!$B$2:$G$56,5,0)</f>
        <v>A3</v>
      </c>
      <c r="R18" s="137" t="str">
        <f>VLOOKUP(V18,'[1]- DLiêu Gốc -'!$B$2:$G$56,6,0)</f>
        <v>A3.1</v>
      </c>
      <c r="S18" s="266" t="s">
        <v>28</v>
      </c>
      <c r="T18" s="267" t="str">
        <f t="shared" ref="T18:T29" si="1">IF(OR(V18="Kỹ thuật viên đánh máy",V18="Nhân viên đánh máy",V18="Nhân viên kỹ thuật",V18="Nhân viên văn thư",V18="Nhân viên phục vụ",V18="Lái xe cơ quan",V18="Nhân viên bảo vệ"),"Nhân viên",V18)</f>
        <v>Giảng viên cao cấp (hạng I)</v>
      </c>
      <c r="U18" s="172" t="str">
        <f t="shared" ref="U18:U29" si="2">IF(T18="Nhân viên","01.005",W18)</f>
        <v>V.07.01.01</v>
      </c>
      <c r="V18" s="139" t="s">
        <v>74</v>
      </c>
      <c r="W18" s="263" t="str">
        <f>VLOOKUP(V18,'[1]- DLiêu Gốc -'!$B$1:$G$121,2,0)</f>
        <v>V.07.01.01</v>
      </c>
      <c r="X18" s="263" t="str">
        <f t="shared" ref="X18:X29" si="3">IF(OR(AND(AO18=36,AN18=3),AND(AO18=24,AN18=2),AND(AO18=12,AN18=1)),"Đến $",IF(OR(AND(AO18&gt;36,AN18=3),AND(AO18&gt;24,AN18=2),AND(AO18&gt;12,AN18=1)),"Dừng $","Lương"))</f>
        <v>Lương</v>
      </c>
      <c r="Y18" s="263">
        <v>4</v>
      </c>
      <c r="Z18" s="263" t="str">
        <f t="shared" ref="Z18:Z29" si="4">IF(AA18&gt;0,"/")</f>
        <v>/</v>
      </c>
      <c r="AA18" s="263">
        <f t="shared" ref="AA18:AA29" si="5">IF(OR(AS18=0.18,AS18=0.2),12,IF(AS18=0.31,10,IF(AS18=0.33,9,IF(AS18=0.34,8,IF(AS18=0.36,6)))))</f>
        <v>6</v>
      </c>
      <c r="AB18" s="263">
        <f t="shared" ref="AB18:AB29" si="6">AR18+(Y18-1)*AS18</f>
        <v>7.28</v>
      </c>
      <c r="AC18" s="263">
        <f t="shared" ref="AC18:AC29" si="7">Y18+1</f>
        <v>5</v>
      </c>
      <c r="AD18" s="263" t="str">
        <f t="shared" ref="AD18:AD29" si="8">IF(AA18=Y18,"%",IF(AA18&gt;Y18,"/"))</f>
        <v>/</v>
      </c>
      <c r="AE18" s="263">
        <f t="shared" ref="AE18:AE29" si="9">IF(AND(AA18=Y18,AC18=4),5,IF(AND(AA18=Y18,AC18&gt;4),AC18+1,IF(AA18&gt;Y18,AA18)))</f>
        <v>6</v>
      </c>
      <c r="AF18" s="263">
        <f t="shared" ref="AF18:AF29" si="10">IF(AA18=Y18,"%",IF(AA18&gt;Y18,AB18+AS18))</f>
        <v>7.6400000000000006</v>
      </c>
      <c r="AG18" s="263" t="s">
        <v>8</v>
      </c>
      <c r="AH18" s="263" t="s">
        <v>9</v>
      </c>
      <c r="AI18" s="263" t="s">
        <v>8</v>
      </c>
      <c r="AJ18" s="263" t="s">
        <v>9</v>
      </c>
      <c r="AK18" s="145">
        <v>2015</v>
      </c>
      <c r="AL18" s="139"/>
      <c r="AM18" s="263"/>
      <c r="AN18" s="263">
        <f t="shared" ref="AN18:AN29" si="11">IF(AND(AA18&gt;Y18,OR(AS18=0.18,AS18=0.2)),2,IF(AND(AA18&gt;Y18,OR(AS18=0.31,AS18=0.33,AS18=0.34,AS18=0.36)),3,IF(AA18=Y18,1)))</f>
        <v>3</v>
      </c>
      <c r="AO18" s="172">
        <f t="shared" ref="AO18:AO29" si="12">12*($X$2-AK18)+($X$4-AI18)-AP18</f>
        <v>-24181</v>
      </c>
      <c r="AP18" s="172"/>
      <c r="AQ18" s="263"/>
      <c r="AR18" s="263">
        <f>VLOOKUP(V18,'[1]- DLiêu Gốc -'!$B$1:$E$56,3,0)</f>
        <v>6.2</v>
      </c>
      <c r="AS18" s="140">
        <f>VLOOKUP(V18,'[1]- DLiêu Gốc -'!$B$1:$E$56,4,0)</f>
        <v>0.36</v>
      </c>
      <c r="AT18" s="263"/>
      <c r="AU18" s="268" t="str">
        <f t="shared" ref="AU18:AU29" si="13">IF(AND(AV18&gt;3,BG18=12),"Đến %",IF(AND(AV18&gt;3,BG18&gt;12,BG18&lt;120),"Dừng %",IF(AND(AV18&gt;3,BG18&lt;12),"PCTN","o-o-o")))</f>
        <v>PCTN</v>
      </c>
      <c r="AV18" s="552">
        <v>18</v>
      </c>
      <c r="AW18" s="332" t="s">
        <v>31</v>
      </c>
      <c r="AX18" s="553">
        <f t="shared" ref="AX18:AX29" si="14">IF(AV18&gt;3,AV18+1,0)</f>
        <v>19</v>
      </c>
      <c r="AY18" s="269" t="s">
        <v>31</v>
      </c>
      <c r="AZ18" s="403" t="s">
        <v>25</v>
      </c>
      <c r="BA18" s="269" t="s">
        <v>9</v>
      </c>
      <c r="BB18" s="387">
        <v>2016</v>
      </c>
      <c r="BC18" s="245"/>
      <c r="BD18" s="172"/>
      <c r="BE18" s="245"/>
      <c r="BF18" s="172">
        <v>8</v>
      </c>
      <c r="BG18" s="138">
        <f t="shared" ref="BG18:BG29" si="15">IF(AV18&gt;3,(($AU$2-BB18)*12+($AU$4-AZ18)-BD18),"- - -")</f>
        <v>-24200</v>
      </c>
      <c r="BH18" s="245" t="str">
        <f t="shared" ref="BH18:BH29" si="16">IF(AND(CH18="Hưu",AV18&gt;3),12-(12*(CN18-BB18)+(CM18-AZ18))-BD18,"- - -")</f>
        <v>- - -</v>
      </c>
      <c r="BI18" s="137" t="str">
        <f t="shared" ref="BI18:BI29" si="17">IF(BL18="công chức","CC",IF(BL18="viên chức","VC",IF(BL18="người lao động","NLĐ","- - -")))</f>
        <v>VC</v>
      </c>
      <c r="BJ18" s="525"/>
      <c r="BK18" s="525"/>
      <c r="BL18" s="526" t="s">
        <v>79</v>
      </c>
      <c r="BM18" s="567" t="str">
        <f t="shared" ref="BM18:BM29" si="18">IF(OR(P18="Ban Tổ chức - Cán bộ",P18="Văn phòng Học viện",P18="Phó Giám đốc Thường trực Học viện",P18="Phó Giám đốc Học viện"),"Chánh Văn phòng Học viện, Trưởng Ban Tổ chức - Cán bộ",IF(OR(P18="Trung tâm Ngoại ngữ",P18="Trung tâm Tin học hành chính và Công nghệ thông tin",P18="Trung tâm Tin học - Thư viện",P18="Phân viện khu vực Tây Nguyên"),"Chánh Văn phòng Học viện, Trưởng Ban Tổ chức - Cán bộ, "&amp;CONCATENATE("Giám đốc ",P18),IF(P18="Tạp chí Quản lý nhà nước","Chánh Văn phòng Học viện, Trưởng Ban Tổ chức - Cán bộ, "&amp;CONCATENATE("Tổng Biên tập ",P18),IF(P18="Văn phòng Đảng uỷ Học viện","Chánh Văn phòng Học viện, Trưởng Ban Tổ chức - Cán bộ, "&amp;CONCATENATE("Chánh",P18),IF(P18="Viện Nghiên cứu Khoa học hành chính","Chánh Văn phòng Học viện, Trưởng Ban Tổ chức - Cán bộ, "&amp;CONCATENATE("Viện Trưởng ",P18),IF(OR(P18="Cơ sở Học viện Hành chính Quốc gia khu vực miền Trung",P18="Cơ sở Học viện Hành chính Quốc gia tại Thành phố Hồ Chí Minh"),"Chánh Văn phòng Học viện, Trưởng Ban Tổ chức - Cán bộ, "&amp;CONCATENATE("Thủ trưởng ",P18),"Chánh Văn phòng Học viện, Trưởng Ban Tổ chức - Cán bộ, "&amp;CONCATENATE("Trưởng ",P18)))))))</f>
        <v>Chánh Văn phòng Học viện, Trưởng Ban Tổ chức - Cán bộ, Trưởng Khoa Hành chính học</v>
      </c>
      <c r="BN18" s="530" t="str">
        <f t="shared" ref="BN18:BN29" si="19">IF(P18="Cơ sở Học viện Hành chính khu vực miền Trung","B",IF(P18="Phân viện Khu vực Tây Nguyên","C",IF(P18="Cơ sở Học viện Hành chính tại thành phố Hồ Chí Minh","D","A")))</f>
        <v>A</v>
      </c>
      <c r="BO18" s="567" t="str">
        <f t="shared" ref="BO18:BO29" si="20">IF(AND(AC18&gt;0,Y18&lt;(AA18-1),BP18&gt;0,BP18&lt;13,OR(AND(BV18="Cùg Ng",($BO$2-BR18)&gt;AN18),BV18="- - -")),"Sớm TT","=&gt; s")</f>
        <v>=&gt; s</v>
      </c>
      <c r="BP18" s="525">
        <f t="shared" ref="BP18:BP29" si="21">IF(AN18=3,36-(12*($BO$2-AK18)+(12-AI18)-AP18),IF(AN18=2,24-(12*($BO$2-AK18)+(12-AI18)-AP18),"---"))</f>
        <v>24205</v>
      </c>
      <c r="BQ18" s="567" t="str">
        <f t="shared" ref="BQ18:BQ29" si="22">IF(BR18&gt;1,"S","---")</f>
        <v>S</v>
      </c>
      <c r="BR18" s="536">
        <v>2009</v>
      </c>
      <c r="BS18" s="536" t="s">
        <v>97</v>
      </c>
      <c r="BT18" s="541"/>
      <c r="BU18" s="524"/>
      <c r="BV18" s="524" t="str">
        <f t="shared" ref="BV18:BV29" si="23">IF(U18=BS18,"Cùg Ng","- - -")</f>
        <v>Cùg Ng</v>
      </c>
      <c r="BW18" s="524" t="str">
        <f t="shared" ref="BW18:BW29" si="24">IF(BY18&gt;2000,"NN","- - -")</f>
        <v>- - -</v>
      </c>
      <c r="BX18" s="524"/>
      <c r="BY18" s="524"/>
      <c r="BZ18" s="524"/>
      <c r="CA18" s="536"/>
      <c r="CB18" s="567" t="str">
        <f t="shared" ref="CB18:CB29" si="25">IF(CD18&gt;2000,"CN","- - -")</f>
        <v>- - -</v>
      </c>
      <c r="CC18" s="567"/>
      <c r="CD18" s="523"/>
      <c r="CE18" s="523"/>
      <c r="CF18" s="524"/>
      <c r="CG18" s="567" t="str">
        <f t="shared" ref="CG18:CG29" si="26">IF(AND(CH18="Hưu",Y18&lt;(AA18-1),CO18&gt;0,CO18&lt;18,OR(AV18&lt;4,AND(AV18&gt;3,OR(BH18&lt;3,BH18&gt;5)))),"Lg Sớm",IF(AND(CH18="Hưu",Y18&gt;(AA18-2),OR(AS18=0.33,AS18=0.34),OR(AV18&lt;4,AND(AV18&gt;3,OR(BH18&lt;3,BH18&gt;5)))),"Nâng Ngạch",IF(AND(CH18="Hưu",AN18=1,CO18&gt;2,CO18&lt;6,OR(AV18&lt;4,AND(AV18&gt;3,OR(BH18&lt;3,BH18&gt;5)))),"Nâng PcVK cùng QĐ",IF(AND(CH18="Hưu",AV18&gt;3,BH18&gt;2,BH18&lt;6,Y18&lt;(AA18-1),CO18&gt;17,OR(AN18&gt;1,AND(AN18=1,OR(CO18&lt;3,CO18&gt;5)))),"Nâng PcNG cùng QĐ",IF(AND(CH18="Hưu",Y18&lt;(AA18-1),CO18&gt;0,CO18&lt;18,AV18&gt;3,BH18&gt;2,BH18&lt;6),"Nâng Lg Sớm +(PcNG cùng QĐ)",IF(AND(CH18="Hưu",Y18&gt;(AA18-2),OR(AS18=0.33,AS18=0.34),AV18&gt;3,BH18&gt;2,BH18&lt;6),"Nâng Ngạch +(PcNG cùng QĐ)",IF(AND(CH18="Hưu",AN18=1,CO18&gt;2,CO18&lt;6,AV18&gt;3,BH18&gt;2,BH18&lt;6),"Nâng (PcVK +PcNG) cùng QĐ",("---"))))))))</f>
        <v>---</v>
      </c>
      <c r="CH18" s="567" t="str">
        <f t="shared" ref="CH18:CH29" si="27">IF(AND(CS18&gt;CR18,CS18&lt;(CR18+13)),"Hưu",IF(AND(CS18&gt;(CR18+12),CS18&lt;1000),"Quá","/-/ /-/"))</f>
        <v>/-/ /-/</v>
      </c>
      <c r="CI18" s="567">
        <f t="shared" ref="CI18:CI29" si="28">IF((I18+0)&lt;12,(I18+0)+1,IF((I18+0)=12,1,IF((I18+0)&gt;12,(I18+0)-12)))</f>
        <v>3</v>
      </c>
      <c r="CJ18" s="524">
        <f t="shared" ref="CJ18:CJ29" si="29">IF(OR((I18+0)=12,(I18+0)&gt;12),K18+CR18/12+1,IF(AND((I18+0)&gt;0,(I18+0)&lt;12),K18+CR18/12,"---"))</f>
        <v>2017</v>
      </c>
      <c r="CK18" s="524">
        <f t="shared" ref="CK18:CK29" si="30">IF(AND(CI18&gt;3,CI18&lt;13),CI18-3,IF(CI18&lt;4,CI18-3+12))</f>
        <v>12</v>
      </c>
      <c r="CL18" s="525">
        <f t="shared" ref="CL18:CL29" si="31">IF(CK18&lt;CI18,CJ18,IF(CK18&gt;CI18,CJ18-1))</f>
        <v>2016</v>
      </c>
      <c r="CM18" s="567">
        <f t="shared" ref="CM18:CM29" si="32">IF(CI18&gt;6,CI18-6,IF(CI18=6,12,IF(CI18&lt;6,CI18+6)))</f>
        <v>9</v>
      </c>
      <c r="CN18" s="567">
        <f t="shared" ref="CN18:CN29" si="33">IF(CI18&gt;6,CJ18,IF(CI18&lt;7,CJ18-1))</f>
        <v>2016</v>
      </c>
      <c r="CO18" s="567" t="str">
        <f t="shared" ref="CO18:CO29" si="34">IF(AND(CH18="Hưu",AN18=3),36+AP18-(12*(CN18-AK18)+(CM18-AI18)),IF(AND(CH18="Hưu",AN18=2),24+AP18-(12*(CN18-AK18)+(CM18-AI18)),IF(AND(CH18="Hưu",AN18=1),12+AP18-(12*(CN18-AK18)+(CM18-AI18)),"- - -")))</f>
        <v>- - -</v>
      </c>
      <c r="CP18" s="567" t="str">
        <f t="shared" ref="CP18:CP29" si="35">IF(CQ18&gt;0,"K.Dài",". .")</f>
        <v>K.Dài</v>
      </c>
      <c r="CQ18" s="530">
        <v>7</v>
      </c>
      <c r="CR18" s="530">
        <f t="shared" ref="CR18:CR29" si="36">IF(F18="Nam",(60+CQ18)*12,IF(F18="Nữ",(55+CQ18)*12,))</f>
        <v>804</v>
      </c>
      <c r="CS18" s="567">
        <f t="shared" ref="CS18:CS29" si="37">12*($CH$4-K18)+(12-I18)</f>
        <v>-23390</v>
      </c>
      <c r="CT18" s="530">
        <f t="shared" ref="CT18:CT29" si="38">$CX$4-K18</f>
        <v>-1950</v>
      </c>
      <c r="CU18" s="524" t="str">
        <f t="shared" ref="CU18:CU29" si="39">IF(AND(CT18&lt;35,F18="Nam"),"Nam dưới 35",IF(AND(CT18&lt;30,F18="Nữ"),"Nữ dưới 30",IF(AND(CT18&gt;34,CT18&lt;46,F18="Nam"),"Nam từ 35 - 45",IF(AND(CT18&gt;29,CT18&lt;41,F18="Nữ"),"Nữ từ 30 - 40",IF(AND(CT18&gt;45,CT18&lt;56,F18="Nam"),"Nam trên 45 - 55",IF(AND(CT18&gt;40,CT18&lt;51,F18="Nữ"),"Nữ trên 40 - 50",IF(AND(CT18&gt;55,F18="Nam"),"Nam trên 55","Nữ trên 50")))))))</f>
        <v>Nam dưới 35</v>
      </c>
      <c r="CV18" s="524"/>
      <c r="CW18" s="524"/>
      <c r="CX18" s="524" t="str">
        <f t="shared" ref="CX18:CX29" si="40">IF(CT18&lt;31,"Đến 30",IF(AND(CT18&gt;30,CT18&lt;46),"31 - 45",IF(AND(CT18&gt;45,CT18&lt;70),"Trên 45")))</f>
        <v>Đến 30</v>
      </c>
      <c r="CY18" s="524" t="str">
        <f t="shared" ref="CY18:CY29" si="41">IF(CZ18&gt;0,"TD","--")</f>
        <v>--</v>
      </c>
      <c r="CZ18" s="524"/>
      <c r="DA18" s="524"/>
      <c r="DB18" s="524"/>
      <c r="DC18" s="524"/>
      <c r="DD18" s="524" t="s">
        <v>164</v>
      </c>
      <c r="DE18" s="524"/>
      <c r="DF18" s="524"/>
      <c r="DG18" s="524"/>
      <c r="DH18" s="524"/>
      <c r="DI18" s="524" t="s">
        <v>163</v>
      </c>
      <c r="DJ18" s="524" t="s">
        <v>8</v>
      </c>
      <c r="DK18" s="524" t="s">
        <v>9</v>
      </c>
      <c r="DL18" s="524" t="s">
        <v>8</v>
      </c>
      <c r="DM18" s="524" t="s">
        <v>9</v>
      </c>
      <c r="DN18" s="524" t="s">
        <v>165</v>
      </c>
      <c r="DO18" s="524">
        <f t="shared" ref="DO18:DO29" si="42">(DJ18+0)-(DQ18+0)</f>
        <v>0</v>
      </c>
      <c r="DP18" s="524" t="str">
        <f t="shared" ref="DP18:DP29" si="43">IF(DO18&gt;0,"Sửa","- - -")</f>
        <v>- - -</v>
      </c>
      <c r="DQ18" s="524" t="s">
        <v>8</v>
      </c>
      <c r="DR18" s="524" t="s">
        <v>9</v>
      </c>
      <c r="DS18" s="524" t="s">
        <v>8</v>
      </c>
      <c r="DT18" s="524" t="s">
        <v>9</v>
      </c>
      <c r="DU18" s="524" t="s">
        <v>165</v>
      </c>
      <c r="DV18" s="524"/>
      <c r="DW18" s="524" t="str">
        <f t="shared" ref="DW18:DW29" si="44">IF(AND(AS18&gt;0.34,AC18=1,OR(AR18=6.2,AR18=5.75)),((AR18-DV18)-2*0.34),IF(AND(AS18&gt;0.33,AC18=1,OR(AR18=4.4,AR18=4)),((AR18-DV18)-2*0.33),"- - -"))</f>
        <v>- - -</v>
      </c>
      <c r="DX18" s="524" t="str">
        <f t="shared" ref="DX18:DX29" si="45">IF(CH18="Hưu",12*(CN18-AK18)+(CM18-AI18),"---")</f>
        <v>---</v>
      </c>
      <c r="DY18" s="524"/>
      <c r="DZ18" s="524"/>
      <c r="EA18" s="524"/>
      <c r="EB18" s="524"/>
      <c r="EC18" s="524"/>
      <c r="ED18" s="524"/>
      <c r="EE18" s="524"/>
      <c r="EF18" s="524"/>
      <c r="EG18" s="524"/>
      <c r="EH18" s="524"/>
      <c r="EI18" s="524"/>
      <c r="EJ18" s="524"/>
      <c r="EK18" s="524"/>
      <c r="EL18" s="524"/>
      <c r="EM18" s="524"/>
      <c r="EN18" s="524"/>
      <c r="EO18" s="524"/>
      <c r="EP18" s="317"/>
    </row>
    <row r="19" spans="1:146" s="140" customFormat="1" ht="31.5" customHeight="1" x14ac:dyDescent="0.25">
      <c r="A19" s="137">
        <v>181</v>
      </c>
      <c r="B19" s="262">
        <v>2</v>
      </c>
      <c r="C19" s="137"/>
      <c r="D19" s="505" t="str">
        <f t="shared" si="0"/>
        <v>Bà</v>
      </c>
      <c r="E19" s="304" t="s">
        <v>166</v>
      </c>
      <c r="F19" s="265" t="s">
        <v>27</v>
      </c>
      <c r="G19" s="265" t="s">
        <v>104</v>
      </c>
      <c r="H19" s="265" t="s">
        <v>9</v>
      </c>
      <c r="I19" s="265" t="s">
        <v>78</v>
      </c>
      <c r="J19" s="137" t="s">
        <v>9</v>
      </c>
      <c r="K19" s="137" t="s">
        <v>167</v>
      </c>
      <c r="L19" s="137"/>
      <c r="M19" s="141" t="s">
        <v>127</v>
      </c>
      <c r="N19" s="386" t="str">
        <f>VLOOKUP(M19,'[1]- DLiêu Gốc -'!$B$2:$G$121,2,0)</f>
        <v>0,4</v>
      </c>
      <c r="O19" s="404" t="s">
        <v>168</v>
      </c>
      <c r="P19" s="402" t="s">
        <v>169</v>
      </c>
      <c r="Q19" s="157" t="str">
        <f>VLOOKUP(V19,'[1]- DLiêu Gốc -'!$B$2:$G$56,5,0)</f>
        <v>A2</v>
      </c>
      <c r="R19" s="137" t="str">
        <f>VLOOKUP(V19,'[1]- DLiêu Gốc -'!$B$2:$G$56,6,0)</f>
        <v>A2.1</v>
      </c>
      <c r="S19" s="266" t="s">
        <v>28</v>
      </c>
      <c r="T19" s="267" t="str">
        <f t="shared" si="1"/>
        <v>Giảng viên chính (hạng II)</v>
      </c>
      <c r="U19" s="172" t="str">
        <f t="shared" si="2"/>
        <v>V.07.01.02</v>
      </c>
      <c r="V19" s="139" t="s">
        <v>170</v>
      </c>
      <c r="W19" s="263" t="str">
        <f>VLOOKUP(V19,'[1]- DLiêu Gốc -'!$B$1:$G$121,2,0)</f>
        <v>V.07.01.02</v>
      </c>
      <c r="X19" s="263" t="str">
        <f t="shared" si="3"/>
        <v>Lương</v>
      </c>
      <c r="Y19" s="263">
        <v>1</v>
      </c>
      <c r="Z19" s="263" t="str">
        <f t="shared" si="4"/>
        <v>/</v>
      </c>
      <c r="AA19" s="263">
        <f t="shared" si="5"/>
        <v>8</v>
      </c>
      <c r="AB19" s="263">
        <f t="shared" si="6"/>
        <v>4.4000000000000004</v>
      </c>
      <c r="AC19" s="263">
        <f t="shared" si="7"/>
        <v>2</v>
      </c>
      <c r="AD19" s="263" t="str">
        <f t="shared" si="8"/>
        <v>/</v>
      </c>
      <c r="AE19" s="263">
        <f t="shared" si="9"/>
        <v>8</v>
      </c>
      <c r="AF19" s="263">
        <f t="shared" si="10"/>
        <v>4.74</v>
      </c>
      <c r="AG19" s="263" t="s">
        <v>8</v>
      </c>
      <c r="AH19" s="263" t="s">
        <v>9</v>
      </c>
      <c r="AI19" s="263" t="s">
        <v>10</v>
      </c>
      <c r="AJ19" s="263" t="s">
        <v>9</v>
      </c>
      <c r="AK19" s="145">
        <v>2015</v>
      </c>
      <c r="AL19" s="139"/>
      <c r="AM19" s="263">
        <v>7</v>
      </c>
      <c r="AN19" s="263">
        <f t="shared" si="11"/>
        <v>3</v>
      </c>
      <c r="AO19" s="172">
        <f t="shared" si="12"/>
        <v>-24187</v>
      </c>
      <c r="AP19" s="172"/>
      <c r="AQ19" s="263"/>
      <c r="AR19" s="263">
        <f>VLOOKUP(V19,'[1]- DLiêu Gốc -'!$B$1:$E$56,3,0)</f>
        <v>4.4000000000000004</v>
      </c>
      <c r="AS19" s="140">
        <f>VLOOKUP(V19,'[1]- DLiêu Gốc -'!$B$1:$E$56,4,0)</f>
        <v>0.34</v>
      </c>
      <c r="AT19" s="263"/>
      <c r="AU19" s="268" t="str">
        <f t="shared" si="13"/>
        <v>PCTN</v>
      </c>
      <c r="AV19" s="552">
        <v>13</v>
      </c>
      <c r="AW19" s="332" t="s">
        <v>31</v>
      </c>
      <c r="AX19" s="553">
        <f t="shared" si="14"/>
        <v>14</v>
      </c>
      <c r="AY19" s="269" t="s">
        <v>31</v>
      </c>
      <c r="AZ19" s="403">
        <v>8</v>
      </c>
      <c r="BA19" s="269" t="s">
        <v>9</v>
      </c>
      <c r="BB19" s="387">
        <v>2016</v>
      </c>
      <c r="BC19" s="245"/>
      <c r="BD19" s="172"/>
      <c r="BE19" s="245"/>
      <c r="BF19" s="172">
        <v>8</v>
      </c>
      <c r="BG19" s="138">
        <f t="shared" si="15"/>
        <v>-24200</v>
      </c>
      <c r="BH19" s="245" t="str">
        <f t="shared" si="16"/>
        <v>- - -</v>
      </c>
      <c r="BI19" s="137" t="str">
        <f t="shared" si="17"/>
        <v>VC</v>
      </c>
      <c r="BJ19" s="525"/>
      <c r="BK19" s="525"/>
      <c r="BL19" s="526" t="s">
        <v>79</v>
      </c>
      <c r="BM19" s="567" t="str">
        <f t="shared" si="18"/>
        <v>Chánh Văn phòng Học viện, Trưởng Ban Tổ chức - Cán bộ, Trưởng Khoa Lý luận cơ sở</v>
      </c>
      <c r="BN19" s="530" t="str">
        <f t="shared" si="19"/>
        <v>A</v>
      </c>
      <c r="BO19" s="567" t="str">
        <f t="shared" si="20"/>
        <v>=&gt; s</v>
      </c>
      <c r="BP19" s="525">
        <f t="shared" si="21"/>
        <v>24211</v>
      </c>
      <c r="BQ19" s="567" t="str">
        <f t="shared" si="22"/>
        <v>---</v>
      </c>
      <c r="BR19" s="536"/>
      <c r="BS19" s="536"/>
      <c r="BT19" s="541"/>
      <c r="BU19" s="524"/>
      <c r="BV19" s="524" t="str">
        <f t="shared" si="23"/>
        <v>- - -</v>
      </c>
      <c r="BW19" s="524" t="str">
        <f t="shared" si="24"/>
        <v>NN</v>
      </c>
      <c r="BX19" s="524">
        <v>7</v>
      </c>
      <c r="BY19" s="524">
        <v>2012</v>
      </c>
      <c r="BZ19" s="524"/>
      <c r="CA19" s="536"/>
      <c r="CB19" s="567" t="str">
        <f t="shared" si="25"/>
        <v>- - -</v>
      </c>
      <c r="CC19" s="567"/>
      <c r="CD19" s="523"/>
      <c r="CE19" s="523"/>
      <c r="CF19" s="524"/>
      <c r="CG19" s="567" t="str">
        <f t="shared" si="26"/>
        <v>---</v>
      </c>
      <c r="CH19" s="567" t="str">
        <f t="shared" si="27"/>
        <v>/-/ /-/</v>
      </c>
      <c r="CI19" s="567">
        <f t="shared" si="28"/>
        <v>10</v>
      </c>
      <c r="CJ19" s="524">
        <f t="shared" si="29"/>
        <v>2028</v>
      </c>
      <c r="CK19" s="524">
        <f t="shared" si="30"/>
        <v>7</v>
      </c>
      <c r="CL19" s="525">
        <f t="shared" si="31"/>
        <v>2028</v>
      </c>
      <c r="CM19" s="567">
        <f t="shared" si="32"/>
        <v>4</v>
      </c>
      <c r="CN19" s="567">
        <f t="shared" si="33"/>
        <v>2028</v>
      </c>
      <c r="CO19" s="567" t="str">
        <f t="shared" si="34"/>
        <v>- - -</v>
      </c>
      <c r="CP19" s="567" t="str">
        <f t="shared" si="35"/>
        <v>. .</v>
      </c>
      <c r="CQ19" s="530"/>
      <c r="CR19" s="530">
        <f t="shared" si="36"/>
        <v>660</v>
      </c>
      <c r="CS19" s="567">
        <f t="shared" si="37"/>
        <v>-23673</v>
      </c>
      <c r="CT19" s="530">
        <f t="shared" si="38"/>
        <v>-1973</v>
      </c>
      <c r="CU19" s="524" t="str">
        <f t="shared" si="39"/>
        <v>Nữ dưới 30</v>
      </c>
      <c r="CV19" s="524"/>
      <c r="CW19" s="524"/>
      <c r="CX19" s="524" t="str">
        <f t="shared" si="40"/>
        <v>Đến 30</v>
      </c>
      <c r="CY19" s="524" t="str">
        <f t="shared" si="41"/>
        <v>--</v>
      </c>
      <c r="CZ19" s="524"/>
      <c r="DA19" s="524"/>
      <c r="DB19" s="524"/>
      <c r="DC19" s="524"/>
      <c r="DD19" s="524"/>
      <c r="DE19" s="524"/>
      <c r="DF19" s="524"/>
      <c r="DG19" s="524"/>
      <c r="DH19" s="524"/>
      <c r="DI19" s="524" t="s">
        <v>168</v>
      </c>
      <c r="DJ19" s="524" t="s">
        <v>8</v>
      </c>
      <c r="DK19" s="524" t="s">
        <v>9</v>
      </c>
      <c r="DL19" s="524" t="s">
        <v>10</v>
      </c>
      <c r="DM19" s="524" t="s">
        <v>9</v>
      </c>
      <c r="DN19" s="524">
        <v>2012</v>
      </c>
      <c r="DO19" s="524">
        <f t="shared" si="42"/>
        <v>0</v>
      </c>
      <c r="DP19" s="524" t="str">
        <f t="shared" si="43"/>
        <v>- - -</v>
      </c>
      <c r="DQ19" s="524" t="s">
        <v>8</v>
      </c>
      <c r="DR19" s="524" t="s">
        <v>9</v>
      </c>
      <c r="DS19" s="524" t="s">
        <v>10</v>
      </c>
      <c r="DT19" s="524" t="s">
        <v>9</v>
      </c>
      <c r="DU19" s="524">
        <v>2012</v>
      </c>
      <c r="DV19" s="524">
        <v>3.66</v>
      </c>
      <c r="DW19" s="524" t="str">
        <f t="shared" si="44"/>
        <v>- - -</v>
      </c>
      <c r="DX19" s="524" t="str">
        <f t="shared" si="45"/>
        <v>---</v>
      </c>
      <c r="DY19" s="524"/>
      <c r="DZ19" s="524"/>
      <c r="EA19" s="524"/>
      <c r="EB19" s="524"/>
      <c r="EC19" s="524"/>
      <c r="ED19" s="524"/>
      <c r="EE19" s="524"/>
      <c r="EF19" s="524"/>
      <c r="EG19" s="524"/>
      <c r="EH19" s="524"/>
      <c r="EI19" s="524"/>
      <c r="EJ19" s="524"/>
      <c r="EK19" s="524"/>
      <c r="EL19" s="524"/>
      <c r="EM19" s="524"/>
      <c r="EN19" s="524"/>
      <c r="EO19" s="524"/>
      <c r="EP19" s="317"/>
    </row>
    <row r="20" spans="1:146" s="140" customFormat="1" ht="31.5" customHeight="1" x14ac:dyDescent="0.25">
      <c r="A20" s="137">
        <v>224</v>
      </c>
      <c r="B20" s="262">
        <v>3</v>
      </c>
      <c r="C20" s="137"/>
      <c r="D20" s="505" t="str">
        <f t="shared" si="0"/>
        <v>Ông</v>
      </c>
      <c r="E20" s="304" t="s">
        <v>171</v>
      </c>
      <c r="F20" s="265" t="s">
        <v>32</v>
      </c>
      <c r="G20" s="265" t="s">
        <v>107</v>
      </c>
      <c r="H20" s="265" t="s">
        <v>9</v>
      </c>
      <c r="I20" s="265" t="s">
        <v>78</v>
      </c>
      <c r="J20" s="137" t="s">
        <v>9</v>
      </c>
      <c r="K20" s="137" t="s">
        <v>172</v>
      </c>
      <c r="L20" s="137" t="str">
        <f>IF(AND((N20+0)&gt;0.3,(N20+0)&lt;1.5),"CVụ","- -")</f>
        <v>CVụ</v>
      </c>
      <c r="M20" s="141" t="s">
        <v>173</v>
      </c>
      <c r="N20" s="386" t="str">
        <f>VLOOKUP(M20,'[1]- DLiêu Gốc -'!$B$2:$G$121,2,0)</f>
        <v>1,0</v>
      </c>
      <c r="O20" s="404"/>
      <c r="P20" s="402" t="s">
        <v>123</v>
      </c>
      <c r="Q20" s="157" t="str">
        <f>VLOOKUP(V20,'[1]- DLiêu Gốc -'!$B$2:$G$56,5,0)</f>
        <v>A3</v>
      </c>
      <c r="R20" s="137" t="str">
        <f>VLOOKUP(V20,'[1]- DLiêu Gốc -'!$B$2:$G$56,6,0)</f>
        <v>A3.1</v>
      </c>
      <c r="S20" s="266" t="s">
        <v>28</v>
      </c>
      <c r="T20" s="267" t="str">
        <f t="shared" si="1"/>
        <v>Giảng viên cao cấp (hạng I)</v>
      </c>
      <c r="U20" s="172" t="str">
        <f t="shared" si="2"/>
        <v>V.07.01.01</v>
      </c>
      <c r="V20" s="139" t="s">
        <v>74</v>
      </c>
      <c r="W20" s="263" t="str">
        <f>VLOOKUP(V20,'[1]- DLiêu Gốc -'!$B$1:$G$121,2,0)</f>
        <v>V.07.01.01</v>
      </c>
      <c r="X20" s="263" t="str">
        <f t="shared" si="3"/>
        <v>Lương</v>
      </c>
      <c r="Y20" s="263">
        <v>1</v>
      </c>
      <c r="Z20" s="263" t="str">
        <f t="shared" si="4"/>
        <v>/</v>
      </c>
      <c r="AA20" s="263">
        <f t="shared" si="5"/>
        <v>6</v>
      </c>
      <c r="AB20" s="263">
        <f t="shared" si="6"/>
        <v>6.2</v>
      </c>
      <c r="AC20" s="263">
        <f t="shared" si="7"/>
        <v>2</v>
      </c>
      <c r="AD20" s="263" t="str">
        <f t="shared" si="8"/>
        <v>/</v>
      </c>
      <c r="AE20" s="263">
        <f t="shared" si="9"/>
        <v>6</v>
      </c>
      <c r="AF20" s="263">
        <f t="shared" si="10"/>
        <v>6.5600000000000005</v>
      </c>
      <c r="AG20" s="263" t="s">
        <v>8</v>
      </c>
      <c r="AH20" s="263" t="s">
        <v>9</v>
      </c>
      <c r="AI20" s="263">
        <v>3</v>
      </c>
      <c r="AJ20" s="263" t="s">
        <v>9</v>
      </c>
      <c r="AK20" s="145">
        <v>2014</v>
      </c>
      <c r="AL20" s="139"/>
      <c r="AM20" s="263"/>
      <c r="AN20" s="263">
        <f t="shared" si="11"/>
        <v>3</v>
      </c>
      <c r="AO20" s="172">
        <f t="shared" si="12"/>
        <v>-24171</v>
      </c>
      <c r="AP20" s="172"/>
      <c r="AQ20" s="263"/>
      <c r="AR20" s="263">
        <f>VLOOKUP(V20,'[1]- DLiêu Gốc -'!$B$1:$E$56,3,0)</f>
        <v>6.2</v>
      </c>
      <c r="AS20" s="140">
        <f>VLOOKUP(V20,'[1]- DLiêu Gốc -'!$B$1:$E$56,4,0)</f>
        <v>0.36</v>
      </c>
      <c r="AT20" s="263"/>
      <c r="AU20" s="268" t="str">
        <f t="shared" si="13"/>
        <v>PCTN</v>
      </c>
      <c r="AV20" s="552">
        <v>17</v>
      </c>
      <c r="AW20" s="332" t="s">
        <v>31</v>
      </c>
      <c r="AX20" s="553">
        <f t="shared" si="14"/>
        <v>18</v>
      </c>
      <c r="AY20" s="269" t="s">
        <v>31</v>
      </c>
      <c r="AZ20" s="403">
        <v>8</v>
      </c>
      <c r="BA20" s="269" t="s">
        <v>9</v>
      </c>
      <c r="BB20" s="387">
        <v>2016</v>
      </c>
      <c r="BC20" s="245"/>
      <c r="BD20" s="172"/>
      <c r="BE20" s="245"/>
      <c r="BF20" s="172">
        <v>8</v>
      </c>
      <c r="BG20" s="138">
        <f t="shared" si="15"/>
        <v>-24200</v>
      </c>
      <c r="BH20" s="245" t="str">
        <f t="shared" si="16"/>
        <v>- - -</v>
      </c>
      <c r="BI20" s="137" t="str">
        <f t="shared" si="17"/>
        <v>VC</v>
      </c>
      <c r="BJ20" s="525"/>
      <c r="BK20" s="525"/>
      <c r="BL20" s="526" t="s">
        <v>79</v>
      </c>
      <c r="BM20" s="567" t="str">
        <f t="shared" si="18"/>
        <v>Chánh Văn phòng Học viện, Trưởng Ban Tổ chức - Cán bộ, Trưởng Khoa Quản lý nhà nước về Đô thị và Nông thôn</v>
      </c>
      <c r="BN20" s="530" t="str">
        <f t="shared" si="19"/>
        <v>A</v>
      </c>
      <c r="BO20" s="567" t="str">
        <f t="shared" si="20"/>
        <v>=&gt; s</v>
      </c>
      <c r="BP20" s="525">
        <f t="shared" si="21"/>
        <v>24195</v>
      </c>
      <c r="BQ20" s="567" t="str">
        <f t="shared" si="22"/>
        <v>S</v>
      </c>
      <c r="BR20" s="536">
        <v>2013</v>
      </c>
      <c r="BS20" s="536" t="s">
        <v>97</v>
      </c>
      <c r="BT20" s="541">
        <v>2011</v>
      </c>
      <c r="BU20" s="524" t="s">
        <v>114</v>
      </c>
      <c r="BV20" s="524" t="str">
        <f t="shared" si="23"/>
        <v>Cùg Ng</v>
      </c>
      <c r="BW20" s="524" t="str">
        <f t="shared" si="24"/>
        <v>NN</v>
      </c>
      <c r="BX20" s="524">
        <v>5</v>
      </c>
      <c r="BY20" s="524">
        <v>2012</v>
      </c>
      <c r="BZ20" s="524"/>
      <c r="CA20" s="536"/>
      <c r="CB20" s="567" t="str">
        <f t="shared" si="25"/>
        <v>- - -</v>
      </c>
      <c r="CC20" s="567"/>
      <c r="CD20" s="523"/>
      <c r="CE20" s="523"/>
      <c r="CF20" s="524"/>
      <c r="CG20" s="567" t="str">
        <f t="shared" si="26"/>
        <v>---</v>
      </c>
      <c r="CH20" s="567" t="str">
        <f t="shared" si="27"/>
        <v>/-/ /-/</v>
      </c>
      <c r="CI20" s="567">
        <f t="shared" si="28"/>
        <v>10</v>
      </c>
      <c r="CJ20" s="524">
        <f t="shared" si="29"/>
        <v>2017</v>
      </c>
      <c r="CK20" s="524">
        <f t="shared" si="30"/>
        <v>7</v>
      </c>
      <c r="CL20" s="525">
        <f t="shared" si="31"/>
        <v>2017</v>
      </c>
      <c r="CM20" s="567">
        <f t="shared" si="32"/>
        <v>4</v>
      </c>
      <c r="CN20" s="567">
        <f t="shared" si="33"/>
        <v>2017</v>
      </c>
      <c r="CO20" s="567" t="str">
        <f t="shared" si="34"/>
        <v>- - -</v>
      </c>
      <c r="CP20" s="567" t="str">
        <f t="shared" si="35"/>
        <v>. .</v>
      </c>
      <c r="CQ20" s="530"/>
      <c r="CR20" s="530">
        <f t="shared" si="36"/>
        <v>720</v>
      </c>
      <c r="CS20" s="567">
        <f t="shared" si="37"/>
        <v>-23481</v>
      </c>
      <c r="CT20" s="530">
        <f t="shared" si="38"/>
        <v>-1957</v>
      </c>
      <c r="CU20" s="524" t="str">
        <f t="shared" si="39"/>
        <v>Nam dưới 35</v>
      </c>
      <c r="CV20" s="524"/>
      <c r="CW20" s="524"/>
      <c r="CX20" s="524" t="str">
        <f t="shared" si="40"/>
        <v>Đến 30</v>
      </c>
      <c r="CY20" s="524" t="str">
        <f t="shared" si="41"/>
        <v>--</v>
      </c>
      <c r="CZ20" s="524"/>
      <c r="DA20" s="524"/>
      <c r="DB20" s="524"/>
      <c r="DC20" s="524"/>
      <c r="DD20" s="524"/>
      <c r="DE20" s="524"/>
      <c r="DF20" s="524"/>
      <c r="DG20" s="524"/>
      <c r="DH20" s="524"/>
      <c r="DI20" s="524"/>
      <c r="DJ20" s="524" t="s">
        <v>8</v>
      </c>
      <c r="DK20" s="524" t="s">
        <v>9</v>
      </c>
      <c r="DL20" s="524">
        <v>3</v>
      </c>
      <c r="DM20" s="524" t="s">
        <v>9</v>
      </c>
      <c r="DN20" s="524">
        <v>2014</v>
      </c>
      <c r="DO20" s="524">
        <f t="shared" si="42"/>
        <v>0</v>
      </c>
      <c r="DP20" s="524" t="str">
        <f t="shared" si="43"/>
        <v>- - -</v>
      </c>
      <c r="DQ20" s="524" t="s">
        <v>8</v>
      </c>
      <c r="DR20" s="524" t="s">
        <v>9</v>
      </c>
      <c r="DS20" s="524">
        <v>3</v>
      </c>
      <c r="DT20" s="524" t="s">
        <v>9</v>
      </c>
      <c r="DU20" s="524">
        <v>2014</v>
      </c>
      <c r="DV20" s="524">
        <v>6.1</v>
      </c>
      <c r="DW20" s="524" t="str">
        <f t="shared" si="44"/>
        <v>- - -</v>
      </c>
      <c r="DX20" s="524" t="str">
        <f t="shared" si="45"/>
        <v>---</v>
      </c>
      <c r="DY20" s="524"/>
      <c r="DZ20" s="524"/>
      <c r="EA20" s="524"/>
      <c r="EB20" s="524"/>
      <c r="EC20" s="524"/>
      <c r="ED20" s="524"/>
      <c r="EE20" s="524"/>
      <c r="EF20" s="524"/>
      <c r="EG20" s="524"/>
      <c r="EH20" s="524"/>
      <c r="EI20" s="524"/>
      <c r="EJ20" s="524"/>
      <c r="EK20" s="524"/>
      <c r="EL20" s="524"/>
      <c r="EM20" s="524"/>
      <c r="EN20" s="524"/>
      <c r="EO20" s="524"/>
      <c r="EP20" s="317"/>
    </row>
    <row r="21" spans="1:146" s="140" customFormat="1" ht="31.5" customHeight="1" x14ac:dyDescent="0.25">
      <c r="A21" s="137">
        <v>301</v>
      </c>
      <c r="B21" s="262">
        <v>4</v>
      </c>
      <c r="C21" s="137"/>
      <c r="D21" s="505" t="str">
        <f t="shared" si="0"/>
        <v>Ông</v>
      </c>
      <c r="E21" s="304" t="s">
        <v>125</v>
      </c>
      <c r="F21" s="265" t="s">
        <v>32</v>
      </c>
      <c r="G21" s="265" t="s">
        <v>35</v>
      </c>
      <c r="H21" s="265" t="s">
        <v>9</v>
      </c>
      <c r="I21" s="265" t="s">
        <v>33</v>
      </c>
      <c r="J21" s="137" t="s">
        <v>9</v>
      </c>
      <c r="K21" s="137" t="s">
        <v>126</v>
      </c>
      <c r="L21" s="137" t="str">
        <f>IF(AND((N21+0)&gt;0.3,(N21+0)&lt;1.5),"CVụ","- -")</f>
        <v>CVụ</v>
      </c>
      <c r="M21" s="141" t="s">
        <v>127</v>
      </c>
      <c r="N21" s="386" t="str">
        <f>VLOOKUP(M21,'[1]- DLiêu Gốc -'!$B$2:$G$121,2,0)</f>
        <v>0,4</v>
      </c>
      <c r="O21" s="404" t="s">
        <v>111</v>
      </c>
      <c r="P21" s="402" t="s">
        <v>90</v>
      </c>
      <c r="Q21" s="157" t="str">
        <f>VLOOKUP(V21,'[1]- DLiêu Gốc -'!$B$2:$G$56,5,0)</f>
        <v>A1</v>
      </c>
      <c r="R21" s="137" t="str">
        <f>VLOOKUP(V21,'[1]- DLiêu Gốc -'!$B$2:$G$56,6,0)</f>
        <v>- - -</v>
      </c>
      <c r="S21" s="266" t="s">
        <v>28</v>
      </c>
      <c r="T21" s="267" t="str">
        <f t="shared" si="1"/>
        <v>Giảng viên (hạng III)</v>
      </c>
      <c r="U21" s="172" t="str">
        <f t="shared" si="2"/>
        <v>V.07.01.03</v>
      </c>
      <c r="V21" s="139" t="s">
        <v>29</v>
      </c>
      <c r="W21" s="263" t="str">
        <f>VLOOKUP(V21,'[1]- DLiêu Gốc -'!$B$1:$G$121,2,0)</f>
        <v>V.07.01.03</v>
      </c>
      <c r="X21" s="263" t="str">
        <f t="shared" si="3"/>
        <v>Lương</v>
      </c>
      <c r="Y21" s="263">
        <v>6</v>
      </c>
      <c r="Z21" s="263" t="str">
        <f t="shared" si="4"/>
        <v>/</v>
      </c>
      <c r="AA21" s="263">
        <f t="shared" si="5"/>
        <v>9</v>
      </c>
      <c r="AB21" s="263">
        <f t="shared" si="6"/>
        <v>3.99</v>
      </c>
      <c r="AC21" s="263">
        <f t="shared" si="7"/>
        <v>7</v>
      </c>
      <c r="AD21" s="263" t="str">
        <f t="shared" si="8"/>
        <v>/</v>
      </c>
      <c r="AE21" s="263">
        <f t="shared" si="9"/>
        <v>9</v>
      </c>
      <c r="AF21" s="263">
        <f t="shared" si="10"/>
        <v>4.32</v>
      </c>
      <c r="AG21" s="263" t="s">
        <v>8</v>
      </c>
      <c r="AH21" s="263" t="s">
        <v>9</v>
      </c>
      <c r="AI21" s="263" t="s">
        <v>25</v>
      </c>
      <c r="AJ21" s="263" t="s">
        <v>9</v>
      </c>
      <c r="AK21" s="145">
        <v>2016</v>
      </c>
      <c r="AL21" s="139"/>
      <c r="AM21" s="263">
        <v>8</v>
      </c>
      <c r="AN21" s="263">
        <f t="shared" si="11"/>
        <v>3</v>
      </c>
      <c r="AO21" s="172">
        <f t="shared" si="12"/>
        <v>-24200</v>
      </c>
      <c r="AP21" s="172"/>
      <c r="AQ21" s="263"/>
      <c r="AR21" s="263">
        <f>VLOOKUP(V21,'[1]- DLiêu Gốc -'!$B$1:$E$56,3,0)</f>
        <v>2.34</v>
      </c>
      <c r="AS21" s="140">
        <f>VLOOKUP(V21,'[1]- DLiêu Gốc -'!$B$1:$E$56,4,0)</f>
        <v>0.33</v>
      </c>
      <c r="AT21" s="263"/>
      <c r="AU21" s="268" t="str">
        <f t="shared" si="13"/>
        <v>PCTN</v>
      </c>
      <c r="AV21" s="552">
        <v>12</v>
      </c>
      <c r="AW21" s="332" t="s">
        <v>31</v>
      </c>
      <c r="AX21" s="553">
        <f t="shared" si="14"/>
        <v>13</v>
      </c>
      <c r="AY21" s="269" t="s">
        <v>31</v>
      </c>
      <c r="AZ21" s="403">
        <v>8</v>
      </c>
      <c r="BA21" s="269" t="s">
        <v>9</v>
      </c>
      <c r="BB21" s="387">
        <v>2016</v>
      </c>
      <c r="BC21" s="245"/>
      <c r="BD21" s="172"/>
      <c r="BE21" s="245"/>
      <c r="BF21" s="172">
        <v>8</v>
      </c>
      <c r="BG21" s="138">
        <f t="shared" si="15"/>
        <v>-24200</v>
      </c>
      <c r="BH21" s="245" t="str">
        <f t="shared" si="16"/>
        <v>- - -</v>
      </c>
      <c r="BI21" s="137" t="str">
        <f t="shared" si="17"/>
        <v>VC</v>
      </c>
      <c r="BJ21" s="525"/>
      <c r="BK21" s="525"/>
      <c r="BL21" s="526" t="s">
        <v>79</v>
      </c>
      <c r="BM21" s="567" t="str">
        <f t="shared" si="18"/>
        <v>Chánh Văn phòng Học viện, Trưởng Ban Tổ chức - Cán bộ, Trưởng Khoa Quản lý Tài chính công</v>
      </c>
      <c r="BN21" s="530" t="str">
        <f t="shared" si="19"/>
        <v>A</v>
      </c>
      <c r="BO21" s="567" t="str">
        <f t="shared" si="20"/>
        <v>=&gt; s</v>
      </c>
      <c r="BP21" s="525">
        <f t="shared" si="21"/>
        <v>24224</v>
      </c>
      <c r="BQ21" s="567" t="str">
        <f t="shared" si="22"/>
        <v>S</v>
      </c>
      <c r="BR21" s="536">
        <v>2010</v>
      </c>
      <c r="BS21" s="536" t="s">
        <v>120</v>
      </c>
      <c r="BT21" s="541"/>
      <c r="BU21" s="524"/>
      <c r="BV21" s="524" t="str">
        <f t="shared" si="23"/>
        <v>Cùg Ng</v>
      </c>
      <c r="BW21" s="524" t="str">
        <f t="shared" si="24"/>
        <v>- - -</v>
      </c>
      <c r="BX21" s="524"/>
      <c r="BY21" s="524"/>
      <c r="BZ21" s="524"/>
      <c r="CA21" s="536"/>
      <c r="CB21" s="567" t="str">
        <f t="shared" si="25"/>
        <v>- - -</v>
      </c>
      <c r="CC21" s="567"/>
      <c r="CD21" s="523"/>
      <c r="CE21" s="523"/>
      <c r="CF21" s="524"/>
      <c r="CG21" s="567" t="str">
        <f t="shared" si="26"/>
        <v>---</v>
      </c>
      <c r="CH21" s="567" t="str">
        <f t="shared" si="27"/>
        <v>/-/ /-/</v>
      </c>
      <c r="CI21" s="567">
        <f t="shared" si="28"/>
        <v>12</v>
      </c>
      <c r="CJ21" s="524">
        <f t="shared" si="29"/>
        <v>2034</v>
      </c>
      <c r="CK21" s="524">
        <f t="shared" si="30"/>
        <v>9</v>
      </c>
      <c r="CL21" s="525">
        <f t="shared" si="31"/>
        <v>2034</v>
      </c>
      <c r="CM21" s="567">
        <f t="shared" si="32"/>
        <v>6</v>
      </c>
      <c r="CN21" s="567">
        <f t="shared" si="33"/>
        <v>2034</v>
      </c>
      <c r="CO21" s="567" t="str">
        <f t="shared" si="34"/>
        <v>- - -</v>
      </c>
      <c r="CP21" s="567" t="str">
        <f t="shared" si="35"/>
        <v>. .</v>
      </c>
      <c r="CQ21" s="530"/>
      <c r="CR21" s="530">
        <f t="shared" si="36"/>
        <v>720</v>
      </c>
      <c r="CS21" s="567">
        <f t="shared" si="37"/>
        <v>-23687</v>
      </c>
      <c r="CT21" s="530">
        <f t="shared" si="38"/>
        <v>-1974</v>
      </c>
      <c r="CU21" s="524" t="str">
        <f t="shared" si="39"/>
        <v>Nam dưới 35</v>
      </c>
      <c r="CV21" s="524"/>
      <c r="CW21" s="524"/>
      <c r="CX21" s="524" t="str">
        <f t="shared" si="40"/>
        <v>Đến 30</v>
      </c>
      <c r="CY21" s="524" t="str">
        <f t="shared" si="41"/>
        <v>TD</v>
      </c>
      <c r="CZ21" s="524">
        <v>2008</v>
      </c>
      <c r="DA21" s="524"/>
      <c r="DB21" s="524"/>
      <c r="DC21" s="524"/>
      <c r="DD21" s="524"/>
      <c r="DE21" s="524"/>
      <c r="DF21" s="524"/>
      <c r="DG21" s="524"/>
      <c r="DH21" s="524"/>
      <c r="DI21" s="524" t="s">
        <v>111</v>
      </c>
      <c r="DJ21" s="524" t="s">
        <v>8</v>
      </c>
      <c r="DK21" s="524" t="s">
        <v>9</v>
      </c>
      <c r="DL21" s="524" t="s">
        <v>25</v>
      </c>
      <c r="DM21" s="524" t="s">
        <v>9</v>
      </c>
      <c r="DN21" s="524">
        <v>2013</v>
      </c>
      <c r="DO21" s="524">
        <f t="shared" si="42"/>
        <v>0</v>
      </c>
      <c r="DP21" s="524" t="str">
        <f t="shared" si="43"/>
        <v>- - -</v>
      </c>
      <c r="DQ21" s="524" t="s">
        <v>8</v>
      </c>
      <c r="DR21" s="524" t="s">
        <v>9</v>
      </c>
      <c r="DS21" s="524" t="s">
        <v>25</v>
      </c>
      <c r="DT21" s="524" t="s">
        <v>9</v>
      </c>
      <c r="DU21" s="524">
        <v>2013</v>
      </c>
      <c r="DV21" s="524"/>
      <c r="DW21" s="524" t="str">
        <f t="shared" si="44"/>
        <v>- - -</v>
      </c>
      <c r="DX21" s="524" t="str">
        <f t="shared" si="45"/>
        <v>---</v>
      </c>
      <c r="DY21" s="524"/>
      <c r="DZ21" s="524"/>
      <c r="EA21" s="524"/>
      <c r="EB21" s="524"/>
      <c r="EC21" s="524"/>
      <c r="ED21" s="524"/>
      <c r="EE21" s="524"/>
      <c r="EF21" s="524"/>
      <c r="EG21" s="524"/>
      <c r="EH21" s="524"/>
      <c r="EI21" s="524"/>
      <c r="EJ21" s="524"/>
      <c r="EK21" s="524"/>
      <c r="EL21" s="524"/>
      <c r="EM21" s="524"/>
      <c r="EN21" s="524"/>
      <c r="EO21" s="524"/>
      <c r="EP21" s="317"/>
    </row>
    <row r="22" spans="1:146" s="140" customFormat="1" ht="31.5" customHeight="1" x14ac:dyDescent="0.25">
      <c r="A22" s="137">
        <v>334</v>
      </c>
      <c r="B22" s="262">
        <v>5</v>
      </c>
      <c r="C22" s="137"/>
      <c r="D22" s="505" t="str">
        <f t="shared" si="0"/>
        <v>Ông</v>
      </c>
      <c r="E22" s="304" t="s">
        <v>174</v>
      </c>
      <c r="F22" s="265" t="s">
        <v>32</v>
      </c>
      <c r="G22" s="265" t="s">
        <v>175</v>
      </c>
      <c r="H22" s="265" t="s">
        <v>9</v>
      </c>
      <c r="I22" s="265" t="s">
        <v>84</v>
      </c>
      <c r="J22" s="137" t="s">
        <v>9</v>
      </c>
      <c r="K22" s="137" t="s">
        <v>172</v>
      </c>
      <c r="L22" s="137" t="str">
        <f>IF(AND((N22+0)&gt;0.3,(N22+0)&lt;1.5),"CVụ","- -")</f>
        <v>CVụ</v>
      </c>
      <c r="M22" s="141" t="s">
        <v>176</v>
      </c>
      <c r="N22" s="386" t="str">
        <f>VLOOKUP(M22,'[1]- DLiêu Gốc -'!$B$2:$G$121,2,0)</f>
        <v>0,8</v>
      </c>
      <c r="O22" s="404"/>
      <c r="P22" s="402" t="s">
        <v>177</v>
      </c>
      <c r="Q22" s="157" t="str">
        <f>VLOOKUP(V22,'[1]- DLiêu Gốc -'!$B$2:$G$56,5,0)</f>
        <v>A3</v>
      </c>
      <c r="R22" s="137" t="str">
        <f>VLOOKUP(V22,'[1]- DLiêu Gốc -'!$B$2:$G$56,6,0)</f>
        <v>A3.1</v>
      </c>
      <c r="S22" s="266" t="s">
        <v>28</v>
      </c>
      <c r="T22" s="267" t="str">
        <f t="shared" si="1"/>
        <v>Giảng viên cao cấp (hạng I)</v>
      </c>
      <c r="U22" s="172" t="str">
        <f t="shared" si="2"/>
        <v>V.07.01.01</v>
      </c>
      <c r="V22" s="139" t="s">
        <v>74</v>
      </c>
      <c r="W22" s="263" t="str">
        <f>VLOOKUP(V22,'[1]- DLiêu Gốc -'!$B$1:$G$121,2,0)</f>
        <v>V.07.01.01</v>
      </c>
      <c r="X22" s="263" t="str">
        <f t="shared" si="3"/>
        <v>Lương</v>
      </c>
      <c r="Y22" s="263">
        <v>2</v>
      </c>
      <c r="Z22" s="263" t="str">
        <f t="shared" si="4"/>
        <v>/</v>
      </c>
      <c r="AA22" s="263">
        <f t="shared" si="5"/>
        <v>6</v>
      </c>
      <c r="AB22" s="263">
        <f t="shared" si="6"/>
        <v>6.5600000000000005</v>
      </c>
      <c r="AC22" s="263">
        <f t="shared" si="7"/>
        <v>3</v>
      </c>
      <c r="AD22" s="263" t="str">
        <f t="shared" si="8"/>
        <v>/</v>
      </c>
      <c r="AE22" s="263">
        <f t="shared" si="9"/>
        <v>6</v>
      </c>
      <c r="AF22" s="263">
        <f t="shared" si="10"/>
        <v>6.9200000000000008</v>
      </c>
      <c r="AG22" s="263" t="s">
        <v>8</v>
      </c>
      <c r="AH22" s="263" t="s">
        <v>9</v>
      </c>
      <c r="AI22" s="263">
        <v>5</v>
      </c>
      <c r="AJ22" s="263" t="s">
        <v>9</v>
      </c>
      <c r="AK22" s="145">
        <v>2016</v>
      </c>
      <c r="AL22" s="139"/>
      <c r="AM22" s="263">
        <v>5</v>
      </c>
      <c r="AN22" s="263">
        <f t="shared" si="11"/>
        <v>3</v>
      </c>
      <c r="AO22" s="172">
        <f t="shared" si="12"/>
        <v>-24197</v>
      </c>
      <c r="AP22" s="172"/>
      <c r="AQ22" s="263"/>
      <c r="AR22" s="263">
        <f>VLOOKUP(V22,'[1]- DLiêu Gốc -'!$B$1:$E$56,3,0)</f>
        <v>6.2</v>
      </c>
      <c r="AS22" s="140">
        <f>VLOOKUP(V22,'[1]- DLiêu Gốc -'!$B$1:$E$56,4,0)</f>
        <v>0.36</v>
      </c>
      <c r="AT22" s="263"/>
      <c r="AU22" s="268" t="str">
        <f t="shared" si="13"/>
        <v>PCTN</v>
      </c>
      <c r="AV22" s="552">
        <v>9</v>
      </c>
      <c r="AW22" s="332" t="s">
        <v>31</v>
      </c>
      <c r="AX22" s="553">
        <f t="shared" si="14"/>
        <v>10</v>
      </c>
      <c r="AY22" s="269" t="s">
        <v>31</v>
      </c>
      <c r="AZ22" s="403" t="s">
        <v>25</v>
      </c>
      <c r="BA22" s="269" t="s">
        <v>9</v>
      </c>
      <c r="BB22" s="387">
        <v>2016</v>
      </c>
      <c r="BC22" s="245"/>
      <c r="BD22" s="172"/>
      <c r="BE22" s="245"/>
      <c r="BF22" s="172">
        <v>8</v>
      </c>
      <c r="BG22" s="138">
        <f t="shared" si="15"/>
        <v>-24200</v>
      </c>
      <c r="BH22" s="245" t="str">
        <f t="shared" si="16"/>
        <v>- - -</v>
      </c>
      <c r="BI22" s="137" t="str">
        <f t="shared" si="17"/>
        <v>VC</v>
      </c>
      <c r="BJ22" s="525"/>
      <c r="BK22" s="525"/>
      <c r="BL22" s="526" t="s">
        <v>79</v>
      </c>
      <c r="BM22" s="567" t="str">
        <f t="shared" si="18"/>
        <v>Chánh Văn phòng Học viện, Trưởng Ban Tổ chức - Cán bộ, Trưởng Khoa Tổ chức và Quản lý nhân sự</v>
      </c>
      <c r="BN22" s="530" t="str">
        <f t="shared" si="19"/>
        <v>A</v>
      </c>
      <c r="BO22" s="567" t="str">
        <f t="shared" si="20"/>
        <v>=&gt; s</v>
      </c>
      <c r="BP22" s="525">
        <f t="shared" si="21"/>
        <v>24221</v>
      </c>
      <c r="BQ22" s="567" t="str">
        <f t="shared" si="22"/>
        <v>S</v>
      </c>
      <c r="BR22" s="536">
        <v>2013</v>
      </c>
      <c r="BS22" s="536" t="s">
        <v>178</v>
      </c>
      <c r="BT22" s="541"/>
      <c r="BU22" s="524"/>
      <c r="BV22" s="524" t="str">
        <f t="shared" si="23"/>
        <v>- - -</v>
      </c>
      <c r="BW22" s="524" t="str">
        <f t="shared" si="24"/>
        <v>NN</v>
      </c>
      <c r="BX22" s="524">
        <v>1</v>
      </c>
      <c r="BY22" s="524" t="s">
        <v>165</v>
      </c>
      <c r="BZ22" s="524"/>
      <c r="CA22" s="536"/>
      <c r="CB22" s="567" t="str">
        <f t="shared" si="25"/>
        <v>- - -</v>
      </c>
      <c r="CC22" s="567"/>
      <c r="CD22" s="523"/>
      <c r="CE22" s="523"/>
      <c r="CF22" s="524"/>
      <c r="CG22" s="567" t="str">
        <f t="shared" si="26"/>
        <v>---</v>
      </c>
      <c r="CH22" s="567" t="str">
        <f t="shared" si="27"/>
        <v>/-/ /-/</v>
      </c>
      <c r="CI22" s="567">
        <f t="shared" si="28"/>
        <v>5</v>
      </c>
      <c r="CJ22" s="524">
        <f t="shared" si="29"/>
        <v>2017</v>
      </c>
      <c r="CK22" s="524">
        <f t="shared" si="30"/>
        <v>2</v>
      </c>
      <c r="CL22" s="525">
        <f t="shared" si="31"/>
        <v>2017</v>
      </c>
      <c r="CM22" s="567">
        <f t="shared" si="32"/>
        <v>11</v>
      </c>
      <c r="CN22" s="567">
        <f t="shared" si="33"/>
        <v>2016</v>
      </c>
      <c r="CO22" s="567" t="str">
        <f t="shared" si="34"/>
        <v>- - -</v>
      </c>
      <c r="CP22" s="567" t="str">
        <f t="shared" si="35"/>
        <v>. .</v>
      </c>
      <c r="CQ22" s="530"/>
      <c r="CR22" s="530">
        <f t="shared" si="36"/>
        <v>720</v>
      </c>
      <c r="CS22" s="567">
        <f t="shared" si="37"/>
        <v>-23476</v>
      </c>
      <c r="CT22" s="530">
        <f t="shared" si="38"/>
        <v>-1957</v>
      </c>
      <c r="CU22" s="524" t="str">
        <f t="shared" si="39"/>
        <v>Nam dưới 35</v>
      </c>
      <c r="CV22" s="524"/>
      <c r="CW22" s="524"/>
      <c r="CX22" s="524" t="str">
        <f t="shared" si="40"/>
        <v>Đến 30</v>
      </c>
      <c r="CY22" s="524" t="str">
        <f t="shared" si="41"/>
        <v>--</v>
      </c>
      <c r="CZ22" s="524"/>
      <c r="DA22" s="524"/>
      <c r="DB22" s="524"/>
      <c r="DC22" s="524"/>
      <c r="DD22" s="524"/>
      <c r="DE22" s="524"/>
      <c r="DF22" s="524"/>
      <c r="DG22" s="524"/>
      <c r="DH22" s="524"/>
      <c r="DI22" s="524"/>
      <c r="DJ22" s="524" t="s">
        <v>8</v>
      </c>
      <c r="DK22" s="524" t="s">
        <v>9</v>
      </c>
      <c r="DL22" s="524">
        <v>5</v>
      </c>
      <c r="DM22" s="524" t="s">
        <v>9</v>
      </c>
      <c r="DN22" s="524">
        <v>2013</v>
      </c>
      <c r="DO22" s="524">
        <f t="shared" si="42"/>
        <v>0</v>
      </c>
      <c r="DP22" s="524" t="str">
        <f t="shared" si="43"/>
        <v>- - -</v>
      </c>
      <c r="DQ22" s="524" t="s">
        <v>8</v>
      </c>
      <c r="DR22" s="524" t="s">
        <v>9</v>
      </c>
      <c r="DS22" s="524">
        <v>5</v>
      </c>
      <c r="DT22" s="524" t="s">
        <v>9</v>
      </c>
      <c r="DU22" s="524">
        <v>2013</v>
      </c>
      <c r="DV22" s="524">
        <v>6.1</v>
      </c>
      <c r="DW22" s="524" t="str">
        <f t="shared" si="44"/>
        <v>- - -</v>
      </c>
      <c r="DX22" s="524" t="str">
        <f t="shared" si="45"/>
        <v>---</v>
      </c>
      <c r="DY22" s="524"/>
      <c r="DZ22" s="524"/>
      <c r="EA22" s="524"/>
      <c r="EB22" s="524"/>
      <c r="EC22" s="524"/>
      <c r="ED22" s="524"/>
      <c r="EE22" s="524"/>
      <c r="EF22" s="524"/>
      <c r="EG22" s="524"/>
      <c r="EH22" s="524"/>
      <c r="EI22" s="524"/>
      <c r="EJ22" s="524"/>
      <c r="EK22" s="524"/>
      <c r="EL22" s="524"/>
      <c r="EM22" s="524"/>
      <c r="EN22" s="524"/>
      <c r="EO22" s="524"/>
      <c r="EP22" s="317"/>
    </row>
    <row r="23" spans="1:146" s="140" customFormat="1" ht="31.5" customHeight="1" x14ac:dyDescent="0.25">
      <c r="A23" s="137">
        <v>339</v>
      </c>
      <c r="B23" s="262">
        <v>6</v>
      </c>
      <c r="C23" s="137"/>
      <c r="D23" s="505" t="str">
        <f t="shared" si="0"/>
        <v>Bà</v>
      </c>
      <c r="E23" s="304" t="s">
        <v>179</v>
      </c>
      <c r="F23" s="265" t="s">
        <v>27</v>
      </c>
      <c r="G23" s="265" t="s">
        <v>180</v>
      </c>
      <c r="H23" s="265" t="s">
        <v>9</v>
      </c>
      <c r="I23" s="265" t="s">
        <v>33</v>
      </c>
      <c r="J23" s="137" t="s">
        <v>9</v>
      </c>
      <c r="K23" s="137" t="s">
        <v>126</v>
      </c>
      <c r="L23" s="137"/>
      <c r="M23" s="141"/>
      <c r="N23" s="386" t="e">
        <f>VLOOKUP(M23,'[1]- DLiêu Gốc -'!$B$2:$G$121,2,0)</f>
        <v>#N/A</v>
      </c>
      <c r="O23" s="404" t="s">
        <v>181</v>
      </c>
      <c r="P23" s="402" t="s">
        <v>177</v>
      </c>
      <c r="Q23" s="157" t="str">
        <f>VLOOKUP(V23,'[1]- DLiêu Gốc -'!$B$2:$G$56,5,0)</f>
        <v>A1</v>
      </c>
      <c r="R23" s="137" t="str">
        <f>VLOOKUP(V23,'[1]- DLiêu Gốc -'!$B$2:$G$56,6,0)</f>
        <v>- - -</v>
      </c>
      <c r="S23" s="266" t="s">
        <v>28</v>
      </c>
      <c r="T23" s="267" t="str">
        <f t="shared" si="1"/>
        <v>Giảng viên (hạng III)</v>
      </c>
      <c r="U23" s="172" t="str">
        <f t="shared" si="2"/>
        <v>V.07.01.03</v>
      </c>
      <c r="V23" s="139" t="s">
        <v>29</v>
      </c>
      <c r="W23" s="263" t="str">
        <f>VLOOKUP(V23,'[1]- DLiêu Gốc -'!$B$1:$G$121,2,0)</f>
        <v>V.07.01.03</v>
      </c>
      <c r="X23" s="263" t="str">
        <f t="shared" si="3"/>
        <v>Lương</v>
      </c>
      <c r="Y23" s="263">
        <v>5</v>
      </c>
      <c r="Z23" s="263" t="str">
        <f t="shared" si="4"/>
        <v>/</v>
      </c>
      <c r="AA23" s="263">
        <f t="shared" si="5"/>
        <v>9</v>
      </c>
      <c r="AB23" s="263">
        <f t="shared" si="6"/>
        <v>3.66</v>
      </c>
      <c r="AC23" s="263">
        <f t="shared" si="7"/>
        <v>6</v>
      </c>
      <c r="AD23" s="263" t="str">
        <f t="shared" si="8"/>
        <v>/</v>
      </c>
      <c r="AE23" s="263">
        <f t="shared" si="9"/>
        <v>9</v>
      </c>
      <c r="AF23" s="263">
        <f t="shared" si="10"/>
        <v>3.99</v>
      </c>
      <c r="AG23" s="263" t="s">
        <v>8</v>
      </c>
      <c r="AH23" s="263" t="s">
        <v>9</v>
      </c>
      <c r="AI23" s="263">
        <v>9</v>
      </c>
      <c r="AJ23" s="263" t="s">
        <v>9</v>
      </c>
      <c r="AK23" s="145">
        <v>2013</v>
      </c>
      <c r="AL23" s="139"/>
      <c r="AM23" s="263"/>
      <c r="AN23" s="263">
        <f t="shared" si="11"/>
        <v>3</v>
      </c>
      <c r="AO23" s="172">
        <f t="shared" si="12"/>
        <v>-24165</v>
      </c>
      <c r="AP23" s="172"/>
      <c r="AQ23" s="263"/>
      <c r="AR23" s="263">
        <f>VLOOKUP(V23,'[1]- DLiêu Gốc -'!$B$1:$E$56,3,0)</f>
        <v>2.34</v>
      </c>
      <c r="AS23" s="140">
        <f>VLOOKUP(V23,'[1]- DLiêu Gốc -'!$B$1:$E$56,4,0)</f>
        <v>0.33</v>
      </c>
      <c r="AT23" s="263"/>
      <c r="AU23" s="268" t="str">
        <f t="shared" si="13"/>
        <v>PCTN</v>
      </c>
      <c r="AV23" s="552">
        <v>5</v>
      </c>
      <c r="AW23" s="332" t="s">
        <v>31</v>
      </c>
      <c r="AX23" s="553">
        <f t="shared" si="14"/>
        <v>6</v>
      </c>
      <c r="AY23" s="269" t="s">
        <v>31</v>
      </c>
      <c r="AZ23" s="403" t="s">
        <v>25</v>
      </c>
      <c r="BA23" s="269" t="s">
        <v>9</v>
      </c>
      <c r="BB23" s="387">
        <v>2016</v>
      </c>
      <c r="BC23" s="245" t="s">
        <v>182</v>
      </c>
      <c r="BD23" s="172"/>
      <c r="BE23" s="245"/>
      <c r="BF23" s="172">
        <v>8</v>
      </c>
      <c r="BG23" s="138">
        <f t="shared" si="15"/>
        <v>-24200</v>
      </c>
      <c r="BH23" s="245" t="str">
        <f t="shared" si="16"/>
        <v>- - -</v>
      </c>
      <c r="BI23" s="137" t="str">
        <f t="shared" si="17"/>
        <v>VC</v>
      </c>
      <c r="BJ23" s="525"/>
      <c r="BK23" s="525"/>
      <c r="BL23" s="526" t="s">
        <v>79</v>
      </c>
      <c r="BM23" s="567" t="str">
        <f t="shared" si="18"/>
        <v>Chánh Văn phòng Học viện, Trưởng Ban Tổ chức - Cán bộ, Trưởng Khoa Tổ chức và Quản lý nhân sự</v>
      </c>
      <c r="BN23" s="530" t="str">
        <f t="shared" si="19"/>
        <v>A</v>
      </c>
      <c r="BO23" s="567" t="str">
        <f t="shared" si="20"/>
        <v>=&gt; s</v>
      </c>
      <c r="BP23" s="525">
        <f t="shared" si="21"/>
        <v>24189</v>
      </c>
      <c r="BQ23" s="567" t="str">
        <f t="shared" si="22"/>
        <v>S</v>
      </c>
      <c r="BR23" s="536">
        <v>2013</v>
      </c>
      <c r="BS23" s="536" t="s">
        <v>120</v>
      </c>
      <c r="BT23" s="541"/>
      <c r="BU23" s="524"/>
      <c r="BV23" s="524" t="str">
        <f t="shared" si="23"/>
        <v>Cùg Ng</v>
      </c>
      <c r="BW23" s="524" t="str">
        <f t="shared" si="24"/>
        <v>- - -</v>
      </c>
      <c r="BX23" s="524"/>
      <c r="BY23" s="524"/>
      <c r="BZ23" s="524"/>
      <c r="CA23" s="536"/>
      <c r="CB23" s="567" t="str">
        <f t="shared" si="25"/>
        <v>CN</v>
      </c>
      <c r="CC23" s="567">
        <v>6</v>
      </c>
      <c r="CD23" s="523">
        <v>2013</v>
      </c>
      <c r="CE23" s="523"/>
      <c r="CF23" s="524"/>
      <c r="CG23" s="567" t="str">
        <f t="shared" si="26"/>
        <v>---</v>
      </c>
      <c r="CH23" s="567" t="str">
        <f t="shared" si="27"/>
        <v>/-/ /-/</v>
      </c>
      <c r="CI23" s="567">
        <f t="shared" si="28"/>
        <v>12</v>
      </c>
      <c r="CJ23" s="524">
        <f t="shared" si="29"/>
        <v>2029</v>
      </c>
      <c r="CK23" s="524">
        <f t="shared" si="30"/>
        <v>9</v>
      </c>
      <c r="CL23" s="525">
        <f t="shared" si="31"/>
        <v>2029</v>
      </c>
      <c r="CM23" s="567">
        <f t="shared" si="32"/>
        <v>6</v>
      </c>
      <c r="CN23" s="567">
        <f t="shared" si="33"/>
        <v>2029</v>
      </c>
      <c r="CO23" s="567" t="str">
        <f t="shared" si="34"/>
        <v>- - -</v>
      </c>
      <c r="CP23" s="567" t="str">
        <f t="shared" si="35"/>
        <v>. .</v>
      </c>
      <c r="CQ23" s="530"/>
      <c r="CR23" s="530">
        <f t="shared" si="36"/>
        <v>660</v>
      </c>
      <c r="CS23" s="567">
        <f t="shared" si="37"/>
        <v>-23687</v>
      </c>
      <c r="CT23" s="530">
        <f t="shared" si="38"/>
        <v>-1974</v>
      </c>
      <c r="CU23" s="524" t="str">
        <f t="shared" si="39"/>
        <v>Nữ dưới 30</v>
      </c>
      <c r="CV23" s="524"/>
      <c r="CW23" s="524"/>
      <c r="CX23" s="524" t="str">
        <f t="shared" si="40"/>
        <v>Đến 30</v>
      </c>
      <c r="CY23" s="524" t="str">
        <f t="shared" si="41"/>
        <v>TD</v>
      </c>
      <c r="CZ23" s="524">
        <v>2009</v>
      </c>
      <c r="DA23" s="524" t="s">
        <v>183</v>
      </c>
      <c r="DB23" s="524">
        <v>6</v>
      </c>
      <c r="DC23" s="524">
        <v>2013</v>
      </c>
      <c r="DD23" s="524"/>
      <c r="DE23" s="524"/>
      <c r="DF23" s="524"/>
      <c r="DG23" s="524"/>
      <c r="DH23" s="524"/>
      <c r="DI23" s="524" t="s">
        <v>181</v>
      </c>
      <c r="DJ23" s="524" t="s">
        <v>8</v>
      </c>
      <c r="DK23" s="524" t="s">
        <v>9</v>
      </c>
      <c r="DL23" s="524">
        <v>9</v>
      </c>
      <c r="DM23" s="524" t="s">
        <v>9</v>
      </c>
      <c r="DN23" s="524">
        <v>2013</v>
      </c>
      <c r="DO23" s="524">
        <f t="shared" si="42"/>
        <v>0</v>
      </c>
      <c r="DP23" s="524" t="str">
        <f t="shared" si="43"/>
        <v>- - -</v>
      </c>
      <c r="DQ23" s="524" t="s">
        <v>8</v>
      </c>
      <c r="DR23" s="524" t="s">
        <v>9</v>
      </c>
      <c r="DS23" s="524">
        <v>9</v>
      </c>
      <c r="DT23" s="524" t="s">
        <v>9</v>
      </c>
      <c r="DU23" s="524">
        <v>2013</v>
      </c>
      <c r="DV23" s="524"/>
      <c r="DW23" s="524" t="str">
        <f t="shared" si="44"/>
        <v>- - -</v>
      </c>
      <c r="DX23" s="524" t="str">
        <f t="shared" si="45"/>
        <v>---</v>
      </c>
      <c r="DY23" s="524"/>
      <c r="DZ23" s="524"/>
      <c r="EA23" s="524"/>
      <c r="EB23" s="524"/>
      <c r="EC23" s="524"/>
      <c r="ED23" s="524"/>
      <c r="EE23" s="524"/>
      <c r="EF23" s="524"/>
      <c r="EG23" s="524"/>
      <c r="EH23" s="524"/>
      <c r="EI23" s="524"/>
      <c r="EJ23" s="524"/>
      <c r="EK23" s="524"/>
      <c r="EL23" s="524"/>
      <c r="EM23" s="524"/>
      <c r="EN23" s="524"/>
      <c r="EO23" s="524"/>
      <c r="EP23" s="317"/>
    </row>
    <row r="24" spans="1:146" s="464" customFormat="1" ht="31.5" customHeight="1" x14ac:dyDescent="0.25">
      <c r="A24" s="492">
        <v>345</v>
      </c>
      <c r="B24" s="464">
        <v>7</v>
      </c>
      <c r="C24" s="492"/>
      <c r="D24" s="505" t="str">
        <f t="shared" si="0"/>
        <v>Bà</v>
      </c>
      <c r="E24" s="505" t="s">
        <v>184</v>
      </c>
      <c r="F24" s="554" t="s">
        <v>27</v>
      </c>
      <c r="G24" s="554" t="s">
        <v>107</v>
      </c>
      <c r="H24" s="554" t="s">
        <v>9</v>
      </c>
      <c r="I24" s="554">
        <v>3</v>
      </c>
      <c r="J24" s="492" t="s">
        <v>9</v>
      </c>
      <c r="K24" s="492">
        <v>1977</v>
      </c>
      <c r="L24" s="492"/>
      <c r="M24" s="555"/>
      <c r="N24" s="556" t="e">
        <f>VLOOKUP(M24,'[1]- DLiêu Gốc -'!$B$2:$G$121,2,0)</f>
        <v>#N/A</v>
      </c>
      <c r="O24" s="557" t="s">
        <v>185</v>
      </c>
      <c r="P24" s="558" t="s">
        <v>177</v>
      </c>
      <c r="Q24" s="481" t="str">
        <f>VLOOKUP(V24,'[1]- DLiêu Gốc -'!$B$2:$G$56,5,0)</f>
        <v>A1</v>
      </c>
      <c r="R24" s="492" t="str">
        <f>VLOOKUP(V24,'[1]- DLiêu Gốc -'!$B$2:$G$56,6,0)</f>
        <v>- - -</v>
      </c>
      <c r="S24" s="559" t="s">
        <v>28</v>
      </c>
      <c r="T24" s="560" t="str">
        <f t="shared" si="1"/>
        <v>Giảng viên (hạng III)</v>
      </c>
      <c r="U24" s="498" t="str">
        <f t="shared" si="2"/>
        <v>V.07.01.03</v>
      </c>
      <c r="V24" s="495" t="s">
        <v>29</v>
      </c>
      <c r="W24" s="501" t="str">
        <f>VLOOKUP(V24,'[1]- DLiêu Gốc -'!$B$1:$G$121,2,0)</f>
        <v>V.07.01.03</v>
      </c>
      <c r="X24" s="501" t="str">
        <f t="shared" si="3"/>
        <v>Lương</v>
      </c>
      <c r="Y24" s="501">
        <v>4</v>
      </c>
      <c r="Z24" s="501" t="str">
        <f t="shared" si="4"/>
        <v>/</v>
      </c>
      <c r="AA24" s="501">
        <f t="shared" si="5"/>
        <v>9</v>
      </c>
      <c r="AB24" s="501">
        <f t="shared" si="6"/>
        <v>3.33</v>
      </c>
      <c r="AC24" s="501">
        <f t="shared" si="7"/>
        <v>5</v>
      </c>
      <c r="AD24" s="501" t="str">
        <f t="shared" si="8"/>
        <v>/</v>
      </c>
      <c r="AE24" s="501">
        <f t="shared" si="9"/>
        <v>9</v>
      </c>
      <c r="AF24" s="501">
        <f t="shared" si="10"/>
        <v>3.66</v>
      </c>
      <c r="AG24" s="501" t="s">
        <v>8</v>
      </c>
      <c r="AH24" s="501" t="s">
        <v>9</v>
      </c>
      <c r="AI24" s="501" t="s">
        <v>33</v>
      </c>
      <c r="AJ24" s="501" t="s">
        <v>9</v>
      </c>
      <c r="AK24" s="494">
        <v>2012</v>
      </c>
      <c r="AL24" s="495"/>
      <c r="AM24" s="501"/>
      <c r="AN24" s="501">
        <f t="shared" si="11"/>
        <v>3</v>
      </c>
      <c r="AO24" s="498">
        <f t="shared" si="12"/>
        <v>-24171</v>
      </c>
      <c r="AP24" s="498">
        <v>16</v>
      </c>
      <c r="AQ24" s="501" t="s">
        <v>186</v>
      </c>
      <c r="AR24" s="501">
        <f>VLOOKUP(V24,'[1]- DLiêu Gốc -'!$B$1:$E$56,3,0)</f>
        <v>2.34</v>
      </c>
      <c r="AS24" s="464">
        <f>VLOOKUP(V24,'[1]- DLiêu Gốc -'!$B$1:$E$56,4,0)</f>
        <v>0.33</v>
      </c>
      <c r="AT24" s="501"/>
      <c r="AU24" s="561" t="str">
        <f t="shared" si="13"/>
        <v>PCTN</v>
      </c>
      <c r="AV24" s="562">
        <v>7</v>
      </c>
      <c r="AW24" s="508" t="s">
        <v>31</v>
      </c>
      <c r="AX24" s="563">
        <f t="shared" si="14"/>
        <v>8</v>
      </c>
      <c r="AY24" s="564" t="s">
        <v>31</v>
      </c>
      <c r="AZ24" s="484" t="s">
        <v>25</v>
      </c>
      <c r="BA24" s="564" t="s">
        <v>9</v>
      </c>
      <c r="BB24" s="565">
        <v>2016</v>
      </c>
      <c r="BC24" s="568"/>
      <c r="BD24" s="498"/>
      <c r="BE24" s="568"/>
      <c r="BF24" s="498">
        <v>8</v>
      </c>
      <c r="BG24" s="507">
        <f t="shared" si="15"/>
        <v>-24200</v>
      </c>
      <c r="BH24" s="568" t="str">
        <f t="shared" si="16"/>
        <v>- - -</v>
      </c>
      <c r="BI24" s="492" t="str">
        <f t="shared" si="17"/>
        <v>VC</v>
      </c>
      <c r="BJ24" s="202"/>
      <c r="BK24" s="202"/>
      <c r="BL24" s="385" t="s">
        <v>79</v>
      </c>
      <c r="BM24" s="208" t="str">
        <f t="shared" si="18"/>
        <v>Chánh Văn phòng Học viện, Trưởng Ban Tổ chức - Cán bộ, Trưởng Khoa Tổ chức và Quản lý nhân sự</v>
      </c>
      <c r="BN24" s="206" t="str">
        <f t="shared" si="19"/>
        <v>A</v>
      </c>
      <c r="BO24" s="208" t="str">
        <f t="shared" si="20"/>
        <v>=&gt; s</v>
      </c>
      <c r="BP24" s="202">
        <f t="shared" si="21"/>
        <v>24195</v>
      </c>
      <c r="BQ24" s="208" t="str">
        <f t="shared" si="22"/>
        <v>---</v>
      </c>
      <c r="BR24" s="212"/>
      <c r="BS24" s="212"/>
      <c r="BT24" s="289"/>
      <c r="BU24" s="201"/>
      <c r="BV24" s="201" t="str">
        <f t="shared" si="23"/>
        <v>- - -</v>
      </c>
      <c r="BW24" s="201" t="str">
        <f t="shared" si="24"/>
        <v>- - -</v>
      </c>
      <c r="BX24" s="201"/>
      <c r="BY24" s="201"/>
      <c r="BZ24" s="201"/>
      <c r="CA24" s="212"/>
      <c r="CB24" s="208" t="str">
        <f t="shared" si="25"/>
        <v>- - -</v>
      </c>
      <c r="CC24" s="208"/>
      <c r="CD24" s="214"/>
      <c r="CE24" s="214"/>
      <c r="CF24" s="201"/>
      <c r="CG24" s="208" t="str">
        <f t="shared" si="26"/>
        <v>---</v>
      </c>
      <c r="CH24" s="208" t="str">
        <f t="shared" si="27"/>
        <v>/-/ /-/</v>
      </c>
      <c r="CI24" s="208">
        <f t="shared" si="28"/>
        <v>4</v>
      </c>
      <c r="CJ24" s="201">
        <f t="shared" si="29"/>
        <v>2032</v>
      </c>
      <c r="CK24" s="201">
        <f t="shared" si="30"/>
        <v>1</v>
      </c>
      <c r="CL24" s="202">
        <f t="shared" si="31"/>
        <v>2032</v>
      </c>
      <c r="CM24" s="208">
        <f t="shared" si="32"/>
        <v>10</v>
      </c>
      <c r="CN24" s="208">
        <f t="shared" si="33"/>
        <v>2031</v>
      </c>
      <c r="CO24" s="208" t="str">
        <f t="shared" si="34"/>
        <v>- - -</v>
      </c>
      <c r="CP24" s="208" t="str">
        <f t="shared" si="35"/>
        <v>. .</v>
      </c>
      <c r="CQ24" s="206"/>
      <c r="CR24" s="206">
        <f t="shared" si="36"/>
        <v>660</v>
      </c>
      <c r="CS24" s="208">
        <f t="shared" si="37"/>
        <v>-23715</v>
      </c>
      <c r="CT24" s="206">
        <f t="shared" si="38"/>
        <v>-1977</v>
      </c>
      <c r="CU24" s="201" t="str">
        <f t="shared" si="39"/>
        <v>Nữ dưới 30</v>
      </c>
      <c r="CV24" s="201"/>
      <c r="CW24" s="201"/>
      <c r="CX24" s="201" t="str">
        <f t="shared" si="40"/>
        <v>Đến 30</v>
      </c>
      <c r="CY24" s="201" t="str">
        <f t="shared" si="41"/>
        <v>TD</v>
      </c>
      <c r="CZ24" s="201">
        <v>2009</v>
      </c>
      <c r="DA24" s="201"/>
      <c r="DB24" s="201"/>
      <c r="DC24" s="201"/>
      <c r="DD24" s="201"/>
      <c r="DE24" s="201"/>
      <c r="DF24" s="201"/>
      <c r="DG24" s="201"/>
      <c r="DH24" s="201"/>
      <c r="DI24" s="201" t="s">
        <v>185</v>
      </c>
      <c r="DJ24" s="201" t="s">
        <v>8</v>
      </c>
      <c r="DK24" s="201" t="s">
        <v>9</v>
      </c>
      <c r="DL24" s="201" t="s">
        <v>10</v>
      </c>
      <c r="DM24" s="201" t="s">
        <v>9</v>
      </c>
      <c r="DN24" s="201" t="s">
        <v>187</v>
      </c>
      <c r="DO24" s="201">
        <f t="shared" si="42"/>
        <v>0</v>
      </c>
      <c r="DP24" s="201" t="str">
        <f t="shared" si="43"/>
        <v>- - -</v>
      </c>
      <c r="DQ24" s="201" t="s">
        <v>8</v>
      </c>
      <c r="DR24" s="201" t="s">
        <v>9</v>
      </c>
      <c r="DS24" s="201" t="s">
        <v>10</v>
      </c>
      <c r="DT24" s="201" t="s">
        <v>9</v>
      </c>
      <c r="DU24" s="201" t="s">
        <v>187</v>
      </c>
      <c r="DV24" s="201"/>
      <c r="DW24" s="201" t="str">
        <f t="shared" si="44"/>
        <v>- - -</v>
      </c>
      <c r="DX24" s="201" t="str">
        <f t="shared" si="45"/>
        <v>---</v>
      </c>
      <c r="DY24" s="201"/>
      <c r="DZ24" s="201"/>
      <c r="EA24" s="201"/>
      <c r="EB24" s="201"/>
      <c r="EC24" s="201"/>
      <c r="ED24" s="201"/>
      <c r="EE24" s="201"/>
      <c r="EF24" s="201"/>
      <c r="EG24" s="201"/>
      <c r="EH24" s="201"/>
      <c r="EI24" s="201"/>
      <c r="EJ24" s="201"/>
      <c r="EK24" s="201"/>
      <c r="EL24" s="201"/>
      <c r="EM24" s="201"/>
      <c r="EN24" s="201"/>
      <c r="EO24" s="201"/>
      <c r="EP24" s="566"/>
    </row>
    <row r="25" spans="1:146" s="140" customFormat="1" ht="31.5" customHeight="1" x14ac:dyDescent="0.25">
      <c r="A25" s="137">
        <v>356</v>
      </c>
      <c r="B25" s="262">
        <v>8</v>
      </c>
      <c r="C25" s="137"/>
      <c r="D25" s="505" t="str">
        <f t="shared" si="0"/>
        <v>Ông</v>
      </c>
      <c r="E25" s="304" t="s">
        <v>188</v>
      </c>
      <c r="F25" s="265" t="s">
        <v>32</v>
      </c>
      <c r="G25" s="265" t="s">
        <v>124</v>
      </c>
      <c r="H25" s="265" t="s">
        <v>9</v>
      </c>
      <c r="I25" s="265" t="s">
        <v>8</v>
      </c>
      <c r="J25" s="137" t="s">
        <v>9</v>
      </c>
      <c r="K25" s="137" t="s">
        <v>189</v>
      </c>
      <c r="L25" s="137" t="str">
        <f>IF(AND((N25+0)&gt;0.3,(N25+0)&lt;1.5),"CVụ","- -")</f>
        <v>CVụ</v>
      </c>
      <c r="M25" s="141" t="s">
        <v>173</v>
      </c>
      <c r="N25" s="386" t="str">
        <f>VLOOKUP(M25,'[1]- DLiêu Gốc -'!$B$2:$G$121,2,0)</f>
        <v>1,0</v>
      </c>
      <c r="O25" s="404"/>
      <c r="P25" s="402" t="s">
        <v>190</v>
      </c>
      <c r="Q25" s="157" t="str">
        <f>VLOOKUP(V25,'[1]- DLiêu Gốc -'!$B$2:$G$56,5,0)</f>
        <v>A2</v>
      </c>
      <c r="R25" s="137" t="str">
        <f>VLOOKUP(V25,'[1]- DLiêu Gốc -'!$B$2:$G$56,6,0)</f>
        <v>A2.1</v>
      </c>
      <c r="S25" s="266" t="s">
        <v>28</v>
      </c>
      <c r="T25" s="267" t="str">
        <f t="shared" si="1"/>
        <v>Giảng viên chính (hạng II)</v>
      </c>
      <c r="U25" s="172" t="str">
        <f t="shared" si="2"/>
        <v>V.07.01.02</v>
      </c>
      <c r="V25" s="139" t="s">
        <v>170</v>
      </c>
      <c r="W25" s="263" t="str">
        <f>VLOOKUP(V25,'[1]- DLiêu Gốc -'!$B$1:$G$121,2,0)</f>
        <v>V.07.01.02</v>
      </c>
      <c r="X25" s="263" t="str">
        <f t="shared" si="3"/>
        <v>Lương</v>
      </c>
      <c r="Y25" s="263">
        <v>1</v>
      </c>
      <c r="Z25" s="263" t="str">
        <f t="shared" si="4"/>
        <v>/</v>
      </c>
      <c r="AA25" s="263">
        <f t="shared" si="5"/>
        <v>8</v>
      </c>
      <c r="AB25" s="263">
        <f t="shared" si="6"/>
        <v>4.4000000000000004</v>
      </c>
      <c r="AC25" s="263">
        <f t="shared" si="7"/>
        <v>2</v>
      </c>
      <c r="AD25" s="263" t="str">
        <f t="shared" si="8"/>
        <v>/</v>
      </c>
      <c r="AE25" s="263">
        <f t="shared" si="9"/>
        <v>8</v>
      </c>
      <c r="AF25" s="263">
        <f t="shared" si="10"/>
        <v>4.74</v>
      </c>
      <c r="AG25" s="263" t="s">
        <v>8</v>
      </c>
      <c r="AH25" s="263" t="s">
        <v>9</v>
      </c>
      <c r="AI25" s="263" t="s">
        <v>10</v>
      </c>
      <c r="AJ25" s="263" t="s">
        <v>9</v>
      </c>
      <c r="AK25" s="145">
        <v>2015</v>
      </c>
      <c r="AL25" s="139"/>
      <c r="AM25" s="263">
        <v>7</v>
      </c>
      <c r="AN25" s="263">
        <f t="shared" si="11"/>
        <v>3</v>
      </c>
      <c r="AO25" s="172">
        <f t="shared" si="12"/>
        <v>-24187</v>
      </c>
      <c r="AP25" s="172"/>
      <c r="AQ25" s="263"/>
      <c r="AR25" s="263">
        <f>VLOOKUP(V25,'[1]- DLiêu Gốc -'!$B$1:$E$56,3,0)</f>
        <v>4.4000000000000004</v>
      </c>
      <c r="AS25" s="140">
        <f>VLOOKUP(V25,'[1]- DLiêu Gốc -'!$B$1:$E$56,4,0)</f>
        <v>0.34</v>
      </c>
      <c r="AT25" s="263"/>
      <c r="AU25" s="268" t="str">
        <f t="shared" si="13"/>
        <v>PCTN</v>
      </c>
      <c r="AV25" s="552">
        <v>13</v>
      </c>
      <c r="AW25" s="332" t="s">
        <v>31</v>
      </c>
      <c r="AX25" s="553">
        <f t="shared" si="14"/>
        <v>14</v>
      </c>
      <c r="AY25" s="269" t="s">
        <v>31</v>
      </c>
      <c r="AZ25" s="403">
        <v>8</v>
      </c>
      <c r="BA25" s="269" t="s">
        <v>9</v>
      </c>
      <c r="BB25" s="387">
        <v>2016</v>
      </c>
      <c r="BC25" s="245"/>
      <c r="BD25" s="172"/>
      <c r="BE25" s="245"/>
      <c r="BF25" s="172">
        <v>8</v>
      </c>
      <c r="BG25" s="138">
        <f t="shared" si="15"/>
        <v>-24200</v>
      </c>
      <c r="BH25" s="245" t="str">
        <f t="shared" si="16"/>
        <v>- - -</v>
      </c>
      <c r="BI25" s="137" t="str">
        <f t="shared" si="17"/>
        <v>VC</v>
      </c>
      <c r="BJ25" s="525"/>
      <c r="BK25" s="525"/>
      <c r="BL25" s="526" t="s">
        <v>79</v>
      </c>
      <c r="BM25" s="567" t="str">
        <f t="shared" si="18"/>
        <v>Chánh Văn phòng Học viện, Trưởng Ban Tổ chức - Cán bộ, Trưởng Khoa Văn bản và Công nghệ hành chính</v>
      </c>
      <c r="BN25" s="530" t="str">
        <f t="shared" si="19"/>
        <v>A</v>
      </c>
      <c r="BO25" s="567" t="str">
        <f t="shared" si="20"/>
        <v>=&gt; s</v>
      </c>
      <c r="BP25" s="525">
        <f t="shared" si="21"/>
        <v>24211</v>
      </c>
      <c r="BQ25" s="567" t="str">
        <f t="shared" si="22"/>
        <v>S</v>
      </c>
      <c r="BR25" s="536">
        <v>2009</v>
      </c>
      <c r="BS25" s="536" t="s">
        <v>120</v>
      </c>
      <c r="BT25" s="541"/>
      <c r="BU25" s="524"/>
      <c r="BV25" s="524" t="str">
        <f t="shared" si="23"/>
        <v>- - -</v>
      </c>
      <c r="BW25" s="524" t="str">
        <f t="shared" si="24"/>
        <v>NN</v>
      </c>
      <c r="BX25" s="524">
        <v>7</v>
      </c>
      <c r="BY25" s="524">
        <v>2012</v>
      </c>
      <c r="BZ25" s="524"/>
      <c r="CA25" s="536"/>
      <c r="CB25" s="567" t="str">
        <f t="shared" si="25"/>
        <v>- - -</v>
      </c>
      <c r="CC25" s="567"/>
      <c r="CD25" s="523"/>
      <c r="CE25" s="523"/>
      <c r="CF25" s="524"/>
      <c r="CG25" s="567" t="str">
        <f t="shared" si="26"/>
        <v>---</v>
      </c>
      <c r="CH25" s="567" t="str">
        <f t="shared" si="27"/>
        <v>/-/ /-/</v>
      </c>
      <c r="CI25" s="567">
        <f t="shared" si="28"/>
        <v>2</v>
      </c>
      <c r="CJ25" s="524">
        <f t="shared" si="29"/>
        <v>2030</v>
      </c>
      <c r="CK25" s="524">
        <f t="shared" si="30"/>
        <v>11</v>
      </c>
      <c r="CL25" s="525">
        <f t="shared" si="31"/>
        <v>2029</v>
      </c>
      <c r="CM25" s="567">
        <f t="shared" si="32"/>
        <v>8</v>
      </c>
      <c r="CN25" s="567">
        <f t="shared" si="33"/>
        <v>2029</v>
      </c>
      <c r="CO25" s="567" t="str">
        <f t="shared" si="34"/>
        <v>- - -</v>
      </c>
      <c r="CP25" s="567" t="str">
        <f t="shared" si="35"/>
        <v>. .</v>
      </c>
      <c r="CQ25" s="530"/>
      <c r="CR25" s="530">
        <f t="shared" si="36"/>
        <v>720</v>
      </c>
      <c r="CS25" s="567">
        <f t="shared" si="37"/>
        <v>-23629</v>
      </c>
      <c r="CT25" s="530">
        <f t="shared" si="38"/>
        <v>-1970</v>
      </c>
      <c r="CU25" s="524" t="str">
        <f t="shared" si="39"/>
        <v>Nam dưới 35</v>
      </c>
      <c r="CV25" s="524"/>
      <c r="CW25" s="524"/>
      <c r="CX25" s="524" t="str">
        <f t="shared" si="40"/>
        <v>Đến 30</v>
      </c>
      <c r="CY25" s="524" t="str">
        <f t="shared" si="41"/>
        <v>--</v>
      </c>
      <c r="CZ25" s="524"/>
      <c r="DA25" s="524"/>
      <c r="DB25" s="524"/>
      <c r="DC25" s="524"/>
      <c r="DD25" s="524"/>
      <c r="DE25" s="524"/>
      <c r="DF25" s="524"/>
      <c r="DG25" s="524"/>
      <c r="DH25" s="524"/>
      <c r="DI25" s="524"/>
      <c r="DJ25" s="524" t="s">
        <v>8</v>
      </c>
      <c r="DK25" s="524" t="s">
        <v>9</v>
      </c>
      <c r="DL25" s="524" t="s">
        <v>10</v>
      </c>
      <c r="DM25" s="524" t="s">
        <v>9</v>
      </c>
      <c r="DN25" s="524">
        <v>2012</v>
      </c>
      <c r="DO25" s="524">
        <f t="shared" si="42"/>
        <v>0</v>
      </c>
      <c r="DP25" s="524" t="str">
        <f t="shared" si="43"/>
        <v>- - -</v>
      </c>
      <c r="DQ25" s="524" t="s">
        <v>8</v>
      </c>
      <c r="DR25" s="524" t="s">
        <v>9</v>
      </c>
      <c r="DS25" s="524" t="s">
        <v>10</v>
      </c>
      <c r="DT25" s="524" t="s">
        <v>9</v>
      </c>
      <c r="DU25" s="524">
        <v>2012</v>
      </c>
      <c r="DV25" s="524">
        <v>3.99</v>
      </c>
      <c r="DW25" s="524" t="str">
        <f t="shared" si="44"/>
        <v>- - -</v>
      </c>
      <c r="DX25" s="524" t="str">
        <f t="shared" si="45"/>
        <v>---</v>
      </c>
      <c r="DY25" s="524"/>
      <c r="DZ25" s="524"/>
      <c r="EA25" s="524"/>
      <c r="EB25" s="524"/>
      <c r="EC25" s="524"/>
      <c r="ED25" s="524"/>
      <c r="EE25" s="524"/>
      <c r="EF25" s="524"/>
      <c r="EG25" s="524"/>
      <c r="EH25" s="524"/>
      <c r="EI25" s="524"/>
      <c r="EJ25" s="524"/>
      <c r="EK25" s="524"/>
      <c r="EL25" s="524"/>
      <c r="EM25" s="524"/>
      <c r="EN25" s="524"/>
      <c r="EO25" s="524"/>
      <c r="EP25" s="317"/>
    </row>
    <row r="26" spans="1:146" s="140" customFormat="1" ht="31.5" customHeight="1" x14ac:dyDescent="0.25">
      <c r="A26" s="137">
        <v>357</v>
      </c>
      <c r="B26" s="262">
        <v>9</v>
      </c>
      <c r="C26" s="137"/>
      <c r="D26" s="505" t="str">
        <f t="shared" si="0"/>
        <v>Bà</v>
      </c>
      <c r="E26" s="304" t="s">
        <v>191</v>
      </c>
      <c r="F26" s="265" t="s">
        <v>27</v>
      </c>
      <c r="G26" s="265" t="s">
        <v>192</v>
      </c>
      <c r="H26" s="265" t="s">
        <v>9</v>
      </c>
      <c r="I26" s="265" t="s">
        <v>37</v>
      </c>
      <c r="J26" s="137" t="s">
        <v>9</v>
      </c>
      <c r="K26" s="137" t="s">
        <v>189</v>
      </c>
      <c r="L26" s="137" t="str">
        <f>IF(AND((N26+0)&gt;0.3,(N26+0)&lt;1.5),"CVụ","- -")</f>
        <v>CVụ</v>
      </c>
      <c r="M26" s="141" t="s">
        <v>176</v>
      </c>
      <c r="N26" s="386" t="str">
        <f>VLOOKUP(M26,'[1]- DLiêu Gốc -'!$B$2:$G$121,2,0)</f>
        <v>0,8</v>
      </c>
      <c r="O26" s="404"/>
      <c r="P26" s="402" t="s">
        <v>190</v>
      </c>
      <c r="Q26" s="157" t="str">
        <f>VLOOKUP(V26,'[1]- DLiêu Gốc -'!$B$2:$G$56,5,0)</f>
        <v>A2</v>
      </c>
      <c r="R26" s="137" t="str">
        <f>VLOOKUP(V26,'[1]- DLiêu Gốc -'!$B$2:$G$56,6,0)</f>
        <v>A2.1</v>
      </c>
      <c r="S26" s="266" t="s">
        <v>28</v>
      </c>
      <c r="T26" s="267" t="str">
        <f t="shared" si="1"/>
        <v>Giảng viên chính (hạng II)</v>
      </c>
      <c r="U26" s="172" t="str">
        <f t="shared" si="2"/>
        <v>V.07.01.02</v>
      </c>
      <c r="V26" s="139" t="s">
        <v>170</v>
      </c>
      <c r="W26" s="263" t="str">
        <f>VLOOKUP(V26,'[1]- DLiêu Gốc -'!$B$1:$G$121,2,0)</f>
        <v>V.07.01.02</v>
      </c>
      <c r="X26" s="263" t="str">
        <f t="shared" si="3"/>
        <v>Lương</v>
      </c>
      <c r="Y26" s="263">
        <v>1</v>
      </c>
      <c r="Z26" s="263" t="str">
        <f t="shared" si="4"/>
        <v>/</v>
      </c>
      <c r="AA26" s="263">
        <f t="shared" si="5"/>
        <v>8</v>
      </c>
      <c r="AB26" s="263">
        <f t="shared" si="6"/>
        <v>4.4000000000000004</v>
      </c>
      <c r="AC26" s="263">
        <f t="shared" si="7"/>
        <v>2</v>
      </c>
      <c r="AD26" s="263" t="str">
        <f t="shared" si="8"/>
        <v>/</v>
      </c>
      <c r="AE26" s="263">
        <f t="shared" si="9"/>
        <v>8</v>
      </c>
      <c r="AF26" s="263">
        <f t="shared" si="10"/>
        <v>4.74</v>
      </c>
      <c r="AG26" s="263" t="s">
        <v>8</v>
      </c>
      <c r="AH26" s="263" t="s">
        <v>9</v>
      </c>
      <c r="AI26" s="263" t="s">
        <v>37</v>
      </c>
      <c r="AJ26" s="263" t="s">
        <v>9</v>
      </c>
      <c r="AK26" s="145">
        <v>2014</v>
      </c>
      <c r="AL26" s="139"/>
      <c r="AM26" s="263"/>
      <c r="AN26" s="263">
        <f t="shared" si="11"/>
        <v>3</v>
      </c>
      <c r="AO26" s="172">
        <f t="shared" si="12"/>
        <v>-24178</v>
      </c>
      <c r="AP26" s="172"/>
      <c r="AQ26" s="263"/>
      <c r="AR26" s="263">
        <f>VLOOKUP(V26,'[1]- DLiêu Gốc -'!$B$1:$E$56,3,0)</f>
        <v>4.4000000000000004</v>
      </c>
      <c r="AS26" s="140">
        <f>VLOOKUP(V26,'[1]- DLiêu Gốc -'!$B$1:$E$56,4,0)</f>
        <v>0.34</v>
      </c>
      <c r="AT26" s="263"/>
      <c r="AU26" s="268" t="str">
        <f t="shared" si="13"/>
        <v>PCTN</v>
      </c>
      <c r="AV26" s="552">
        <v>13</v>
      </c>
      <c r="AW26" s="332" t="s">
        <v>31</v>
      </c>
      <c r="AX26" s="553">
        <f t="shared" si="14"/>
        <v>14</v>
      </c>
      <c r="AY26" s="269" t="s">
        <v>31</v>
      </c>
      <c r="AZ26" s="403">
        <v>8</v>
      </c>
      <c r="BA26" s="269" t="s">
        <v>9</v>
      </c>
      <c r="BB26" s="387">
        <v>2016</v>
      </c>
      <c r="BC26" s="245"/>
      <c r="BD26" s="172"/>
      <c r="BE26" s="245"/>
      <c r="BF26" s="172">
        <v>8</v>
      </c>
      <c r="BG26" s="138">
        <f t="shared" si="15"/>
        <v>-24200</v>
      </c>
      <c r="BH26" s="245" t="str">
        <f t="shared" si="16"/>
        <v>- - -</v>
      </c>
      <c r="BI26" s="137" t="str">
        <f t="shared" si="17"/>
        <v>VC</v>
      </c>
      <c r="BJ26" s="525"/>
      <c r="BK26" s="525"/>
      <c r="BL26" s="526" t="s">
        <v>79</v>
      </c>
      <c r="BM26" s="567" t="str">
        <f t="shared" si="18"/>
        <v>Chánh Văn phòng Học viện, Trưởng Ban Tổ chức - Cán bộ, Trưởng Khoa Văn bản và Công nghệ hành chính</v>
      </c>
      <c r="BN26" s="530" t="str">
        <f t="shared" si="19"/>
        <v>A</v>
      </c>
      <c r="BO26" s="567" t="str">
        <f t="shared" si="20"/>
        <v>=&gt; s</v>
      </c>
      <c r="BP26" s="525">
        <f t="shared" si="21"/>
        <v>24202</v>
      </c>
      <c r="BQ26" s="567" t="str">
        <f t="shared" si="22"/>
        <v>S</v>
      </c>
      <c r="BR26" s="536">
        <v>2014</v>
      </c>
      <c r="BS26" s="536" t="s">
        <v>120</v>
      </c>
      <c r="BT26" s="541"/>
      <c r="BU26" s="524"/>
      <c r="BV26" s="524" t="str">
        <f t="shared" si="23"/>
        <v>- - -</v>
      </c>
      <c r="BW26" s="524" t="str">
        <f t="shared" si="24"/>
        <v>NN</v>
      </c>
      <c r="BX26" s="524">
        <v>7</v>
      </c>
      <c r="BY26" s="524">
        <v>2012</v>
      </c>
      <c r="BZ26" s="524"/>
      <c r="CA26" s="536"/>
      <c r="CB26" s="567" t="str">
        <f t="shared" si="25"/>
        <v>- - -</v>
      </c>
      <c r="CC26" s="567"/>
      <c r="CD26" s="523"/>
      <c r="CE26" s="523"/>
      <c r="CF26" s="524"/>
      <c r="CG26" s="567" t="str">
        <f t="shared" si="26"/>
        <v>---</v>
      </c>
      <c r="CH26" s="567" t="str">
        <f t="shared" si="27"/>
        <v>/-/ /-/</v>
      </c>
      <c r="CI26" s="567">
        <f t="shared" si="28"/>
        <v>11</v>
      </c>
      <c r="CJ26" s="524">
        <f t="shared" si="29"/>
        <v>2025</v>
      </c>
      <c r="CK26" s="524">
        <f t="shared" si="30"/>
        <v>8</v>
      </c>
      <c r="CL26" s="525">
        <f t="shared" si="31"/>
        <v>2025</v>
      </c>
      <c r="CM26" s="567">
        <f t="shared" si="32"/>
        <v>5</v>
      </c>
      <c r="CN26" s="567">
        <f t="shared" si="33"/>
        <v>2025</v>
      </c>
      <c r="CO26" s="567" t="str">
        <f t="shared" si="34"/>
        <v>- - -</v>
      </c>
      <c r="CP26" s="567" t="str">
        <f t="shared" si="35"/>
        <v>. .</v>
      </c>
      <c r="CQ26" s="530"/>
      <c r="CR26" s="530">
        <f t="shared" si="36"/>
        <v>660</v>
      </c>
      <c r="CS26" s="567">
        <f t="shared" si="37"/>
        <v>-23638</v>
      </c>
      <c r="CT26" s="530">
        <f t="shared" si="38"/>
        <v>-1970</v>
      </c>
      <c r="CU26" s="524" t="str">
        <f t="shared" si="39"/>
        <v>Nữ dưới 30</v>
      </c>
      <c r="CV26" s="524"/>
      <c r="CW26" s="524"/>
      <c r="CX26" s="524" t="str">
        <f t="shared" si="40"/>
        <v>Đến 30</v>
      </c>
      <c r="CY26" s="524" t="str">
        <f t="shared" si="41"/>
        <v>--</v>
      </c>
      <c r="CZ26" s="524"/>
      <c r="DA26" s="524"/>
      <c r="DB26" s="524"/>
      <c r="DC26" s="524"/>
      <c r="DD26" s="524"/>
      <c r="DE26" s="524"/>
      <c r="DF26" s="524"/>
      <c r="DG26" s="524" t="s">
        <v>105</v>
      </c>
      <c r="DH26" s="524" t="s">
        <v>193</v>
      </c>
      <c r="DI26" s="524"/>
      <c r="DJ26" s="524" t="s">
        <v>8</v>
      </c>
      <c r="DK26" s="524" t="s">
        <v>9</v>
      </c>
      <c r="DL26" s="524" t="s">
        <v>10</v>
      </c>
      <c r="DM26" s="524" t="s">
        <v>9</v>
      </c>
      <c r="DN26" s="524">
        <v>2012</v>
      </c>
      <c r="DO26" s="524">
        <f t="shared" si="42"/>
        <v>0</v>
      </c>
      <c r="DP26" s="524" t="str">
        <f t="shared" si="43"/>
        <v>- - -</v>
      </c>
      <c r="DQ26" s="524" t="s">
        <v>8</v>
      </c>
      <c r="DR26" s="524" t="s">
        <v>9</v>
      </c>
      <c r="DS26" s="524" t="s">
        <v>10</v>
      </c>
      <c r="DT26" s="524" t="s">
        <v>9</v>
      </c>
      <c r="DU26" s="524">
        <v>2012</v>
      </c>
      <c r="DV26" s="524">
        <v>3</v>
      </c>
      <c r="DW26" s="524" t="str">
        <f t="shared" si="44"/>
        <v>- - -</v>
      </c>
      <c r="DX26" s="524" t="str">
        <f t="shared" si="45"/>
        <v>---</v>
      </c>
      <c r="DY26" s="524"/>
      <c r="DZ26" s="524"/>
      <c r="EA26" s="524"/>
      <c r="EB26" s="524"/>
      <c r="EC26" s="524"/>
      <c r="ED26" s="524"/>
      <c r="EE26" s="524"/>
      <c r="EF26" s="524"/>
      <c r="EG26" s="524"/>
      <c r="EH26" s="524"/>
      <c r="EI26" s="524"/>
      <c r="EJ26" s="524"/>
      <c r="EK26" s="524"/>
      <c r="EL26" s="524"/>
      <c r="EM26" s="524"/>
      <c r="EN26" s="524"/>
      <c r="EO26" s="524"/>
      <c r="EP26" s="317"/>
    </row>
    <row r="27" spans="1:146" s="140" customFormat="1" ht="31.5" customHeight="1" x14ac:dyDescent="0.25">
      <c r="A27" s="137">
        <v>366</v>
      </c>
      <c r="B27" s="262">
        <v>10</v>
      </c>
      <c r="C27" s="137"/>
      <c r="D27" s="505" t="str">
        <f t="shared" si="0"/>
        <v>Ông</v>
      </c>
      <c r="E27" s="304" t="s">
        <v>194</v>
      </c>
      <c r="F27" s="265" t="s">
        <v>32</v>
      </c>
      <c r="G27" s="265" t="s">
        <v>37</v>
      </c>
      <c r="H27" s="265" t="s">
        <v>9</v>
      </c>
      <c r="I27" s="265" t="s">
        <v>75</v>
      </c>
      <c r="J27" s="137" t="s">
        <v>9</v>
      </c>
      <c r="K27" s="137" t="s">
        <v>113</v>
      </c>
      <c r="L27" s="137" t="str">
        <f>IF(AND((N27+0)&gt;0.3,(N27+0)&lt;1.5),"CVụ","- -")</f>
        <v>CVụ</v>
      </c>
      <c r="M27" s="141" t="s">
        <v>127</v>
      </c>
      <c r="N27" s="386" t="str">
        <f>VLOOKUP(M27,'[1]- DLiêu Gốc -'!$B$2:$G$121,2,0)</f>
        <v>0,4</v>
      </c>
      <c r="O27" s="404" t="s">
        <v>195</v>
      </c>
      <c r="P27" s="402" t="s">
        <v>190</v>
      </c>
      <c r="Q27" s="157" t="str">
        <f>VLOOKUP(V27,'[1]- DLiêu Gốc -'!$B$2:$G$56,5,0)</f>
        <v>A2</v>
      </c>
      <c r="R27" s="137" t="str">
        <f>VLOOKUP(V27,'[1]- DLiêu Gốc -'!$B$2:$G$56,6,0)</f>
        <v>A2.1</v>
      </c>
      <c r="S27" s="266" t="s">
        <v>28</v>
      </c>
      <c r="T27" s="267" t="str">
        <f t="shared" si="1"/>
        <v>Giảng viên chính (hạng II)</v>
      </c>
      <c r="U27" s="172" t="str">
        <f t="shared" si="2"/>
        <v>V.07.01.02</v>
      </c>
      <c r="V27" s="139" t="s">
        <v>170</v>
      </c>
      <c r="W27" s="263" t="str">
        <f>VLOOKUP(V27,'[1]- DLiêu Gốc -'!$B$1:$G$121,2,0)</f>
        <v>V.07.01.02</v>
      </c>
      <c r="X27" s="263" t="str">
        <f t="shared" si="3"/>
        <v>Lương</v>
      </c>
      <c r="Y27" s="263">
        <v>1</v>
      </c>
      <c r="Z27" s="263" t="str">
        <f t="shared" si="4"/>
        <v>/</v>
      </c>
      <c r="AA27" s="263">
        <f t="shared" si="5"/>
        <v>8</v>
      </c>
      <c r="AB27" s="263">
        <f t="shared" si="6"/>
        <v>4.4000000000000004</v>
      </c>
      <c r="AC27" s="263">
        <f t="shared" si="7"/>
        <v>2</v>
      </c>
      <c r="AD27" s="263" t="str">
        <f t="shared" si="8"/>
        <v>/</v>
      </c>
      <c r="AE27" s="263">
        <f t="shared" si="9"/>
        <v>8</v>
      </c>
      <c r="AF27" s="263">
        <f t="shared" si="10"/>
        <v>4.74</v>
      </c>
      <c r="AG27" s="263" t="s">
        <v>8</v>
      </c>
      <c r="AH27" s="263"/>
      <c r="AI27" s="263" t="s">
        <v>8</v>
      </c>
      <c r="AJ27" s="263"/>
      <c r="AK27" s="145">
        <v>2014</v>
      </c>
      <c r="AL27" s="139"/>
      <c r="AM27" s="263"/>
      <c r="AN27" s="263">
        <f t="shared" si="11"/>
        <v>3</v>
      </c>
      <c r="AO27" s="172">
        <f t="shared" si="12"/>
        <v>-24169</v>
      </c>
      <c r="AP27" s="172"/>
      <c r="AQ27" s="263"/>
      <c r="AR27" s="263">
        <f>VLOOKUP(V27,'[1]- DLiêu Gốc -'!$B$1:$E$56,3,0)</f>
        <v>4.4000000000000004</v>
      </c>
      <c r="AS27" s="140">
        <f>VLOOKUP(V27,'[1]- DLiêu Gốc -'!$B$1:$E$56,4,0)</f>
        <v>0.34</v>
      </c>
      <c r="AT27" s="263"/>
      <c r="AU27" s="268" t="str">
        <f t="shared" si="13"/>
        <v>PCTN</v>
      </c>
      <c r="AV27" s="552">
        <v>16</v>
      </c>
      <c r="AW27" s="332" t="s">
        <v>31</v>
      </c>
      <c r="AX27" s="553">
        <f t="shared" si="14"/>
        <v>17</v>
      </c>
      <c r="AY27" s="269" t="s">
        <v>31</v>
      </c>
      <c r="AZ27" s="403">
        <v>8</v>
      </c>
      <c r="BA27" s="269" t="s">
        <v>9</v>
      </c>
      <c r="BB27" s="387">
        <v>2016</v>
      </c>
      <c r="BC27" s="245"/>
      <c r="BD27" s="172"/>
      <c r="BE27" s="245"/>
      <c r="BF27" s="172">
        <v>8</v>
      </c>
      <c r="BG27" s="138">
        <f t="shared" si="15"/>
        <v>-24200</v>
      </c>
      <c r="BH27" s="245" t="str">
        <f t="shared" si="16"/>
        <v>- - -</v>
      </c>
      <c r="BI27" s="137" t="str">
        <f t="shared" si="17"/>
        <v>VC</v>
      </c>
      <c r="BJ27" s="525"/>
      <c r="BK27" s="525"/>
      <c r="BL27" s="526" t="s">
        <v>79</v>
      </c>
      <c r="BM27" s="567" t="str">
        <f t="shared" si="18"/>
        <v>Chánh Văn phòng Học viện, Trưởng Ban Tổ chức - Cán bộ, Trưởng Khoa Văn bản và Công nghệ hành chính</v>
      </c>
      <c r="BN27" s="530" t="str">
        <f t="shared" si="19"/>
        <v>A</v>
      </c>
      <c r="BO27" s="567" t="str">
        <f t="shared" si="20"/>
        <v>=&gt; s</v>
      </c>
      <c r="BP27" s="525">
        <f t="shared" si="21"/>
        <v>24193</v>
      </c>
      <c r="BQ27" s="567" t="str">
        <f t="shared" si="22"/>
        <v>---</v>
      </c>
      <c r="BR27" s="536"/>
      <c r="BS27" s="536"/>
      <c r="BT27" s="541"/>
      <c r="BU27" s="524"/>
      <c r="BV27" s="524" t="str">
        <f t="shared" si="23"/>
        <v>- - -</v>
      </c>
      <c r="BW27" s="524" t="str">
        <f t="shared" si="24"/>
        <v>NN</v>
      </c>
      <c r="BX27" s="524">
        <v>1</v>
      </c>
      <c r="BY27" s="524" t="s">
        <v>26</v>
      </c>
      <c r="BZ27" s="524"/>
      <c r="CA27" s="536"/>
      <c r="CB27" s="567" t="str">
        <f t="shared" si="25"/>
        <v>- - -</v>
      </c>
      <c r="CC27" s="567"/>
      <c r="CD27" s="523"/>
      <c r="CE27" s="523"/>
      <c r="CF27" s="524"/>
      <c r="CG27" s="567" t="str">
        <f t="shared" si="26"/>
        <v>---</v>
      </c>
      <c r="CH27" s="567" t="str">
        <f t="shared" si="27"/>
        <v>/-/ /-/</v>
      </c>
      <c r="CI27" s="567">
        <f t="shared" si="28"/>
        <v>4</v>
      </c>
      <c r="CJ27" s="524">
        <f t="shared" si="29"/>
        <v>2024</v>
      </c>
      <c r="CK27" s="524">
        <f t="shared" si="30"/>
        <v>1</v>
      </c>
      <c r="CL27" s="525">
        <f t="shared" si="31"/>
        <v>2024</v>
      </c>
      <c r="CM27" s="567">
        <f t="shared" si="32"/>
        <v>10</v>
      </c>
      <c r="CN27" s="567">
        <f t="shared" si="33"/>
        <v>2023</v>
      </c>
      <c r="CO27" s="567" t="str">
        <f t="shared" si="34"/>
        <v>- - -</v>
      </c>
      <c r="CP27" s="567" t="str">
        <f t="shared" si="35"/>
        <v>. .</v>
      </c>
      <c r="CQ27" s="530"/>
      <c r="CR27" s="530">
        <f t="shared" si="36"/>
        <v>720</v>
      </c>
      <c r="CS27" s="567">
        <f t="shared" si="37"/>
        <v>-23559</v>
      </c>
      <c r="CT27" s="530">
        <f t="shared" si="38"/>
        <v>-1964</v>
      </c>
      <c r="CU27" s="524" t="str">
        <f t="shared" si="39"/>
        <v>Nam dưới 35</v>
      </c>
      <c r="CV27" s="524"/>
      <c r="CW27" s="524"/>
      <c r="CX27" s="524" t="str">
        <f t="shared" si="40"/>
        <v>Đến 30</v>
      </c>
      <c r="CY27" s="524" t="str">
        <f t="shared" si="41"/>
        <v>--</v>
      </c>
      <c r="CZ27" s="524"/>
      <c r="DA27" s="524"/>
      <c r="DB27" s="524"/>
      <c r="DC27" s="524"/>
      <c r="DD27" s="524"/>
      <c r="DE27" s="524"/>
      <c r="DF27" s="524"/>
      <c r="DG27" s="524"/>
      <c r="DH27" s="524"/>
      <c r="DI27" s="524" t="s">
        <v>195</v>
      </c>
      <c r="DJ27" s="524" t="s">
        <v>8</v>
      </c>
      <c r="DK27" s="524" t="s">
        <v>9</v>
      </c>
      <c r="DL27" s="524" t="s">
        <v>8</v>
      </c>
      <c r="DM27" s="524" t="s">
        <v>9</v>
      </c>
      <c r="DN27" s="524">
        <v>2014</v>
      </c>
      <c r="DO27" s="524">
        <f t="shared" si="42"/>
        <v>0</v>
      </c>
      <c r="DP27" s="524" t="str">
        <f t="shared" si="43"/>
        <v>- - -</v>
      </c>
      <c r="DQ27" s="524" t="s">
        <v>8</v>
      </c>
      <c r="DR27" s="524" t="s">
        <v>9</v>
      </c>
      <c r="DS27" s="524" t="s">
        <v>8</v>
      </c>
      <c r="DT27" s="524" t="s">
        <v>9</v>
      </c>
      <c r="DU27" s="524">
        <v>2014</v>
      </c>
      <c r="DV27" s="524">
        <v>3.66</v>
      </c>
      <c r="DW27" s="524" t="str">
        <f t="shared" si="44"/>
        <v>- - -</v>
      </c>
      <c r="DX27" s="524" t="str">
        <f t="shared" si="45"/>
        <v>---</v>
      </c>
      <c r="DY27" s="524"/>
      <c r="DZ27" s="524"/>
      <c r="EA27" s="524"/>
      <c r="EB27" s="524"/>
      <c r="EC27" s="524"/>
      <c r="ED27" s="524"/>
      <c r="EE27" s="524"/>
      <c r="EF27" s="524"/>
      <c r="EG27" s="524"/>
      <c r="EH27" s="524"/>
      <c r="EI27" s="524"/>
      <c r="EJ27" s="524"/>
      <c r="EK27" s="524"/>
      <c r="EL27" s="524"/>
      <c r="EM27" s="524"/>
      <c r="EN27" s="524"/>
      <c r="EO27" s="524"/>
      <c r="EP27" s="317"/>
    </row>
    <row r="28" spans="1:146" s="140" customFormat="1" ht="31.5" customHeight="1" x14ac:dyDescent="0.25">
      <c r="A28" s="137">
        <v>367</v>
      </c>
      <c r="B28" s="262">
        <v>11</v>
      </c>
      <c r="C28" s="137"/>
      <c r="D28" s="505" t="str">
        <f t="shared" si="0"/>
        <v>Bà</v>
      </c>
      <c r="E28" s="304" t="s">
        <v>196</v>
      </c>
      <c r="F28" s="265" t="s">
        <v>27</v>
      </c>
      <c r="G28" s="265" t="s">
        <v>104</v>
      </c>
      <c r="H28" s="265" t="s">
        <v>9</v>
      </c>
      <c r="I28" s="265" t="s">
        <v>75</v>
      </c>
      <c r="J28" s="137" t="s">
        <v>9</v>
      </c>
      <c r="K28" s="137" t="s">
        <v>108</v>
      </c>
      <c r="L28" s="137"/>
      <c r="M28" s="141"/>
      <c r="N28" s="386" t="e">
        <f>VLOOKUP(M28,'[1]- DLiêu Gốc -'!$B$2:$G$121,2,0)</f>
        <v>#N/A</v>
      </c>
      <c r="O28" s="404" t="s">
        <v>197</v>
      </c>
      <c r="P28" s="402" t="s">
        <v>190</v>
      </c>
      <c r="Q28" s="157" t="str">
        <f>VLOOKUP(V28,'[1]- DLiêu Gốc -'!$B$2:$G$56,5,0)</f>
        <v>A1</v>
      </c>
      <c r="R28" s="137" t="str">
        <f>VLOOKUP(V28,'[1]- DLiêu Gốc -'!$B$2:$G$56,6,0)</f>
        <v>- - -</v>
      </c>
      <c r="S28" s="266" t="s">
        <v>28</v>
      </c>
      <c r="T28" s="267" t="str">
        <f t="shared" si="1"/>
        <v>Giảng viên (hạng III)</v>
      </c>
      <c r="U28" s="172" t="str">
        <f t="shared" si="2"/>
        <v>V.07.01.03</v>
      </c>
      <c r="V28" s="139" t="s">
        <v>29</v>
      </c>
      <c r="W28" s="263" t="str">
        <f>VLOOKUP(V28,'[1]- DLiêu Gốc -'!$B$1:$G$121,2,0)</f>
        <v>V.07.01.03</v>
      </c>
      <c r="X28" s="263" t="str">
        <f t="shared" si="3"/>
        <v>Lương</v>
      </c>
      <c r="Y28" s="263">
        <v>2</v>
      </c>
      <c r="Z28" s="263" t="str">
        <f t="shared" si="4"/>
        <v>/</v>
      </c>
      <c r="AA28" s="263">
        <f t="shared" si="5"/>
        <v>9</v>
      </c>
      <c r="AB28" s="263">
        <f t="shared" si="6"/>
        <v>2.67</v>
      </c>
      <c r="AC28" s="263">
        <f t="shared" si="7"/>
        <v>3</v>
      </c>
      <c r="AD28" s="263" t="str">
        <f t="shared" si="8"/>
        <v>/</v>
      </c>
      <c r="AE28" s="263">
        <f t="shared" si="9"/>
        <v>9</v>
      </c>
      <c r="AF28" s="263">
        <f t="shared" si="10"/>
        <v>3</v>
      </c>
      <c r="AG28" s="263" t="s">
        <v>8</v>
      </c>
      <c r="AH28" s="263" t="s">
        <v>9</v>
      </c>
      <c r="AI28" s="263" t="s">
        <v>78</v>
      </c>
      <c r="AJ28" s="263" t="s">
        <v>9</v>
      </c>
      <c r="AK28" s="145">
        <v>2013</v>
      </c>
      <c r="AL28" s="139"/>
      <c r="AM28" s="263"/>
      <c r="AN28" s="263">
        <f t="shared" si="11"/>
        <v>3</v>
      </c>
      <c r="AO28" s="172">
        <f t="shared" si="12"/>
        <v>-24165</v>
      </c>
      <c r="AP28" s="172"/>
      <c r="AQ28" s="263"/>
      <c r="AR28" s="263">
        <f>VLOOKUP(V28,'[1]- DLiêu Gốc -'!$B$1:$E$56,3,0)</f>
        <v>2.34</v>
      </c>
      <c r="AS28" s="140">
        <f>VLOOKUP(V28,'[1]- DLiêu Gốc -'!$B$1:$E$56,4,0)</f>
        <v>0.33</v>
      </c>
      <c r="AT28" s="263"/>
      <c r="AU28" s="268" t="str">
        <f t="shared" si="13"/>
        <v>PCTN</v>
      </c>
      <c r="AV28" s="552">
        <v>8</v>
      </c>
      <c r="AW28" s="332" t="s">
        <v>31</v>
      </c>
      <c r="AX28" s="553">
        <f t="shared" si="14"/>
        <v>9</v>
      </c>
      <c r="AY28" s="269" t="s">
        <v>31</v>
      </c>
      <c r="AZ28" s="403">
        <v>8</v>
      </c>
      <c r="BA28" s="269" t="s">
        <v>9</v>
      </c>
      <c r="BB28" s="387">
        <v>2016</v>
      </c>
      <c r="BC28" s="245"/>
      <c r="BD28" s="172"/>
      <c r="BE28" s="245"/>
      <c r="BF28" s="172">
        <v>8</v>
      </c>
      <c r="BG28" s="138">
        <f t="shared" si="15"/>
        <v>-24200</v>
      </c>
      <c r="BH28" s="245" t="str">
        <f t="shared" si="16"/>
        <v>- - -</v>
      </c>
      <c r="BI28" s="137" t="str">
        <f t="shared" si="17"/>
        <v>VC</v>
      </c>
      <c r="BJ28" s="525"/>
      <c r="BK28" s="525"/>
      <c r="BL28" s="526" t="s">
        <v>79</v>
      </c>
      <c r="BM28" s="567" t="str">
        <f t="shared" si="18"/>
        <v>Chánh Văn phòng Học viện, Trưởng Ban Tổ chức - Cán bộ, Trưởng Khoa Văn bản và Công nghệ hành chính</v>
      </c>
      <c r="BN28" s="530" t="str">
        <f t="shared" si="19"/>
        <v>A</v>
      </c>
      <c r="BO28" s="567" t="str">
        <f t="shared" si="20"/>
        <v>=&gt; s</v>
      </c>
      <c r="BP28" s="525">
        <f t="shared" si="21"/>
        <v>24189</v>
      </c>
      <c r="BQ28" s="567" t="str">
        <f t="shared" si="22"/>
        <v>---</v>
      </c>
      <c r="BR28" s="536"/>
      <c r="BS28" s="536"/>
      <c r="BT28" s="541"/>
      <c r="BU28" s="524"/>
      <c r="BV28" s="524" t="str">
        <f t="shared" si="23"/>
        <v>- - -</v>
      </c>
      <c r="BW28" s="524" t="str">
        <f t="shared" si="24"/>
        <v>- - -</v>
      </c>
      <c r="BX28" s="524"/>
      <c r="BY28" s="524"/>
      <c r="BZ28" s="524"/>
      <c r="CA28" s="536"/>
      <c r="CB28" s="567" t="str">
        <f t="shared" si="25"/>
        <v>CN</v>
      </c>
      <c r="CC28" s="567">
        <v>6</v>
      </c>
      <c r="CD28" s="523">
        <v>2013</v>
      </c>
      <c r="CE28" s="523"/>
      <c r="CF28" s="524"/>
      <c r="CG28" s="567" t="str">
        <f t="shared" si="26"/>
        <v>---</v>
      </c>
      <c r="CH28" s="567" t="str">
        <f t="shared" si="27"/>
        <v>/-/ /-/</v>
      </c>
      <c r="CI28" s="567">
        <f t="shared" si="28"/>
        <v>4</v>
      </c>
      <c r="CJ28" s="524">
        <f t="shared" si="29"/>
        <v>2034</v>
      </c>
      <c r="CK28" s="524">
        <f t="shared" si="30"/>
        <v>1</v>
      </c>
      <c r="CL28" s="525">
        <f t="shared" si="31"/>
        <v>2034</v>
      </c>
      <c r="CM28" s="567">
        <f t="shared" si="32"/>
        <v>10</v>
      </c>
      <c r="CN28" s="567">
        <f t="shared" si="33"/>
        <v>2033</v>
      </c>
      <c r="CO28" s="567" t="str">
        <f t="shared" si="34"/>
        <v>- - -</v>
      </c>
      <c r="CP28" s="567" t="str">
        <f t="shared" si="35"/>
        <v>. .</v>
      </c>
      <c r="CQ28" s="530"/>
      <c r="CR28" s="530">
        <f t="shared" si="36"/>
        <v>660</v>
      </c>
      <c r="CS28" s="567">
        <f t="shared" si="37"/>
        <v>-23739</v>
      </c>
      <c r="CT28" s="530">
        <f t="shared" si="38"/>
        <v>-1979</v>
      </c>
      <c r="CU28" s="524" t="str">
        <f t="shared" si="39"/>
        <v>Nữ dưới 30</v>
      </c>
      <c r="CV28" s="524"/>
      <c r="CW28" s="524"/>
      <c r="CX28" s="524" t="str">
        <f t="shared" si="40"/>
        <v>Đến 30</v>
      </c>
      <c r="CY28" s="524" t="str">
        <f t="shared" si="41"/>
        <v>--</v>
      </c>
      <c r="CZ28" s="524"/>
      <c r="DA28" s="524" t="s">
        <v>183</v>
      </c>
      <c r="DB28" s="524">
        <v>6</v>
      </c>
      <c r="DC28" s="524">
        <v>2013</v>
      </c>
      <c r="DD28" s="524"/>
      <c r="DE28" s="524"/>
      <c r="DF28" s="524"/>
      <c r="DG28" s="524"/>
      <c r="DH28" s="524"/>
      <c r="DI28" s="524" t="s">
        <v>197</v>
      </c>
      <c r="DJ28" s="524" t="s">
        <v>8</v>
      </c>
      <c r="DK28" s="524" t="s">
        <v>9</v>
      </c>
      <c r="DL28" s="524" t="s">
        <v>78</v>
      </c>
      <c r="DM28" s="524" t="s">
        <v>9</v>
      </c>
      <c r="DN28" s="524">
        <v>2013</v>
      </c>
      <c r="DO28" s="524">
        <f t="shared" si="42"/>
        <v>0</v>
      </c>
      <c r="DP28" s="524" t="str">
        <f t="shared" si="43"/>
        <v>- - -</v>
      </c>
      <c r="DQ28" s="524" t="s">
        <v>8</v>
      </c>
      <c r="DR28" s="524" t="s">
        <v>9</v>
      </c>
      <c r="DS28" s="524" t="s">
        <v>78</v>
      </c>
      <c r="DT28" s="524" t="s">
        <v>9</v>
      </c>
      <c r="DU28" s="524">
        <v>2013</v>
      </c>
      <c r="DV28" s="524"/>
      <c r="DW28" s="524" t="str">
        <f t="shared" si="44"/>
        <v>- - -</v>
      </c>
      <c r="DX28" s="524" t="str">
        <f t="shared" si="45"/>
        <v>---</v>
      </c>
      <c r="DY28" s="524"/>
      <c r="DZ28" s="524"/>
      <c r="EA28" s="524"/>
      <c r="EB28" s="524"/>
      <c r="EC28" s="524"/>
      <c r="ED28" s="524"/>
      <c r="EE28" s="524"/>
      <c r="EF28" s="524"/>
      <c r="EG28" s="524"/>
      <c r="EH28" s="524"/>
      <c r="EI28" s="524"/>
      <c r="EJ28" s="524"/>
      <c r="EK28" s="524"/>
      <c r="EL28" s="524"/>
      <c r="EM28" s="524"/>
      <c r="EN28" s="524"/>
      <c r="EO28" s="524"/>
      <c r="EP28" s="317"/>
    </row>
    <row r="29" spans="1:146" s="140" customFormat="1" ht="48" customHeight="1" x14ac:dyDescent="0.25">
      <c r="A29" s="137">
        <v>623</v>
      </c>
      <c r="B29" s="262">
        <v>12</v>
      </c>
      <c r="C29" s="137"/>
      <c r="D29" s="505" t="str">
        <f t="shared" si="0"/>
        <v>Bà</v>
      </c>
      <c r="E29" s="304" t="s">
        <v>198</v>
      </c>
      <c r="F29" s="265" t="s">
        <v>27</v>
      </c>
      <c r="G29" s="265" t="s">
        <v>93</v>
      </c>
      <c r="H29" s="265" t="s">
        <v>9</v>
      </c>
      <c r="I29" s="265" t="s">
        <v>25</v>
      </c>
      <c r="J29" s="137" t="s">
        <v>9</v>
      </c>
      <c r="K29" s="137" t="s">
        <v>152</v>
      </c>
      <c r="L29" s="137" t="str">
        <f>IF(AND((N29+0)&gt;0.3,(N29+0)&lt;1.5),"CVụ","- -")</f>
        <v>CVụ</v>
      </c>
      <c r="M29" s="141" t="s">
        <v>176</v>
      </c>
      <c r="N29" s="386" t="str">
        <f>VLOOKUP(M29,'[1]- DLiêu Gốc -'!$B$2:$G$121,2,0)</f>
        <v>0,8</v>
      </c>
      <c r="O29" s="401" t="s">
        <v>199</v>
      </c>
      <c r="P29" s="402" t="s">
        <v>83</v>
      </c>
      <c r="Q29" s="157" t="str">
        <f>VLOOKUP(V29,'[1]- DLiêu Gốc -'!$B$2:$G$56,5,0)</f>
        <v>A1</v>
      </c>
      <c r="R29" s="137" t="str">
        <f>VLOOKUP(V29,'[1]- DLiêu Gốc -'!$B$2:$G$56,6,0)</f>
        <v>- - -</v>
      </c>
      <c r="S29" s="266" t="s">
        <v>28</v>
      </c>
      <c r="T29" s="267" t="str">
        <f t="shared" si="1"/>
        <v>Giảng viên (hạng III)</v>
      </c>
      <c r="U29" s="172" t="str">
        <f t="shared" si="2"/>
        <v>V.07.01.03</v>
      </c>
      <c r="V29" s="139" t="s">
        <v>29</v>
      </c>
      <c r="W29" s="263" t="str">
        <f>VLOOKUP(V29,'[1]- DLiêu Gốc -'!$B$1:$G$121,2,0)</f>
        <v>V.07.01.03</v>
      </c>
      <c r="X29" s="263" t="str">
        <f t="shared" si="3"/>
        <v>Lương</v>
      </c>
      <c r="Y29" s="263">
        <v>6</v>
      </c>
      <c r="Z29" s="263" t="str">
        <f t="shared" si="4"/>
        <v>/</v>
      </c>
      <c r="AA29" s="263">
        <f t="shared" si="5"/>
        <v>9</v>
      </c>
      <c r="AB29" s="263">
        <f t="shared" si="6"/>
        <v>3.99</v>
      </c>
      <c r="AC29" s="263">
        <f t="shared" si="7"/>
        <v>7</v>
      </c>
      <c r="AD29" s="263" t="str">
        <f t="shared" si="8"/>
        <v>/</v>
      </c>
      <c r="AE29" s="263">
        <f t="shared" si="9"/>
        <v>9</v>
      </c>
      <c r="AF29" s="263">
        <f t="shared" si="10"/>
        <v>4.32</v>
      </c>
      <c r="AG29" s="263" t="s">
        <v>8</v>
      </c>
      <c r="AH29" s="263" t="s">
        <v>9</v>
      </c>
      <c r="AI29" s="263" t="s">
        <v>37</v>
      </c>
      <c r="AJ29" s="263" t="s">
        <v>9</v>
      </c>
      <c r="AK29" s="145">
        <v>2014</v>
      </c>
      <c r="AL29" s="139"/>
      <c r="AM29" s="263">
        <v>10</v>
      </c>
      <c r="AN29" s="263">
        <f t="shared" si="11"/>
        <v>3</v>
      </c>
      <c r="AO29" s="172">
        <f t="shared" si="12"/>
        <v>-24178</v>
      </c>
      <c r="AP29" s="172"/>
      <c r="AQ29" s="263"/>
      <c r="AR29" s="263">
        <f>VLOOKUP(V29,'[1]- DLiêu Gốc -'!$B$1:$E$56,3,0)</f>
        <v>2.34</v>
      </c>
      <c r="AS29" s="140">
        <f>VLOOKUP(V29,'[1]- DLiêu Gốc -'!$B$1:$E$56,4,0)</f>
        <v>0.33</v>
      </c>
      <c r="AT29" s="263"/>
      <c r="AU29" s="268" t="str">
        <f t="shared" si="13"/>
        <v>PCTN</v>
      </c>
      <c r="AV29" s="552">
        <v>13</v>
      </c>
      <c r="AW29" s="552" t="s">
        <v>31</v>
      </c>
      <c r="AX29" s="553">
        <f t="shared" si="14"/>
        <v>14</v>
      </c>
      <c r="AY29" s="269" t="s">
        <v>31</v>
      </c>
      <c r="AZ29" s="403">
        <v>8</v>
      </c>
      <c r="BA29" s="269" t="s">
        <v>9</v>
      </c>
      <c r="BB29" s="387">
        <v>2016</v>
      </c>
      <c r="BC29" s="405"/>
      <c r="BD29" s="172"/>
      <c r="BE29" s="405"/>
      <c r="BF29" s="172">
        <v>8</v>
      </c>
      <c r="BG29" s="138">
        <f t="shared" si="15"/>
        <v>-24200</v>
      </c>
      <c r="BH29" s="405" t="str">
        <f t="shared" si="16"/>
        <v>- - -</v>
      </c>
      <c r="BI29" s="137" t="str">
        <f t="shared" si="17"/>
        <v>VC</v>
      </c>
      <c r="BJ29" s="525"/>
      <c r="BK29" s="525"/>
      <c r="BL29" s="526" t="s">
        <v>79</v>
      </c>
      <c r="BM29" s="567" t="str">
        <f t="shared" si="18"/>
        <v>Chánh Văn phòng Học viện, Trưởng Ban Tổ chức - Cán bộ, Thủ trưởng Cơ sở Học viện Hành chính Quốc gia tại Thành phố Hồ Chí Minh</v>
      </c>
      <c r="BN29" s="530" t="str">
        <f t="shared" si="19"/>
        <v>A</v>
      </c>
      <c r="BO29" s="567" t="str">
        <f t="shared" si="20"/>
        <v>=&gt; s</v>
      </c>
      <c r="BP29" s="525">
        <f t="shared" si="21"/>
        <v>24202</v>
      </c>
      <c r="BQ29" s="567" t="str">
        <f t="shared" si="22"/>
        <v>S</v>
      </c>
      <c r="BR29" s="536">
        <v>2014</v>
      </c>
      <c r="BS29" s="536"/>
      <c r="BT29" s="541"/>
      <c r="BU29" s="524"/>
      <c r="BV29" s="524" t="str">
        <f t="shared" si="23"/>
        <v>- - -</v>
      </c>
      <c r="BW29" s="524" t="str">
        <f t="shared" si="24"/>
        <v>- - -</v>
      </c>
      <c r="BX29" s="524"/>
      <c r="BY29" s="524"/>
      <c r="BZ29" s="524"/>
      <c r="CA29" s="536"/>
      <c r="CB29" s="567" t="str">
        <f t="shared" si="25"/>
        <v>- - -</v>
      </c>
      <c r="CC29" s="567"/>
      <c r="CD29" s="523"/>
      <c r="CE29" s="523"/>
      <c r="CF29" s="524"/>
      <c r="CG29" s="567" t="str">
        <f t="shared" si="26"/>
        <v>---</v>
      </c>
      <c r="CH29" s="567" t="str">
        <f t="shared" si="27"/>
        <v>/-/ /-/</v>
      </c>
      <c r="CI29" s="567">
        <f t="shared" si="28"/>
        <v>9</v>
      </c>
      <c r="CJ29" s="524">
        <f t="shared" si="29"/>
        <v>2023</v>
      </c>
      <c r="CK29" s="524">
        <f t="shared" si="30"/>
        <v>6</v>
      </c>
      <c r="CL29" s="525">
        <f t="shared" si="31"/>
        <v>2023</v>
      </c>
      <c r="CM29" s="567">
        <f t="shared" si="32"/>
        <v>3</v>
      </c>
      <c r="CN29" s="567">
        <f t="shared" si="33"/>
        <v>2023</v>
      </c>
      <c r="CO29" s="567" t="str">
        <f t="shared" si="34"/>
        <v>- - -</v>
      </c>
      <c r="CP29" s="567" t="str">
        <f t="shared" si="35"/>
        <v>. .</v>
      </c>
      <c r="CQ29" s="530"/>
      <c r="CR29" s="530">
        <f t="shared" si="36"/>
        <v>660</v>
      </c>
      <c r="CS29" s="567">
        <f t="shared" si="37"/>
        <v>-23612</v>
      </c>
      <c r="CT29" s="530">
        <f t="shared" si="38"/>
        <v>-1968</v>
      </c>
      <c r="CU29" s="524" t="str">
        <f t="shared" si="39"/>
        <v>Nữ dưới 30</v>
      </c>
      <c r="CV29" s="524"/>
      <c r="CW29" s="524"/>
      <c r="CX29" s="524" t="str">
        <f t="shared" si="40"/>
        <v>Đến 30</v>
      </c>
      <c r="CY29" s="524" t="str">
        <f t="shared" si="41"/>
        <v>--</v>
      </c>
      <c r="CZ29" s="524"/>
      <c r="DA29" s="524"/>
      <c r="DB29" s="524"/>
      <c r="DC29" s="524"/>
      <c r="DD29" s="524"/>
      <c r="DE29" s="524"/>
      <c r="DF29" s="524"/>
      <c r="DG29" s="524"/>
      <c r="DH29" s="524"/>
      <c r="DI29" s="524" t="s">
        <v>199</v>
      </c>
      <c r="DJ29" s="524" t="s">
        <v>8</v>
      </c>
      <c r="DK29" s="524" t="s">
        <v>9</v>
      </c>
      <c r="DL29" s="524" t="s">
        <v>10</v>
      </c>
      <c r="DM29" s="524" t="s">
        <v>9</v>
      </c>
      <c r="DN29" s="524">
        <v>2012</v>
      </c>
      <c r="DO29" s="524">
        <f t="shared" si="42"/>
        <v>0</v>
      </c>
      <c r="DP29" s="524" t="str">
        <f t="shared" si="43"/>
        <v>- - -</v>
      </c>
      <c r="DQ29" s="524" t="s">
        <v>8</v>
      </c>
      <c r="DR29" s="524" t="s">
        <v>9</v>
      </c>
      <c r="DS29" s="524" t="s">
        <v>10</v>
      </c>
      <c r="DT29" s="524" t="s">
        <v>9</v>
      </c>
      <c r="DU29" s="524">
        <v>2012</v>
      </c>
      <c r="DV29" s="524"/>
      <c r="DW29" s="524" t="str">
        <f t="shared" si="44"/>
        <v>- - -</v>
      </c>
      <c r="DX29" s="524" t="str">
        <f t="shared" si="45"/>
        <v>---</v>
      </c>
      <c r="DY29" s="524"/>
      <c r="DZ29" s="524"/>
      <c r="EA29" s="524"/>
      <c r="EB29" s="524"/>
      <c r="EC29" s="524"/>
      <c r="ED29" s="524"/>
      <c r="EE29" s="524"/>
      <c r="EF29" s="524"/>
      <c r="EG29" s="524"/>
      <c r="EH29" s="524"/>
      <c r="EI29" s="524"/>
      <c r="EJ29" s="524"/>
      <c r="EK29" s="524"/>
      <c r="EL29" s="524"/>
      <c r="EM29" s="524"/>
      <c r="EN29" s="524"/>
      <c r="EO29" s="524"/>
      <c r="EP29" s="317"/>
    </row>
    <row r="30" spans="1:146" s="2" customFormat="1" ht="21.75" customHeight="1" x14ac:dyDescent="0.3">
      <c r="B30" s="319" t="s">
        <v>38</v>
      </c>
      <c r="D30" s="320"/>
      <c r="F30" s="321"/>
      <c r="J30" s="322"/>
      <c r="K30" s="322"/>
      <c r="L30" s="322"/>
      <c r="M30" s="322"/>
      <c r="N30" s="320"/>
      <c r="O30" s="323"/>
      <c r="P30" s="323"/>
      <c r="Q30" s="323"/>
      <c r="R30" s="323"/>
      <c r="T30" s="441" t="s">
        <v>39</v>
      </c>
      <c r="U30" s="441"/>
      <c r="V30" s="441"/>
      <c r="W30" s="441"/>
      <c r="X30" s="441"/>
      <c r="Y30" s="441"/>
      <c r="Z30" s="441"/>
      <c r="AA30" s="441"/>
      <c r="AB30" s="441"/>
      <c r="AC30" s="441"/>
      <c r="AD30" s="441"/>
      <c r="AE30" s="441"/>
      <c r="AF30" s="441"/>
      <c r="AG30" s="441"/>
      <c r="AH30" s="441"/>
      <c r="AI30" s="441"/>
      <c r="AJ30" s="441"/>
      <c r="AK30" s="441"/>
      <c r="AL30" s="441"/>
      <c r="AM30" s="441"/>
      <c r="AN30" s="441"/>
      <c r="AO30" s="441"/>
      <c r="AP30" s="441"/>
      <c r="AQ30" s="441"/>
      <c r="AR30" s="441"/>
      <c r="AS30" s="441"/>
      <c r="AT30" s="441"/>
      <c r="AU30" s="441"/>
      <c r="AV30" s="441"/>
      <c r="AW30" s="441"/>
      <c r="AX30" s="441"/>
      <c r="AY30" s="441"/>
      <c r="AZ30" s="441"/>
      <c r="BA30" s="441"/>
      <c r="BB30" s="441"/>
      <c r="BC30" s="441"/>
      <c r="BD30" s="441"/>
      <c r="BE30" s="441"/>
      <c r="BF30" s="441"/>
      <c r="BG30" s="441"/>
      <c r="BH30" s="441"/>
      <c r="BI30" s="441"/>
      <c r="BJ30" s="324"/>
      <c r="BK30" s="324"/>
      <c r="BL30" s="324"/>
      <c r="BM30" s="324"/>
      <c r="BN30" s="324"/>
      <c r="BO30" s="324"/>
      <c r="BP30" s="324"/>
      <c r="BQ30" s="324"/>
      <c r="BR30" s="324"/>
      <c r="BS30" s="324"/>
      <c r="BT30" s="324"/>
      <c r="BU30" s="324"/>
      <c r="BV30" s="324"/>
      <c r="BW30" s="324"/>
      <c r="BX30" s="324"/>
      <c r="BY30" s="324"/>
      <c r="BZ30" s="324"/>
      <c r="CA30" s="324"/>
      <c r="CB30" s="324"/>
      <c r="CC30" s="324"/>
      <c r="CD30" s="324"/>
      <c r="CE30" s="324"/>
      <c r="CF30" s="324"/>
      <c r="CG30" s="324"/>
      <c r="CH30" s="324"/>
      <c r="CI30" s="324"/>
      <c r="CJ30" s="324"/>
      <c r="CK30" s="324"/>
      <c r="CL30" s="324"/>
      <c r="CM30" s="324"/>
      <c r="CN30" s="324"/>
      <c r="CO30" s="324"/>
      <c r="CP30" s="324"/>
      <c r="CQ30" s="324"/>
      <c r="CR30" s="324"/>
      <c r="CS30" s="324"/>
      <c r="CT30" s="324"/>
      <c r="CU30" s="324"/>
      <c r="CV30" s="324"/>
      <c r="CW30" s="324"/>
      <c r="CX30" s="324"/>
      <c r="CY30" s="324"/>
      <c r="CZ30" s="324"/>
      <c r="DA30" s="324"/>
      <c r="DB30" s="324"/>
      <c r="DC30" s="324"/>
      <c r="DD30" s="324"/>
      <c r="DE30" s="324"/>
      <c r="DF30" s="324"/>
      <c r="DG30" s="324"/>
      <c r="DH30" s="324"/>
      <c r="DI30" s="324"/>
      <c r="DJ30" s="324"/>
      <c r="DK30" s="324"/>
      <c r="DL30" s="324"/>
      <c r="DM30" s="324"/>
      <c r="DN30" s="324"/>
      <c r="DO30" s="324"/>
      <c r="DP30" s="324"/>
    </row>
    <row r="31" spans="1:146" s="273" customFormat="1" ht="15.75" customHeight="1" x14ac:dyDescent="0.2">
      <c r="A31" s="228"/>
      <c r="B31" s="271" t="s">
        <v>40</v>
      </c>
      <c r="C31" s="272"/>
      <c r="D31" s="235"/>
      <c r="F31" s="274"/>
      <c r="G31" s="228"/>
      <c r="H31" s="228"/>
      <c r="J31" s="275"/>
      <c r="K31" s="275"/>
      <c r="L31" s="275"/>
      <c r="M31" s="275"/>
      <c r="N31" s="235"/>
      <c r="O31" s="276"/>
      <c r="P31" s="276"/>
      <c r="Q31" s="276"/>
      <c r="R31" s="276"/>
      <c r="T31" s="443" t="s">
        <v>41</v>
      </c>
      <c r="U31" s="443"/>
      <c r="V31" s="443"/>
      <c r="W31" s="443"/>
      <c r="X31" s="443"/>
      <c r="Y31" s="443"/>
      <c r="Z31" s="443"/>
      <c r="AA31" s="443"/>
      <c r="AB31" s="443"/>
      <c r="AC31" s="443"/>
      <c r="AD31" s="443"/>
      <c r="AE31" s="443"/>
      <c r="AF31" s="443"/>
      <c r="AG31" s="443"/>
      <c r="AH31" s="443"/>
      <c r="AI31" s="443"/>
      <c r="AJ31" s="443"/>
      <c r="AK31" s="443"/>
      <c r="AL31" s="443"/>
      <c r="AM31" s="443"/>
      <c r="AN31" s="443"/>
      <c r="AO31" s="443"/>
      <c r="AP31" s="443"/>
      <c r="AQ31" s="443"/>
      <c r="AR31" s="443"/>
      <c r="AS31" s="443"/>
      <c r="AT31" s="443"/>
      <c r="AU31" s="443"/>
      <c r="AV31" s="443"/>
      <c r="AW31" s="443"/>
      <c r="AX31" s="443"/>
      <c r="AY31" s="443"/>
      <c r="AZ31" s="443"/>
      <c r="BA31" s="443"/>
      <c r="BB31" s="443"/>
      <c r="BC31" s="443"/>
      <c r="BD31" s="443"/>
      <c r="BE31" s="443"/>
      <c r="BF31" s="443"/>
      <c r="BG31" s="443"/>
      <c r="BH31" s="443"/>
      <c r="BI31" s="443"/>
      <c r="BJ31" s="278"/>
      <c r="BK31" s="278"/>
      <c r="BL31" s="278"/>
      <c r="BM31" s="278"/>
      <c r="BN31" s="278"/>
      <c r="BO31" s="278"/>
      <c r="BP31" s="278"/>
      <c r="BQ31" s="278"/>
      <c r="BR31" s="278"/>
      <c r="BS31" s="278"/>
      <c r="BT31" s="278"/>
      <c r="BU31" s="278"/>
      <c r="BV31" s="278"/>
      <c r="BW31" s="278"/>
      <c r="BX31" s="278"/>
      <c r="BY31" s="278"/>
    </row>
    <row r="32" spans="1:146" s="273" customFormat="1" ht="15.75" customHeight="1" x14ac:dyDescent="0.2">
      <c r="A32" s="228"/>
      <c r="B32" s="271" t="s">
        <v>42</v>
      </c>
      <c r="C32" s="272"/>
      <c r="D32" s="235"/>
      <c r="F32" s="274"/>
      <c r="G32" s="228"/>
      <c r="H32" s="228"/>
      <c r="J32" s="228"/>
      <c r="K32" s="228"/>
      <c r="L32" s="228"/>
      <c r="M32" s="228"/>
      <c r="N32" s="235"/>
      <c r="O32" s="235"/>
      <c r="P32" s="228"/>
      <c r="Q32" s="228"/>
      <c r="R32" s="228"/>
      <c r="T32" s="443"/>
      <c r="U32" s="443"/>
      <c r="V32" s="443"/>
      <c r="W32" s="443"/>
      <c r="X32" s="443"/>
      <c r="Y32" s="443"/>
      <c r="Z32" s="443"/>
      <c r="AA32" s="443"/>
      <c r="AB32" s="443"/>
      <c r="AC32" s="443"/>
      <c r="AD32" s="443"/>
      <c r="AE32" s="443"/>
      <c r="AF32" s="443"/>
      <c r="AG32" s="443"/>
      <c r="AH32" s="443"/>
      <c r="AI32" s="443"/>
      <c r="AJ32" s="443"/>
      <c r="AK32" s="443"/>
      <c r="AL32" s="443"/>
      <c r="AM32" s="443"/>
      <c r="AN32" s="443"/>
      <c r="AO32" s="443"/>
      <c r="AP32" s="443"/>
      <c r="AQ32" s="443"/>
      <c r="AR32" s="443"/>
      <c r="AS32" s="443"/>
      <c r="AT32" s="443"/>
      <c r="AU32" s="443"/>
      <c r="AV32" s="443"/>
      <c r="AW32" s="443"/>
      <c r="AX32" s="443"/>
      <c r="AY32" s="443"/>
      <c r="AZ32" s="443"/>
      <c r="BA32" s="443"/>
      <c r="BB32" s="443"/>
      <c r="BC32" s="443"/>
      <c r="BD32" s="443"/>
      <c r="BE32" s="443"/>
      <c r="BF32" s="443"/>
      <c r="BG32" s="443"/>
      <c r="BH32" s="443"/>
      <c r="BI32" s="443"/>
      <c r="BJ32" s="278"/>
      <c r="BK32" s="278"/>
      <c r="BL32" s="278"/>
      <c r="BM32" s="278"/>
      <c r="BN32" s="278"/>
      <c r="BO32" s="278"/>
      <c r="BP32" s="278"/>
      <c r="BQ32" s="278"/>
      <c r="BR32" s="278"/>
      <c r="BS32" s="278"/>
      <c r="BT32" s="278"/>
      <c r="BU32" s="278"/>
      <c r="BV32" s="278"/>
      <c r="BW32" s="278"/>
      <c r="BX32" s="278"/>
      <c r="BY32" s="278"/>
    </row>
    <row r="33" spans="1:77" s="228" customFormat="1" ht="12.75" customHeight="1" x14ac:dyDescent="0.2">
      <c r="B33" s="271" t="s">
        <v>44</v>
      </c>
      <c r="D33" s="235"/>
      <c r="N33" s="235"/>
      <c r="O33" s="235"/>
      <c r="T33" s="444" t="s">
        <v>76</v>
      </c>
      <c r="U33" s="444"/>
      <c r="V33" s="444"/>
      <c r="W33" s="444"/>
      <c r="X33" s="444"/>
      <c r="Y33" s="444"/>
      <c r="Z33" s="444"/>
      <c r="AA33" s="444"/>
      <c r="AB33" s="444"/>
      <c r="AC33" s="444"/>
      <c r="AD33" s="444"/>
      <c r="AE33" s="444"/>
      <c r="AF33" s="444"/>
      <c r="AG33" s="444"/>
      <c r="AH33" s="444"/>
      <c r="AI33" s="444"/>
      <c r="AJ33" s="444"/>
      <c r="AK33" s="444"/>
      <c r="AL33" s="444"/>
      <c r="AM33" s="444"/>
      <c r="AN33" s="444"/>
      <c r="AO33" s="444"/>
      <c r="AP33" s="444"/>
      <c r="AQ33" s="444"/>
      <c r="AR33" s="444"/>
      <c r="AS33" s="444"/>
      <c r="AT33" s="444"/>
      <c r="AU33" s="444"/>
      <c r="AV33" s="444"/>
      <c r="AW33" s="444"/>
      <c r="AX33" s="444"/>
      <c r="AY33" s="444"/>
      <c r="AZ33" s="444"/>
      <c r="BA33" s="444"/>
      <c r="BB33" s="444"/>
      <c r="BC33" s="444"/>
      <c r="BD33" s="444"/>
      <c r="BE33" s="444"/>
      <c r="BF33" s="444"/>
      <c r="BG33" s="444"/>
      <c r="BH33" s="444"/>
      <c r="BI33" s="444"/>
      <c r="BJ33" s="245"/>
      <c r="BK33" s="245"/>
      <c r="BL33" s="245"/>
      <c r="BM33" s="245"/>
      <c r="BN33" s="245"/>
      <c r="BO33" s="245"/>
      <c r="BP33" s="245"/>
      <c r="BQ33" s="245"/>
      <c r="BR33" s="245"/>
      <c r="BS33" s="245"/>
      <c r="BT33" s="245"/>
      <c r="BU33" s="245"/>
      <c r="BV33" s="245"/>
      <c r="BW33" s="245"/>
      <c r="BX33" s="245"/>
      <c r="BY33" s="245"/>
    </row>
    <row r="34" spans="1:77" s="273" customFormat="1" ht="0.75" customHeight="1" x14ac:dyDescent="0.25">
      <c r="A34" s="228"/>
      <c r="C34" s="272"/>
      <c r="D34" s="235"/>
      <c r="F34" s="274"/>
      <c r="G34" s="228"/>
      <c r="H34" s="228"/>
      <c r="J34" s="228"/>
      <c r="K34" s="228"/>
      <c r="L34" s="228"/>
      <c r="M34" s="228"/>
      <c r="N34" s="235"/>
      <c r="O34" s="235"/>
      <c r="P34" s="228"/>
      <c r="Q34" s="228"/>
      <c r="R34" s="228"/>
      <c r="T34" s="277"/>
    </row>
    <row r="35" spans="1:77" s="228" customFormat="1" ht="18.75" customHeight="1" x14ac:dyDescent="0.25">
      <c r="B35" s="243"/>
      <c r="D35" s="235"/>
      <c r="F35" s="270"/>
      <c r="N35" s="235"/>
      <c r="O35" s="235"/>
      <c r="T35" s="430" t="s">
        <v>88</v>
      </c>
      <c r="U35" s="430"/>
      <c r="V35" s="430"/>
      <c r="W35" s="430"/>
      <c r="X35" s="430"/>
      <c r="Y35" s="430"/>
      <c r="Z35" s="430"/>
      <c r="AA35" s="430"/>
      <c r="AB35" s="430"/>
      <c r="AC35" s="430"/>
      <c r="AD35" s="430"/>
      <c r="AE35" s="430"/>
      <c r="AF35" s="430"/>
      <c r="AG35" s="430"/>
      <c r="AH35" s="430"/>
      <c r="AI35" s="430"/>
      <c r="AJ35" s="430"/>
      <c r="AK35" s="430"/>
      <c r="AL35" s="430"/>
      <c r="AM35" s="430"/>
      <c r="AN35" s="430"/>
      <c r="AO35" s="430"/>
      <c r="AP35" s="430"/>
      <c r="AQ35" s="430"/>
      <c r="AR35" s="430"/>
      <c r="AS35" s="430"/>
      <c r="AT35" s="430"/>
      <c r="AU35" s="430"/>
      <c r="AV35" s="430"/>
      <c r="AW35" s="430"/>
      <c r="AX35" s="430"/>
      <c r="AY35" s="430"/>
      <c r="AZ35" s="430"/>
      <c r="BA35" s="430"/>
      <c r="BB35" s="430"/>
      <c r="BC35" s="430"/>
      <c r="BD35" s="430"/>
      <c r="BE35" s="430"/>
      <c r="BF35" s="430"/>
      <c r="BG35" s="430"/>
      <c r="BH35" s="430"/>
      <c r="BI35" s="430"/>
    </row>
  </sheetData>
  <mergeCells count="33">
    <mergeCell ref="N17:P17"/>
    <mergeCell ref="E11:S11"/>
    <mergeCell ref="B13:E13"/>
    <mergeCell ref="BD14:BD15"/>
    <mergeCell ref="BA15:BB15"/>
    <mergeCell ref="AU17:AW17"/>
    <mergeCell ref="AX17:AY17"/>
    <mergeCell ref="AZ17:BB17"/>
    <mergeCell ref="R17:T17"/>
    <mergeCell ref="B1:N1"/>
    <mergeCell ref="O1:BA1"/>
    <mergeCell ref="B2:N2"/>
    <mergeCell ref="O2:BA2"/>
    <mergeCell ref="O3:BA3"/>
    <mergeCell ref="B4:BI4"/>
    <mergeCell ref="B14:B15"/>
    <mergeCell ref="D14:D15"/>
    <mergeCell ref="E14:E15"/>
    <mergeCell ref="U14:U15"/>
    <mergeCell ref="BH14:BH15"/>
    <mergeCell ref="BI14:BI15"/>
    <mergeCell ref="BC14:BC15"/>
    <mergeCell ref="F14:F15"/>
    <mergeCell ref="N14:P15"/>
    <mergeCell ref="S14:T15"/>
    <mergeCell ref="AU15:AW15"/>
    <mergeCell ref="AX15:AY15"/>
    <mergeCell ref="AU14:BB14"/>
    <mergeCell ref="T35:BI35"/>
    <mergeCell ref="T30:BI30"/>
    <mergeCell ref="T31:BI31"/>
    <mergeCell ref="T32:BI32"/>
    <mergeCell ref="T33:BI33"/>
  </mergeCells>
  <conditionalFormatting sqref="BJ6:BJ7">
    <cfRule type="cellIs" dxfId="45" priority="45" stopIfTrue="1" operator="between">
      <formula>"720"</formula>
      <formula>"720"</formula>
    </cfRule>
    <cfRule type="cellIs" dxfId="44" priority="46" stopIfTrue="1" operator="between">
      <formula>"660"</formula>
      <formula>"660"</formula>
    </cfRule>
  </conditionalFormatting>
  <conditionalFormatting sqref="BJ11">
    <cfRule type="expression" dxfId="43" priority="1" stopIfTrue="1">
      <formula>IF(BK11="Trên 45",1,0)</formula>
    </cfRule>
    <cfRule type="expression" dxfId="42" priority="2" stopIfTrue="1">
      <formula>IF(BK11="30 - 45",1,0)</formula>
    </cfRule>
    <cfRule type="expression" dxfId="41" priority="3" stopIfTrue="1">
      <formula>IF(BK11="Dưới 30",1,0)</formula>
    </cfRule>
  </conditionalFormatting>
  <conditionalFormatting sqref="CV11">
    <cfRule type="expression" dxfId="40" priority="4" stopIfTrue="1">
      <formula>IF(CW11&gt;0,1,0)</formula>
    </cfRule>
    <cfRule type="expression" dxfId="39" priority="5" stopIfTrue="1">
      <formula>IF(CW11=0,1,0)</formula>
    </cfRule>
  </conditionalFormatting>
  <conditionalFormatting sqref="BI11">
    <cfRule type="cellIs" dxfId="38" priority="6" stopIfTrue="1" operator="between">
      <formula>"720"</formula>
      <formula>"720"</formula>
    </cfRule>
    <cfRule type="cellIs" dxfId="37" priority="7" stopIfTrue="1" operator="between">
      <formula>"660"</formula>
      <formula>"660"</formula>
    </cfRule>
  </conditionalFormatting>
  <conditionalFormatting sqref="CY11">
    <cfRule type="expression" dxfId="36" priority="13" stopIfTrue="1">
      <formula>IF(OR(CY11=0.36),1,0)</formula>
    </cfRule>
    <cfRule type="expression" dxfId="35" priority="14" stopIfTrue="1">
      <formula>IF(CY11=0.34,1,0)</formula>
    </cfRule>
    <cfRule type="expression" dxfId="34" priority="15" stopIfTrue="1">
      <formula>IF(CY11&lt;0.33,1,0)</formula>
    </cfRule>
  </conditionalFormatting>
  <conditionalFormatting sqref="DB11">
    <cfRule type="cellIs" dxfId="33" priority="16" stopIfTrue="1" operator="between">
      <formula>"Hưu"</formula>
      <formula>"Hưu"</formula>
    </cfRule>
    <cfRule type="cellIs" dxfId="32" priority="17" stopIfTrue="1" operator="between">
      <formula>"---"</formula>
      <formula>"---"</formula>
    </cfRule>
    <cfRule type="cellIs" dxfId="31" priority="18" stopIfTrue="1" operator="between">
      <formula>"Quá"</formula>
      <formula>"Quá"</formula>
    </cfRule>
  </conditionalFormatting>
  <conditionalFormatting sqref="CX11">
    <cfRule type="expression" dxfId="30" priority="19" stopIfTrue="1">
      <formula>IF(OR(CX11=5.57,CX11=6.2),1,0)</formula>
    </cfRule>
    <cfRule type="expression" dxfId="29" priority="20" stopIfTrue="1">
      <formula>IF(OR(CX11=4,CX11=4.4),1,0)</formula>
    </cfRule>
    <cfRule type="expression" dxfId="28" priority="21" stopIfTrue="1">
      <formula>IF(AND(CX11&gt;0.9,CX11&lt;2.34),1,0)</formula>
    </cfRule>
  </conditionalFormatting>
  <conditionalFormatting sqref="CT11">
    <cfRule type="cellIs" dxfId="27" priority="22" stopIfTrue="1" operator="between">
      <formula>1</formula>
      <formula>1</formula>
    </cfRule>
    <cfRule type="cellIs" dxfId="26" priority="23" stopIfTrue="1" operator="between">
      <formula>2</formula>
      <formula>2</formula>
    </cfRule>
    <cfRule type="cellIs" dxfId="25" priority="24" stopIfTrue="1" operator="between">
      <formula>3</formula>
      <formula>3</formula>
    </cfRule>
  </conditionalFormatting>
  <conditionalFormatting sqref="CW11">
    <cfRule type="expression" dxfId="24" priority="25" stopIfTrue="1">
      <formula>IF(CW11&gt;0,1,0)</formula>
    </cfRule>
    <cfRule type="expression" dxfId="23" priority="26" stopIfTrue="1">
      <formula>IF(CW11&lt;1,1,0)</formula>
    </cfRule>
  </conditionalFormatting>
  <conditionalFormatting sqref="CS11">
    <cfRule type="cellIs" dxfId="22" priority="27" stopIfTrue="1" operator="between">
      <formula>"Đến"</formula>
      <formula>"Đến"</formula>
    </cfRule>
    <cfRule type="cellIs" dxfId="21" priority="28" stopIfTrue="1" operator="between">
      <formula>"Quá"</formula>
      <formula>"Quá"</formula>
    </cfRule>
    <cfRule type="expression" dxfId="20" priority="29" stopIfTrue="1">
      <formula>IF(OR(CS11="Lương Sớm Hưu",CS11="Nâng Ngạch Hưu"),1,0)</formula>
    </cfRule>
  </conditionalFormatting>
  <conditionalFormatting sqref="DC11:DD11">
    <cfRule type="expression" dxfId="19" priority="30" stopIfTrue="1">
      <formula>IF(DC11&gt;0,1,0)</formula>
    </cfRule>
  </conditionalFormatting>
  <conditionalFormatting sqref="CR11">
    <cfRule type="cellIs" dxfId="18" priority="31" stopIfTrue="1" operator="between">
      <formula>"B"</formula>
      <formula>"B"</formula>
    </cfRule>
    <cfRule type="cellIs" dxfId="17" priority="32" stopIfTrue="1" operator="between">
      <formula>"C"</formula>
      <formula>"C"</formula>
    </cfRule>
    <cfRule type="cellIs" dxfId="16" priority="33" stopIfTrue="1" operator="between">
      <formula>"D"</formula>
      <formula>"D"</formula>
    </cfRule>
  </conditionalFormatting>
  <conditionalFormatting sqref="CQ11">
    <cfRule type="cellIs" dxfId="15" priority="34" stopIfTrue="1" operator="between">
      <formula>"công chức, viên chức"</formula>
      <formula>"công chức, viên chức"</formula>
    </cfRule>
    <cfRule type="cellIs" dxfId="14" priority="35" stopIfTrue="1" operator="between">
      <formula>"lao động hợp đồng"</formula>
      <formula>"lao động hợp đồng"</formula>
    </cfRule>
  </conditionalFormatting>
  <conditionalFormatting sqref="DA11">
    <cfRule type="expression" dxfId="13" priority="36" stopIfTrue="1">
      <formula>IF(DA11="Nâg Ngạch sau TB",1,0)</formula>
    </cfRule>
    <cfRule type="expression" dxfId="12" priority="37" stopIfTrue="1">
      <formula>IF(DA11="Nâg Lươg Sớm sau TB",1,0)</formula>
    </cfRule>
    <cfRule type="expression" dxfId="11" priority="38" stopIfTrue="1">
      <formula>IF(DA11="Nâg PC TNVK cùng QĐ",1,0)</formula>
    </cfRule>
  </conditionalFormatting>
  <conditionalFormatting sqref="CP11">
    <cfRule type="expression" dxfId="10" priority="39" stopIfTrue="1">
      <formula>IF(CP11=0,1,0)</formula>
    </cfRule>
    <cfRule type="expression" dxfId="9" priority="40" stopIfTrue="1">
      <formula>IF(CP11&gt;0,1,0)</formula>
    </cfRule>
  </conditionalFormatting>
  <conditionalFormatting sqref="BK11">
    <cfRule type="expression" dxfId="8" priority="8" stopIfTrue="1">
      <formula>IF(BK11="Trên 45",1,0)</formula>
    </cfRule>
    <cfRule type="expression" dxfId="7" priority="9" stopIfTrue="1">
      <formula>IF(BK11="30 - 45",1,0)</formula>
    </cfRule>
    <cfRule type="expression" dxfId="6" priority="10" stopIfTrue="1">
      <formula>IF(BK11="Dưới 30",1,0)</formula>
    </cfRule>
  </conditionalFormatting>
  <conditionalFormatting sqref="BM11">
    <cfRule type="cellIs" dxfId="5" priority="11" stopIfTrue="1" operator="between">
      <formula>"Có hạn"</formula>
      <formula>"Có hạn"</formula>
    </cfRule>
    <cfRule type="cellIs" dxfId="4" priority="12" stopIfTrue="1" operator="between">
      <formula>"Ko hạn"</formula>
      <formula>"Ko hạn"</formula>
    </cfRule>
  </conditionalFormatting>
  <conditionalFormatting sqref="CZ11">
    <cfRule type="expression" dxfId="3" priority="41" stopIfTrue="1">
      <formula>12*(#REF!-CR11)+(#REF!-CP11)</formula>
    </cfRule>
  </conditionalFormatting>
  <conditionalFormatting sqref="CU11">
    <cfRule type="expression" dxfId="2" priority="42" stopIfTrue="1">
      <formula>12*(#REF!-CN11)+(#REF!-CL11)</formula>
    </cfRule>
  </conditionalFormatting>
  <conditionalFormatting sqref="A11">
    <cfRule type="expression" dxfId="1" priority="43" stopIfTrue="1">
      <formula>IF(#REF!="Hưu",1,0)</formula>
    </cfRule>
    <cfRule type="expression" dxfId="0" priority="44" stopIfTrue="1">
      <formula>IF(#REF!="Quá",1,0)</formula>
    </cfRule>
  </conditionalFormatting>
  <pageMargins left="0.45" right="0.2" top="0.25" bottom="0.2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nang luong thang 8.2016</vt:lpstr>
      <vt:lpstr>DS nang PCTN NG thang 8.2016</vt:lpstr>
      <vt:lpstr>'DS nang luong thang 8.2016'!Print_Titles</vt:lpstr>
      <vt:lpstr>'DS nang PCTN NG thang 8.2016'!Print_Titles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HVHC</dc:creator>
  <cp:lastModifiedBy>Duyet_TCCB</cp:lastModifiedBy>
  <cp:lastPrinted>2016-08-10T01:52:55Z</cp:lastPrinted>
  <dcterms:created xsi:type="dcterms:W3CDTF">2015-03-03T06:48:17Z</dcterms:created>
  <dcterms:modified xsi:type="dcterms:W3CDTF">2016-08-10T01:52:59Z</dcterms:modified>
</cp:coreProperties>
</file>