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125" activeTab="1"/>
  </bookViews>
  <sheets>
    <sheet name="DS nang luong thang 5.2016" sheetId="1" r:id="rId1"/>
    <sheet name="DS nang PCTN NG thang 5.2016" sheetId="2" r:id="rId2"/>
  </sheets>
  <externalReferences>
    <externalReference r:id="rId3"/>
  </externalReferences>
  <definedNames>
    <definedName name="_xlnm.Print_Titles" localSheetId="0">'DS nang luong thang 5.2016'!$13:$15</definedName>
    <definedName name="_xlnm.Print_Titles" localSheetId="1">'DS nang PCTN NG thang 5.2016'!$13:$16</definedName>
  </definedNames>
  <calcPr calcId="144525"/>
</workbook>
</file>

<file path=xl/calcChain.xml><?xml version="1.0" encoding="utf-8"?>
<calcChain xmlns="http://schemas.openxmlformats.org/spreadsheetml/2006/main">
  <c r="DM49" i="2" l="1"/>
  <c r="DN49" i="2" s="1"/>
  <c r="CW49" i="2"/>
  <c r="CR49" i="2"/>
  <c r="CS49" i="2" s="1"/>
  <c r="CQ49" i="2"/>
  <c r="CP49" i="2"/>
  <c r="CN49" i="2"/>
  <c r="CH49" i="2"/>
  <c r="CG49" i="2"/>
  <c r="CF49" i="2"/>
  <c r="DV49" i="2" s="1"/>
  <c r="BZ49" i="2"/>
  <c r="BU49" i="2"/>
  <c r="BO49" i="2"/>
  <c r="BL49" i="2"/>
  <c r="BH49" i="2"/>
  <c r="BG49" i="2"/>
  <c r="BF49" i="2"/>
  <c r="AW49" i="2"/>
  <c r="AT49" i="2"/>
  <c r="AR49" i="2"/>
  <c r="AA49" i="2" s="1"/>
  <c r="AE49" i="2" s="1"/>
  <c r="AQ49" i="2"/>
  <c r="AN49" i="2"/>
  <c r="AB49" i="2"/>
  <c r="Z49" i="2"/>
  <c r="AM49" i="2" s="1"/>
  <c r="BN49" i="2" s="1"/>
  <c r="V49" i="2"/>
  <c r="S49" i="2"/>
  <c r="Q49" i="2"/>
  <c r="P49" i="2"/>
  <c r="M49" i="2"/>
  <c r="K49" i="2" s="1"/>
  <c r="C49" i="2"/>
  <c r="DM48" i="2"/>
  <c r="DN48" i="2" s="1"/>
  <c r="CW48" i="2"/>
  <c r="CS48" i="2"/>
  <c r="CR48" i="2"/>
  <c r="CV48" i="2" s="1"/>
  <c r="CQ48" i="2"/>
  <c r="CF48" i="2" s="1"/>
  <c r="CP48" i="2"/>
  <c r="CN48" i="2"/>
  <c r="CH48" i="2"/>
  <c r="CG48" i="2"/>
  <c r="CK48" i="2" s="1"/>
  <c r="BZ48" i="2"/>
  <c r="BU48" i="2"/>
  <c r="BO48" i="2"/>
  <c r="BL48" i="2"/>
  <c r="BH48" i="2"/>
  <c r="BF48" i="2"/>
  <c r="AW48" i="2"/>
  <c r="AT48" i="2"/>
  <c r="AR48" i="2"/>
  <c r="AQ48" i="2"/>
  <c r="AA48" i="2" s="1"/>
  <c r="AN48" i="2"/>
  <c r="AB48" i="2"/>
  <c r="V48" i="2"/>
  <c r="S48" i="2"/>
  <c r="Q48" i="2"/>
  <c r="P48" i="2"/>
  <c r="M48" i="2"/>
  <c r="C48" i="2"/>
  <c r="DM47" i="2"/>
  <c r="DN47" i="2" s="1"/>
  <c r="CW47" i="2"/>
  <c r="CR47" i="2"/>
  <c r="CV47" i="2" s="1"/>
  <c r="CQ47" i="2"/>
  <c r="CP47" i="2"/>
  <c r="CH47" i="2" s="1"/>
  <c r="CN47" i="2"/>
  <c r="CG47" i="2"/>
  <c r="CK47" i="2" s="1"/>
  <c r="BZ47" i="2"/>
  <c r="BU47" i="2"/>
  <c r="BO47" i="2"/>
  <c r="BL47" i="2"/>
  <c r="BH47" i="2"/>
  <c r="BF47" i="2"/>
  <c r="AW47" i="2"/>
  <c r="AT47" i="2"/>
  <c r="AR47" i="2"/>
  <c r="AQ47" i="2"/>
  <c r="AA47" i="2" s="1"/>
  <c r="AN47" i="2"/>
  <c r="AB47" i="2"/>
  <c r="DU47" i="2" s="1"/>
  <c r="Z47" i="2"/>
  <c r="AM47" i="2" s="1"/>
  <c r="V47" i="2"/>
  <c r="S47" i="2"/>
  <c r="T47" i="2" s="1"/>
  <c r="BT47" i="2" s="1"/>
  <c r="Q47" i="2"/>
  <c r="P47" i="2"/>
  <c r="M47" i="2"/>
  <c r="K47" i="2" s="1"/>
  <c r="C47" i="2"/>
  <c r="DM46" i="2"/>
  <c r="DN46" i="2" s="1"/>
  <c r="CW46" i="2"/>
  <c r="CU46" i="2"/>
  <c r="CR46" i="2"/>
  <c r="CV46" i="2" s="1"/>
  <c r="CQ46" i="2"/>
  <c r="CP46" i="2"/>
  <c r="CN46" i="2"/>
  <c r="CH46" i="2"/>
  <c r="CL46" i="2" s="1"/>
  <c r="CG46" i="2"/>
  <c r="CK46" i="2" s="1"/>
  <c r="CF46" i="2"/>
  <c r="DV46" i="2" s="1"/>
  <c r="BZ46" i="2"/>
  <c r="BU46" i="2"/>
  <c r="BO46" i="2"/>
  <c r="BL46" i="2"/>
  <c r="BH46" i="2"/>
  <c r="BG46" i="2"/>
  <c r="BF46" i="2"/>
  <c r="AW46" i="2"/>
  <c r="AT46" i="2"/>
  <c r="AR46" i="2"/>
  <c r="DU46" i="2" s="1"/>
  <c r="AQ46" i="2"/>
  <c r="AN46" i="2"/>
  <c r="V46" i="2"/>
  <c r="S46" i="2"/>
  <c r="T46" i="2" s="1"/>
  <c r="BT46" i="2" s="1"/>
  <c r="Q46" i="2"/>
  <c r="P46" i="2"/>
  <c r="M46" i="2"/>
  <c r="K46" i="2" s="1"/>
  <c r="C46" i="2"/>
  <c r="DM45" i="2"/>
  <c r="DN45" i="2" s="1"/>
  <c r="CW45" i="2"/>
  <c r="CR45" i="2"/>
  <c r="CV45" i="2" s="1"/>
  <c r="CQ45" i="2"/>
  <c r="CP45" i="2"/>
  <c r="CH45" i="2" s="1"/>
  <c r="CN45" i="2"/>
  <c r="CG45" i="2"/>
  <c r="CK45" i="2" s="1"/>
  <c r="BZ45" i="2"/>
  <c r="BU45" i="2"/>
  <c r="BO45" i="2"/>
  <c r="BL45" i="2"/>
  <c r="BH45" i="2"/>
  <c r="BF45" i="2"/>
  <c r="AW45" i="2"/>
  <c r="AT45" i="2"/>
  <c r="AR45" i="2"/>
  <c r="AQ45" i="2"/>
  <c r="AN45" i="2"/>
  <c r="AB45" i="2"/>
  <c r="Z45" i="2"/>
  <c r="AM45" i="2" s="1"/>
  <c r="V45" i="2"/>
  <c r="T45" i="2"/>
  <c r="BT45" i="2" s="1"/>
  <c r="S45" i="2"/>
  <c r="Q45" i="2"/>
  <c r="P45" i="2"/>
  <c r="M45" i="2"/>
  <c r="C45" i="2"/>
  <c r="DN44" i="2"/>
  <c r="DM44" i="2"/>
  <c r="CW44" i="2"/>
  <c r="CR44" i="2"/>
  <c r="CV44" i="2" s="1"/>
  <c r="CQ44" i="2"/>
  <c r="CP44" i="2"/>
  <c r="CN44" i="2"/>
  <c r="CH44" i="2"/>
  <c r="CL44" i="2" s="1"/>
  <c r="CG44" i="2"/>
  <c r="CK44" i="2" s="1"/>
  <c r="CF44" i="2"/>
  <c r="DV44" i="2" s="1"/>
  <c r="BZ44" i="2"/>
  <c r="BU44" i="2"/>
  <c r="BO44" i="2"/>
  <c r="BL44" i="2"/>
  <c r="BH44" i="2"/>
  <c r="BG44" i="2"/>
  <c r="BF44" i="2"/>
  <c r="AW44" i="2"/>
  <c r="AT44" i="2"/>
  <c r="AR44" i="2"/>
  <c r="DU44" i="2" s="1"/>
  <c r="AQ44" i="2"/>
  <c r="AN44" i="2"/>
  <c r="AB44" i="2"/>
  <c r="AA44" i="2"/>
  <c r="V44" i="2"/>
  <c r="S44" i="2"/>
  <c r="Q44" i="2"/>
  <c r="P44" i="2"/>
  <c r="M44" i="2"/>
  <c r="C44" i="2"/>
  <c r="DM43" i="2"/>
  <c r="DN43" i="2" s="1"/>
  <c r="CW43" i="2"/>
  <c r="CR43" i="2"/>
  <c r="CS43" i="2" s="1"/>
  <c r="CQ43" i="2"/>
  <c r="CP43" i="2"/>
  <c r="CN43" i="2"/>
  <c r="CG43" i="2"/>
  <c r="BZ43" i="2"/>
  <c r="BU43" i="2"/>
  <c r="BO43" i="2"/>
  <c r="BL43" i="2"/>
  <c r="BH43" i="2"/>
  <c r="BF43" i="2"/>
  <c r="AW43" i="2"/>
  <c r="AT43" i="2"/>
  <c r="AR43" i="2"/>
  <c r="AQ43" i="2"/>
  <c r="AA43" i="2" s="1"/>
  <c r="AN43" i="2"/>
  <c r="AB43" i="2"/>
  <c r="V43" i="2"/>
  <c r="S43" i="2"/>
  <c r="Q43" i="2"/>
  <c r="P43" i="2"/>
  <c r="M43" i="2"/>
  <c r="C43" i="2"/>
  <c r="DM42" i="2"/>
  <c r="DN42" i="2" s="1"/>
  <c r="CW42" i="2"/>
  <c r="CR42" i="2"/>
  <c r="CS42" i="2" s="1"/>
  <c r="CQ42" i="2"/>
  <c r="CP42" i="2"/>
  <c r="CH42" i="2" s="1"/>
  <c r="CN42" i="2"/>
  <c r="CG42" i="2"/>
  <c r="CL42" i="2" s="1"/>
  <c r="BZ42" i="2"/>
  <c r="BU42" i="2"/>
  <c r="BO42" i="2"/>
  <c r="BL42" i="2"/>
  <c r="BH42" i="2"/>
  <c r="BF42" i="2"/>
  <c r="AW42" i="2"/>
  <c r="AT42" i="2"/>
  <c r="AR42" i="2"/>
  <c r="AQ42" i="2"/>
  <c r="AA42" i="2" s="1"/>
  <c r="AN42" i="2"/>
  <c r="AB42" i="2"/>
  <c r="DU42" i="2" s="1"/>
  <c r="Z42" i="2"/>
  <c r="V42" i="2"/>
  <c r="S42" i="2"/>
  <c r="T42" i="2" s="1"/>
  <c r="BT42" i="2" s="1"/>
  <c r="Q42" i="2"/>
  <c r="P42" i="2"/>
  <c r="M42" i="2"/>
  <c r="K42" i="2" s="1"/>
  <c r="C42" i="2"/>
  <c r="DM41" i="2"/>
  <c r="DN41" i="2" s="1"/>
  <c r="CW41" i="2"/>
  <c r="CR41" i="2"/>
  <c r="CS41" i="2" s="1"/>
  <c r="CQ41" i="2"/>
  <c r="CP41" i="2"/>
  <c r="CH41" i="2" s="1"/>
  <c r="CN41" i="2"/>
  <c r="CG41" i="2"/>
  <c r="CL41" i="2" s="1"/>
  <c r="BZ41" i="2"/>
  <c r="BU41" i="2"/>
  <c r="BO41" i="2"/>
  <c r="BL41" i="2"/>
  <c r="BH41" i="2"/>
  <c r="BF41" i="2"/>
  <c r="AW41" i="2"/>
  <c r="AT41" i="2"/>
  <c r="AR41" i="2"/>
  <c r="AQ41" i="2"/>
  <c r="AN41" i="2"/>
  <c r="AB41" i="2"/>
  <c r="Z41" i="2"/>
  <c r="V41" i="2"/>
  <c r="T41" i="2"/>
  <c r="BT41" i="2" s="1"/>
  <c r="S41" i="2"/>
  <c r="Q41" i="2"/>
  <c r="P41" i="2"/>
  <c r="M41" i="2"/>
  <c r="C41" i="2"/>
  <c r="DN40" i="2"/>
  <c r="DM40" i="2"/>
  <c r="CW40" i="2"/>
  <c r="CR40" i="2"/>
  <c r="CV40" i="2" s="1"/>
  <c r="CQ40" i="2"/>
  <c r="CP40" i="2"/>
  <c r="CN40" i="2"/>
  <c r="CH40" i="2"/>
  <c r="CL40" i="2" s="1"/>
  <c r="CG40" i="2"/>
  <c r="CK40" i="2" s="1"/>
  <c r="CF40" i="2"/>
  <c r="BZ40" i="2"/>
  <c r="BU40" i="2"/>
  <c r="BO40" i="2"/>
  <c r="BL40" i="2"/>
  <c r="BH40" i="2"/>
  <c r="BG40" i="2"/>
  <c r="BF40" i="2"/>
  <c r="AW40" i="2"/>
  <c r="AT40" i="2"/>
  <c r="AR40" i="2"/>
  <c r="DU40" i="2" s="1"/>
  <c r="AQ40" i="2"/>
  <c r="AN40" i="2"/>
  <c r="AB40" i="2"/>
  <c r="AA40" i="2"/>
  <c r="V40" i="2"/>
  <c r="S40" i="2"/>
  <c r="T40" i="2" s="1"/>
  <c r="BT40" i="2" s="1"/>
  <c r="Q40" i="2"/>
  <c r="P40" i="2"/>
  <c r="M40" i="2"/>
  <c r="C40" i="2"/>
  <c r="DM39" i="2"/>
  <c r="DN39" i="2" s="1"/>
  <c r="CW39" i="2"/>
  <c r="CR39" i="2"/>
  <c r="CS39" i="2" s="1"/>
  <c r="CQ39" i="2"/>
  <c r="CP39" i="2"/>
  <c r="CH39" i="2" s="1"/>
  <c r="CN39" i="2"/>
  <c r="CG39" i="2"/>
  <c r="CL39" i="2" s="1"/>
  <c r="BZ39" i="2"/>
  <c r="BU39" i="2"/>
  <c r="BO39" i="2"/>
  <c r="BL39" i="2"/>
  <c r="BH39" i="2"/>
  <c r="BF39" i="2"/>
  <c r="AW39" i="2"/>
  <c r="AT39" i="2"/>
  <c r="AR39" i="2"/>
  <c r="AQ39" i="2"/>
  <c r="AN39" i="2"/>
  <c r="AB39" i="2"/>
  <c r="Z39" i="2"/>
  <c r="V39" i="2"/>
  <c r="S39" i="2"/>
  <c r="T39" i="2" s="1"/>
  <c r="BT39" i="2" s="1"/>
  <c r="Q39" i="2"/>
  <c r="P39" i="2"/>
  <c r="M39" i="2"/>
  <c r="C39" i="2"/>
  <c r="DM38" i="2"/>
  <c r="DN38" i="2" s="1"/>
  <c r="CW38" i="2"/>
  <c r="CS38" i="2"/>
  <c r="CR38" i="2"/>
  <c r="CV38" i="2" s="1"/>
  <c r="CQ38" i="2"/>
  <c r="CF38" i="2" s="1"/>
  <c r="BG38" i="2" s="1"/>
  <c r="CP38" i="2"/>
  <c r="CN38" i="2"/>
  <c r="CH38" i="2"/>
  <c r="CG38" i="2"/>
  <c r="CK38" i="2" s="1"/>
  <c r="BZ38" i="2"/>
  <c r="BU38" i="2"/>
  <c r="BO38" i="2"/>
  <c r="BL38" i="2"/>
  <c r="BH38" i="2"/>
  <c r="BF38" i="2"/>
  <c r="AW38" i="2"/>
  <c r="AT38" i="2"/>
  <c r="AR38" i="2"/>
  <c r="AQ38" i="2"/>
  <c r="AA38" i="2" s="1"/>
  <c r="AN38" i="2"/>
  <c r="AB38" i="2"/>
  <c r="V38" i="2"/>
  <c r="S38" i="2"/>
  <c r="Q38" i="2"/>
  <c r="P38" i="2"/>
  <c r="M38" i="2"/>
  <c r="C38" i="2"/>
  <c r="DM37" i="2"/>
  <c r="DN37" i="2" s="1"/>
  <c r="CW37" i="2"/>
  <c r="CR37" i="2"/>
  <c r="CS37" i="2" s="1"/>
  <c r="CQ37" i="2"/>
  <c r="CP37" i="2"/>
  <c r="CH37" i="2" s="1"/>
  <c r="CN37" i="2"/>
  <c r="CG37" i="2"/>
  <c r="CL37" i="2" s="1"/>
  <c r="BZ37" i="2"/>
  <c r="BU37" i="2"/>
  <c r="BO37" i="2"/>
  <c r="BL37" i="2"/>
  <c r="BH37" i="2"/>
  <c r="BF37" i="2"/>
  <c r="AW37" i="2"/>
  <c r="AT37" i="2"/>
  <c r="AR37" i="2"/>
  <c r="AQ37" i="2"/>
  <c r="AA37" i="2" s="1"/>
  <c r="AN37" i="2"/>
  <c r="AB37" i="2"/>
  <c r="Z37" i="2"/>
  <c r="V37" i="2"/>
  <c r="S37" i="2"/>
  <c r="T37" i="2" s="1"/>
  <c r="BT37" i="2" s="1"/>
  <c r="Q37" i="2"/>
  <c r="P37" i="2"/>
  <c r="M37" i="2"/>
  <c r="K37" i="2" s="1"/>
  <c r="C37" i="2"/>
  <c r="DM36" i="2"/>
  <c r="DN36" i="2" s="1"/>
  <c r="CW36" i="2"/>
  <c r="CR36" i="2"/>
  <c r="CS36" i="2" s="1"/>
  <c r="CQ36" i="2"/>
  <c r="CP36" i="2"/>
  <c r="CN36" i="2"/>
  <c r="CI36" i="2"/>
  <c r="CG36" i="2"/>
  <c r="BZ36" i="2"/>
  <c r="BU36" i="2"/>
  <c r="BO36" i="2"/>
  <c r="BL36" i="2"/>
  <c r="BH36" i="2"/>
  <c r="BF36" i="2"/>
  <c r="AW36" i="2"/>
  <c r="AT36" i="2"/>
  <c r="AR36" i="2"/>
  <c r="DU36" i="2" s="1"/>
  <c r="AQ36" i="2"/>
  <c r="AN36" i="2"/>
  <c r="AB36" i="2"/>
  <c r="Z36" i="2"/>
  <c r="AM36" i="2" s="1"/>
  <c r="V36" i="2"/>
  <c r="T36" i="2"/>
  <c r="BT36" i="2" s="1"/>
  <c r="S36" i="2"/>
  <c r="Q36" i="2"/>
  <c r="P36" i="2"/>
  <c r="M36" i="2"/>
  <c r="C36" i="2"/>
  <c r="DN35" i="2"/>
  <c r="DM35" i="2"/>
  <c r="CW35" i="2"/>
  <c r="CR35" i="2"/>
  <c r="CV35" i="2" s="1"/>
  <c r="CQ35" i="2"/>
  <c r="CP35" i="2"/>
  <c r="CN35" i="2"/>
  <c r="CH35" i="2"/>
  <c r="CL35" i="2" s="1"/>
  <c r="CG35" i="2"/>
  <c r="CK35" i="2" s="1"/>
  <c r="CF35" i="2"/>
  <c r="DV35" i="2" s="1"/>
  <c r="BZ35" i="2"/>
  <c r="BU35" i="2"/>
  <c r="BO35" i="2"/>
  <c r="BL35" i="2"/>
  <c r="BH35" i="2"/>
  <c r="BG35" i="2"/>
  <c r="BF35" i="2"/>
  <c r="AW35" i="2"/>
  <c r="AT35" i="2"/>
  <c r="AR35" i="2"/>
  <c r="AQ35" i="2"/>
  <c r="AN35" i="2"/>
  <c r="AB35" i="2"/>
  <c r="AA35" i="2"/>
  <c r="V35" i="2"/>
  <c r="S35" i="2"/>
  <c r="Q35" i="2"/>
  <c r="P35" i="2"/>
  <c r="M35" i="2"/>
  <c r="C35" i="2"/>
  <c r="DM34" i="2"/>
  <c r="DN34" i="2" s="1"/>
  <c r="CW34" i="2"/>
  <c r="CR34" i="2"/>
  <c r="CS34" i="2" s="1"/>
  <c r="CQ34" i="2"/>
  <c r="CP34" i="2"/>
  <c r="CN34" i="2"/>
  <c r="CI34" i="2"/>
  <c r="CG34" i="2"/>
  <c r="BZ34" i="2"/>
  <c r="BU34" i="2"/>
  <c r="BO34" i="2"/>
  <c r="BL34" i="2"/>
  <c r="BH34" i="2"/>
  <c r="BF34" i="2"/>
  <c r="AW34" i="2"/>
  <c r="AT34" i="2"/>
  <c r="AR34" i="2"/>
  <c r="AQ34" i="2"/>
  <c r="AN34" i="2"/>
  <c r="AB34" i="2"/>
  <c r="Z34" i="2"/>
  <c r="AM34" i="2" s="1"/>
  <c r="V34" i="2"/>
  <c r="S34" i="2"/>
  <c r="T34" i="2" s="1"/>
  <c r="BT34" i="2" s="1"/>
  <c r="Q34" i="2"/>
  <c r="P34" i="2"/>
  <c r="M34" i="2"/>
  <c r="K34" i="2" s="1"/>
  <c r="C34" i="2"/>
  <c r="DM33" i="2"/>
  <c r="DN33" i="2" s="1"/>
  <c r="CW33" i="2"/>
  <c r="CR33" i="2"/>
  <c r="CS33" i="2" s="1"/>
  <c r="CQ33" i="2"/>
  <c r="CP33" i="2"/>
  <c r="CN33" i="2"/>
  <c r="CG33" i="2"/>
  <c r="CI33" i="2" s="1"/>
  <c r="BZ33" i="2"/>
  <c r="BU33" i="2"/>
  <c r="BO33" i="2"/>
  <c r="BL33" i="2"/>
  <c r="BH33" i="2"/>
  <c r="BF33" i="2"/>
  <c r="AW33" i="2"/>
  <c r="AT33" i="2"/>
  <c r="AR33" i="2"/>
  <c r="DU33" i="2" s="1"/>
  <c r="AQ33" i="2"/>
  <c r="AA33" i="2" s="1"/>
  <c r="AN33" i="2"/>
  <c r="AB33" i="2"/>
  <c r="Z33" i="2"/>
  <c r="V33" i="2"/>
  <c r="S33" i="2"/>
  <c r="T33" i="2" s="1"/>
  <c r="BT33" i="2" s="1"/>
  <c r="Q33" i="2"/>
  <c r="P33" i="2"/>
  <c r="M33" i="2"/>
  <c r="C33" i="2"/>
  <c r="DM32" i="2"/>
  <c r="DN32" i="2" s="1"/>
  <c r="CW32" i="2"/>
  <c r="CS32" i="2"/>
  <c r="CR32" i="2"/>
  <c r="CV32" i="2" s="1"/>
  <c r="CQ32" i="2"/>
  <c r="CF32" i="2" s="1"/>
  <c r="BG32" i="2" s="1"/>
  <c r="CP32" i="2"/>
  <c r="CN32" i="2"/>
  <c r="CH32" i="2"/>
  <c r="CG32" i="2"/>
  <c r="CK32" i="2" s="1"/>
  <c r="BZ32" i="2"/>
  <c r="BU32" i="2"/>
  <c r="BO32" i="2"/>
  <c r="BL32" i="2"/>
  <c r="BH32" i="2"/>
  <c r="BF32" i="2"/>
  <c r="AW32" i="2"/>
  <c r="AT32" i="2"/>
  <c r="AR32" i="2"/>
  <c r="AQ32" i="2"/>
  <c r="AA32" i="2" s="1"/>
  <c r="AN32" i="2"/>
  <c r="AB32" i="2"/>
  <c r="V32" i="2"/>
  <c r="S32" i="2"/>
  <c r="Q32" i="2"/>
  <c r="P32" i="2"/>
  <c r="M32" i="2"/>
  <c r="C32" i="2"/>
  <c r="DM31" i="2"/>
  <c r="DN31" i="2" s="1"/>
  <c r="CW31" i="2"/>
  <c r="CR31" i="2"/>
  <c r="CS31" i="2" s="1"/>
  <c r="CQ31" i="2"/>
  <c r="CP31" i="2"/>
  <c r="CN31" i="2"/>
  <c r="CI31" i="2"/>
  <c r="CG31" i="2"/>
  <c r="BZ31" i="2"/>
  <c r="BU31" i="2"/>
  <c r="BO31" i="2"/>
  <c r="BL31" i="2"/>
  <c r="BH31" i="2"/>
  <c r="BF31" i="2"/>
  <c r="AW31" i="2"/>
  <c r="AT31" i="2"/>
  <c r="AR31" i="2"/>
  <c r="AQ31" i="2"/>
  <c r="AN31" i="2"/>
  <c r="AB31" i="2"/>
  <c r="Z31" i="2"/>
  <c r="V31" i="2"/>
  <c r="T31" i="2"/>
  <c r="BT31" i="2" s="1"/>
  <c r="S31" i="2"/>
  <c r="Q31" i="2"/>
  <c r="P31" i="2"/>
  <c r="M31" i="2"/>
  <c r="C31" i="2"/>
  <c r="DN30" i="2"/>
  <c r="DM30" i="2"/>
  <c r="CW30" i="2"/>
  <c r="CR30" i="2"/>
  <c r="CV30" i="2" s="1"/>
  <c r="CQ30" i="2"/>
  <c r="CP30" i="2"/>
  <c r="CN30" i="2"/>
  <c r="CH30" i="2"/>
  <c r="CL30" i="2" s="1"/>
  <c r="CG30" i="2"/>
  <c r="CK30" i="2" s="1"/>
  <c r="BZ30" i="2"/>
  <c r="BU30" i="2"/>
  <c r="BO30" i="2"/>
  <c r="BL30" i="2"/>
  <c r="BH30" i="2"/>
  <c r="BF30" i="2"/>
  <c r="AW30" i="2"/>
  <c r="AT30" i="2"/>
  <c r="AR30" i="2"/>
  <c r="AQ30" i="2"/>
  <c r="AN30" i="2"/>
  <c r="AB30" i="2"/>
  <c r="AA30" i="2"/>
  <c r="V30" i="2"/>
  <c r="S30" i="2"/>
  <c r="Q30" i="2"/>
  <c r="P30" i="2"/>
  <c r="M30" i="2"/>
  <c r="K30" i="2" s="1"/>
  <c r="C30" i="2"/>
  <c r="DM29" i="2"/>
  <c r="DN29" i="2" s="1"/>
  <c r="CW29" i="2"/>
  <c r="CS29" i="2"/>
  <c r="CR29" i="2"/>
  <c r="CV29" i="2" s="1"/>
  <c r="CQ29" i="2"/>
  <c r="CF29" i="2" s="1"/>
  <c r="CP29" i="2"/>
  <c r="CN29" i="2"/>
  <c r="CH29" i="2"/>
  <c r="CG29" i="2"/>
  <c r="CK29" i="2" s="1"/>
  <c r="BZ29" i="2"/>
  <c r="BU29" i="2"/>
  <c r="BO29" i="2"/>
  <c r="BL29" i="2"/>
  <c r="BH29" i="2"/>
  <c r="BF29" i="2"/>
  <c r="AW29" i="2"/>
  <c r="AT29" i="2"/>
  <c r="AR29" i="2"/>
  <c r="AQ29" i="2"/>
  <c r="AA29" i="2" s="1"/>
  <c r="AN29" i="2"/>
  <c r="AB29" i="2"/>
  <c r="V29" i="2"/>
  <c r="S29" i="2"/>
  <c r="Q29" i="2"/>
  <c r="P29" i="2"/>
  <c r="M29" i="2"/>
  <c r="K29" i="2" s="1"/>
  <c r="C29" i="2"/>
  <c r="DM28" i="2"/>
  <c r="DN28" i="2" s="1"/>
  <c r="CW28" i="2"/>
  <c r="CS28" i="2"/>
  <c r="CR28" i="2"/>
  <c r="CV28" i="2" s="1"/>
  <c r="CQ28" i="2"/>
  <c r="CF28" i="2" s="1"/>
  <c r="BG28" i="2" s="1"/>
  <c r="CP28" i="2"/>
  <c r="CN28" i="2"/>
  <c r="CH28" i="2"/>
  <c r="CG28" i="2"/>
  <c r="CK28" i="2" s="1"/>
  <c r="BZ28" i="2"/>
  <c r="BU28" i="2"/>
  <c r="BO28" i="2"/>
  <c r="BL28" i="2"/>
  <c r="BH28" i="2"/>
  <c r="BF28" i="2"/>
  <c r="AW28" i="2"/>
  <c r="AT28" i="2"/>
  <c r="AR28" i="2"/>
  <c r="AQ28" i="2"/>
  <c r="AA28" i="2" s="1"/>
  <c r="AN28" i="2"/>
  <c r="AB28" i="2"/>
  <c r="V28" i="2"/>
  <c r="S28" i="2"/>
  <c r="Q28" i="2"/>
  <c r="P28" i="2"/>
  <c r="M28" i="2"/>
  <c r="K28" i="2" s="1"/>
  <c r="C28" i="2"/>
  <c r="DM27" i="2"/>
  <c r="DN27" i="2" s="1"/>
  <c r="CW27" i="2"/>
  <c r="CS27" i="2"/>
  <c r="CR27" i="2"/>
  <c r="CV27" i="2" s="1"/>
  <c r="CQ27" i="2"/>
  <c r="CF27" i="2" s="1"/>
  <c r="BG27" i="2" s="1"/>
  <c r="CP27" i="2"/>
  <c r="CN27" i="2"/>
  <c r="CH27" i="2"/>
  <c r="CG27" i="2"/>
  <c r="CK27" i="2" s="1"/>
  <c r="BZ27" i="2"/>
  <c r="BU27" i="2"/>
  <c r="BO27" i="2"/>
  <c r="BL27" i="2"/>
  <c r="BH27" i="2"/>
  <c r="BF27" i="2"/>
  <c r="AW27" i="2"/>
  <c r="AT27" i="2"/>
  <c r="AR27" i="2"/>
  <c r="AQ27" i="2"/>
  <c r="AA27" i="2" s="1"/>
  <c r="AN27" i="2"/>
  <c r="AB27" i="2"/>
  <c r="V27" i="2"/>
  <c r="S27" i="2"/>
  <c r="Q27" i="2"/>
  <c r="P27" i="2"/>
  <c r="M27" i="2"/>
  <c r="C27" i="2"/>
  <c r="DM26" i="2"/>
  <c r="DN26" i="2" s="1"/>
  <c r="CW26" i="2"/>
  <c r="CR26" i="2"/>
  <c r="CS26" i="2" s="1"/>
  <c r="CQ26" i="2"/>
  <c r="CP26" i="2"/>
  <c r="CN26" i="2"/>
  <c r="CG26" i="2"/>
  <c r="CI26" i="2" s="1"/>
  <c r="BZ26" i="2"/>
  <c r="BU26" i="2"/>
  <c r="BO26" i="2"/>
  <c r="BL26" i="2"/>
  <c r="BH26" i="2"/>
  <c r="BF26" i="2"/>
  <c r="AW26" i="2"/>
  <c r="AT26" i="2"/>
  <c r="AR26" i="2"/>
  <c r="AQ26" i="2"/>
  <c r="AA26" i="2" s="1"/>
  <c r="AN26" i="2"/>
  <c r="AB26" i="2"/>
  <c r="DU26" i="2" s="1"/>
  <c r="Z26" i="2"/>
  <c r="V26" i="2"/>
  <c r="S26" i="2"/>
  <c r="T26" i="2" s="1"/>
  <c r="BT26" i="2" s="1"/>
  <c r="Q26" i="2"/>
  <c r="P26" i="2"/>
  <c r="M26" i="2"/>
  <c r="C26" i="2"/>
  <c r="DM25" i="2"/>
  <c r="DN25" i="2" s="1"/>
  <c r="CW25" i="2"/>
  <c r="CS25" i="2"/>
  <c r="CR25" i="2"/>
  <c r="CV25" i="2" s="1"/>
  <c r="CQ25" i="2"/>
  <c r="CF25" i="2" s="1"/>
  <c r="BG25" i="2" s="1"/>
  <c r="CP25" i="2"/>
  <c r="CN25" i="2"/>
  <c r="CH25" i="2"/>
  <c r="CG25" i="2"/>
  <c r="CL25" i="2" s="1"/>
  <c r="BZ25" i="2"/>
  <c r="BU25" i="2"/>
  <c r="BO25" i="2"/>
  <c r="BL25" i="2"/>
  <c r="BH25" i="2"/>
  <c r="BF25" i="2"/>
  <c r="AW25" i="2"/>
  <c r="AT25" i="2"/>
  <c r="AR25" i="2"/>
  <c r="AQ25" i="2"/>
  <c r="AA25" i="2" s="1"/>
  <c r="AN25" i="2"/>
  <c r="AB25" i="2"/>
  <c r="V25" i="2"/>
  <c r="S25" i="2"/>
  <c r="Q25" i="2"/>
  <c r="P25" i="2"/>
  <c r="M25" i="2"/>
  <c r="K25" i="2" s="1"/>
  <c r="C25" i="2"/>
  <c r="DM24" i="2"/>
  <c r="DN24" i="2" s="1"/>
  <c r="CW24" i="2"/>
  <c r="CS24" i="2"/>
  <c r="CR24" i="2"/>
  <c r="CV24" i="2" s="1"/>
  <c r="CQ24" i="2"/>
  <c r="CF24" i="2" s="1"/>
  <c r="BG24" i="2" s="1"/>
  <c r="CP24" i="2"/>
  <c r="CN24" i="2"/>
  <c r="CH24" i="2"/>
  <c r="CG24" i="2"/>
  <c r="CK24" i="2" s="1"/>
  <c r="BZ24" i="2"/>
  <c r="BU24" i="2"/>
  <c r="BO24" i="2"/>
  <c r="BL24" i="2"/>
  <c r="BH24" i="2"/>
  <c r="BF24" i="2"/>
  <c r="AW24" i="2"/>
  <c r="AT24" i="2"/>
  <c r="AR24" i="2"/>
  <c r="AQ24" i="2"/>
  <c r="AA24" i="2" s="1"/>
  <c r="AN24" i="2"/>
  <c r="AB24" i="2"/>
  <c r="V24" i="2"/>
  <c r="S24" i="2"/>
  <c r="Q24" i="2"/>
  <c r="P24" i="2"/>
  <c r="M24" i="2"/>
  <c r="K24" i="2" s="1"/>
  <c r="C24" i="2"/>
  <c r="DM23" i="2"/>
  <c r="DN23" i="2" s="1"/>
  <c r="CW23" i="2"/>
  <c r="CS23" i="2"/>
  <c r="CR23" i="2"/>
  <c r="CV23" i="2" s="1"/>
  <c r="CQ23" i="2"/>
  <c r="CF23" i="2" s="1"/>
  <c r="BG23" i="2" s="1"/>
  <c r="CP23" i="2"/>
  <c r="CN23" i="2"/>
  <c r="CH23" i="2"/>
  <c r="CG23" i="2"/>
  <c r="CK23" i="2" s="1"/>
  <c r="BZ23" i="2"/>
  <c r="BU23" i="2"/>
  <c r="BO23" i="2"/>
  <c r="BL23" i="2"/>
  <c r="BH23" i="2"/>
  <c r="BF23" i="2"/>
  <c r="AW23" i="2"/>
  <c r="AT23" i="2"/>
  <c r="AR23" i="2"/>
  <c r="AQ23" i="2"/>
  <c r="AA23" i="2" s="1"/>
  <c r="AN23" i="2"/>
  <c r="AB23" i="2"/>
  <c r="V23" i="2"/>
  <c r="S23" i="2"/>
  <c r="Q23" i="2"/>
  <c r="P23" i="2"/>
  <c r="M23" i="2"/>
  <c r="C23" i="2"/>
  <c r="DM22" i="2"/>
  <c r="DN22" i="2" s="1"/>
  <c r="CW22" i="2"/>
  <c r="CR22" i="2"/>
  <c r="CS22" i="2" s="1"/>
  <c r="CQ22" i="2"/>
  <c r="CP22" i="2"/>
  <c r="CH22" i="2" s="1"/>
  <c r="CN22" i="2"/>
  <c r="CG22" i="2"/>
  <c r="CL22" i="2" s="1"/>
  <c r="BZ22" i="2"/>
  <c r="BU22" i="2"/>
  <c r="BO22" i="2"/>
  <c r="BL22" i="2"/>
  <c r="BH22" i="2"/>
  <c r="BF22" i="2"/>
  <c r="AW22" i="2"/>
  <c r="AT22" i="2"/>
  <c r="AR22" i="2"/>
  <c r="AQ22" i="2"/>
  <c r="AA22" i="2" s="1"/>
  <c r="AN22" i="2"/>
  <c r="AB22" i="2"/>
  <c r="DU22" i="2" s="1"/>
  <c r="Z22" i="2"/>
  <c r="V22" i="2"/>
  <c r="S22" i="2"/>
  <c r="T22" i="2" s="1"/>
  <c r="BT22" i="2" s="1"/>
  <c r="Q22" i="2"/>
  <c r="P22" i="2"/>
  <c r="M22" i="2"/>
  <c r="K22" i="2" s="1"/>
  <c r="C22" i="2"/>
  <c r="DM21" i="2"/>
  <c r="DN21" i="2" s="1"/>
  <c r="CW21" i="2"/>
  <c r="CR21" i="2"/>
  <c r="CS21" i="2" s="1"/>
  <c r="CQ21" i="2"/>
  <c r="CP21" i="2"/>
  <c r="CH21" i="2" s="1"/>
  <c r="CN21" i="2"/>
  <c r="CG21" i="2"/>
  <c r="CL21" i="2" s="1"/>
  <c r="BZ21" i="2"/>
  <c r="BU21" i="2"/>
  <c r="BO21" i="2"/>
  <c r="BL21" i="2"/>
  <c r="BH21" i="2"/>
  <c r="BF21" i="2"/>
  <c r="AW21" i="2"/>
  <c r="AT21" i="2"/>
  <c r="AR21" i="2"/>
  <c r="AQ21" i="2"/>
  <c r="AN21" i="2"/>
  <c r="AB21" i="2"/>
  <c r="Z21" i="2"/>
  <c r="V21" i="2"/>
  <c r="T21" i="2"/>
  <c r="BT21" i="2" s="1"/>
  <c r="S21" i="2"/>
  <c r="Q21" i="2"/>
  <c r="P21" i="2"/>
  <c r="M21" i="2"/>
  <c r="C21" i="2"/>
  <c r="DN20" i="2"/>
  <c r="DM20" i="2"/>
  <c r="CW20" i="2"/>
  <c r="CR20" i="2"/>
  <c r="CV20" i="2" s="1"/>
  <c r="CQ20" i="2"/>
  <c r="CP20" i="2"/>
  <c r="CN20" i="2"/>
  <c r="CH20" i="2"/>
  <c r="CL20" i="2" s="1"/>
  <c r="CG20" i="2"/>
  <c r="CK20" i="2" s="1"/>
  <c r="CF20" i="2"/>
  <c r="BZ20" i="2"/>
  <c r="BU20" i="2"/>
  <c r="BO20" i="2"/>
  <c r="BL20" i="2"/>
  <c r="BH20" i="2"/>
  <c r="BG20" i="2"/>
  <c r="BF20" i="2"/>
  <c r="AW20" i="2"/>
  <c r="AT20" i="2"/>
  <c r="AR20" i="2"/>
  <c r="DU20" i="2" s="1"/>
  <c r="AQ20" i="2"/>
  <c r="AN20" i="2"/>
  <c r="AB20" i="2"/>
  <c r="AA20" i="2"/>
  <c r="V20" i="2"/>
  <c r="S20" i="2"/>
  <c r="T20" i="2" s="1"/>
  <c r="BT20" i="2" s="1"/>
  <c r="Q20" i="2"/>
  <c r="P20" i="2"/>
  <c r="M20" i="2"/>
  <c r="C20" i="2"/>
  <c r="DM19" i="2"/>
  <c r="DN19" i="2" s="1"/>
  <c r="CW19" i="2"/>
  <c r="CR19" i="2"/>
  <c r="CS19" i="2" s="1"/>
  <c r="CQ19" i="2"/>
  <c r="CP19" i="2"/>
  <c r="CH19" i="2" s="1"/>
  <c r="CN19" i="2"/>
  <c r="CG19" i="2"/>
  <c r="CL19" i="2" s="1"/>
  <c r="BZ19" i="2"/>
  <c r="BU19" i="2"/>
  <c r="BO19" i="2"/>
  <c r="BL19" i="2"/>
  <c r="BH19" i="2"/>
  <c r="BF19" i="2"/>
  <c r="AW19" i="2"/>
  <c r="AT19" i="2"/>
  <c r="AR19" i="2"/>
  <c r="AQ19" i="2"/>
  <c r="AN19" i="2"/>
  <c r="AB19" i="2"/>
  <c r="Z19" i="2"/>
  <c r="V19" i="2"/>
  <c r="T19" i="2"/>
  <c r="BT19" i="2" s="1"/>
  <c r="S19" i="2"/>
  <c r="Q19" i="2"/>
  <c r="P19" i="2"/>
  <c r="M19" i="2"/>
  <c r="C19" i="2"/>
  <c r="DN18" i="2"/>
  <c r="DM18" i="2"/>
  <c r="CW18" i="2"/>
  <c r="CR18" i="2"/>
  <c r="CV18" i="2" s="1"/>
  <c r="CQ18" i="2"/>
  <c r="CP18" i="2"/>
  <c r="CH18" i="2" s="1"/>
  <c r="CL18" i="2" s="1"/>
  <c r="CN18" i="2"/>
  <c r="CG18" i="2"/>
  <c r="CK18" i="2" s="1"/>
  <c r="CF18" i="2"/>
  <c r="BZ18" i="2"/>
  <c r="BU18" i="2"/>
  <c r="BO18" i="2"/>
  <c r="BL18" i="2"/>
  <c r="BH18" i="2"/>
  <c r="BG18" i="2"/>
  <c r="BF18" i="2"/>
  <c r="AW18" i="2"/>
  <c r="AT18" i="2"/>
  <c r="AR18" i="2"/>
  <c r="DU18" i="2" s="1"/>
  <c r="AQ18" i="2"/>
  <c r="AN18" i="2"/>
  <c r="AB18" i="2"/>
  <c r="V18" i="2"/>
  <c r="S18" i="2"/>
  <c r="T18" i="2" s="1"/>
  <c r="BT18" i="2" s="1"/>
  <c r="Q18" i="2"/>
  <c r="P18" i="2"/>
  <c r="M18" i="2"/>
  <c r="C18" i="2"/>
  <c r="DM17" i="2"/>
  <c r="DN17" i="2" s="1"/>
  <c r="CW17" i="2"/>
  <c r="CR17" i="2"/>
  <c r="CS17" i="2" s="1"/>
  <c r="CQ17" i="2"/>
  <c r="CP17" i="2"/>
  <c r="CH17" i="2" s="1"/>
  <c r="CN17" i="2"/>
  <c r="CG17" i="2"/>
  <c r="CL17" i="2" s="1"/>
  <c r="BZ17" i="2"/>
  <c r="BU17" i="2"/>
  <c r="BO17" i="2"/>
  <c r="BL17" i="2"/>
  <c r="BH17" i="2"/>
  <c r="BF17" i="2"/>
  <c r="AW17" i="2"/>
  <c r="AT17" i="2"/>
  <c r="AR17" i="2"/>
  <c r="Z17" i="2" s="1"/>
  <c r="AQ17" i="2"/>
  <c r="AN17" i="2"/>
  <c r="AB17" i="2"/>
  <c r="V17" i="2"/>
  <c r="T17" i="2"/>
  <c r="BT17" i="2" s="1"/>
  <c r="S17" i="2"/>
  <c r="Q17" i="2"/>
  <c r="P17" i="2"/>
  <c r="M17" i="2"/>
  <c r="C17" i="2"/>
  <c r="DN28" i="1"/>
  <c r="DM28" i="1"/>
  <c r="CW28" i="1"/>
  <c r="CR28" i="1"/>
  <c r="CV28" i="1" s="1"/>
  <c r="CQ28" i="1"/>
  <c r="CP28" i="1"/>
  <c r="CN28" i="1"/>
  <c r="CH28" i="1"/>
  <c r="CL28" i="1" s="1"/>
  <c r="CG28" i="1"/>
  <c r="CK28" i="1" s="1"/>
  <c r="CF28" i="1"/>
  <c r="DV28" i="1" s="1"/>
  <c r="BZ28" i="1"/>
  <c r="BU28" i="1"/>
  <c r="BO28" i="1"/>
  <c r="BL28" i="1"/>
  <c r="BH28" i="1"/>
  <c r="BG28" i="1"/>
  <c r="BF28" i="1"/>
  <c r="AW28" i="1"/>
  <c r="AT28" i="1"/>
  <c r="AR28" i="1"/>
  <c r="DU28" i="1" s="1"/>
  <c r="AQ28" i="1"/>
  <c r="AN28" i="1"/>
  <c r="AB28" i="1"/>
  <c r="AA28" i="1"/>
  <c r="V28" i="1"/>
  <c r="S28" i="1"/>
  <c r="T28" i="1" s="1"/>
  <c r="BT28" i="1" s="1"/>
  <c r="Q28" i="1"/>
  <c r="P28" i="1"/>
  <c r="M28" i="1"/>
  <c r="C28" i="1"/>
  <c r="DM27" i="1"/>
  <c r="DN27" i="1" s="1"/>
  <c r="CW27" i="1"/>
  <c r="CR27" i="1"/>
  <c r="CV27" i="1" s="1"/>
  <c r="CQ27" i="1"/>
  <c r="CP27" i="1"/>
  <c r="CH27" i="1" s="1"/>
  <c r="CN27" i="1"/>
  <c r="CG27" i="1"/>
  <c r="CK27" i="1" s="1"/>
  <c r="BZ27" i="1"/>
  <c r="BU27" i="1"/>
  <c r="BO27" i="1"/>
  <c r="BL27" i="1"/>
  <c r="BH27" i="1"/>
  <c r="BF27" i="1"/>
  <c r="AW27" i="1"/>
  <c r="AT27" i="1"/>
  <c r="AR27" i="1"/>
  <c r="DU27" i="1" s="1"/>
  <c r="AQ27" i="1"/>
  <c r="AN27" i="1"/>
  <c r="AB27" i="1"/>
  <c r="Z27" i="1"/>
  <c r="AM27" i="1" s="1"/>
  <c r="V27" i="1"/>
  <c r="T27" i="1"/>
  <c r="BT27" i="1" s="1"/>
  <c r="S27" i="1"/>
  <c r="Q27" i="1"/>
  <c r="P27" i="1"/>
  <c r="M27" i="1"/>
  <c r="C27" i="1"/>
  <c r="DN26" i="1"/>
  <c r="DM26" i="1"/>
  <c r="CW26" i="1"/>
  <c r="CR26" i="1"/>
  <c r="CV26" i="1" s="1"/>
  <c r="CQ26" i="1"/>
  <c r="CP26" i="1"/>
  <c r="CN26" i="1"/>
  <c r="CH26" i="1"/>
  <c r="CL26" i="1" s="1"/>
  <c r="CG26" i="1"/>
  <c r="CK26" i="1" s="1"/>
  <c r="CF26" i="1"/>
  <c r="DV26" i="1" s="1"/>
  <c r="BZ26" i="1"/>
  <c r="BU26" i="1"/>
  <c r="BO26" i="1"/>
  <c r="BL26" i="1"/>
  <c r="BH26" i="1"/>
  <c r="BG26" i="1"/>
  <c r="BF26" i="1"/>
  <c r="AW26" i="1"/>
  <c r="AT26" i="1"/>
  <c r="AR26" i="1"/>
  <c r="DU26" i="1" s="1"/>
  <c r="AQ26" i="1"/>
  <c r="AN26" i="1"/>
  <c r="AB26" i="1"/>
  <c r="AA26" i="1"/>
  <c r="V26" i="1"/>
  <c r="S26" i="1"/>
  <c r="Q26" i="1"/>
  <c r="P26" i="1"/>
  <c r="M26" i="1"/>
  <c r="C26" i="1"/>
  <c r="DM25" i="1"/>
  <c r="DN25" i="1" s="1"/>
  <c r="CW25" i="1"/>
  <c r="CR25" i="1"/>
  <c r="CV25" i="1" s="1"/>
  <c r="CQ25" i="1"/>
  <c r="CP25" i="1"/>
  <c r="CH25" i="1" s="1"/>
  <c r="CN25" i="1"/>
  <c r="CG25" i="1"/>
  <c r="CK25" i="1" s="1"/>
  <c r="BZ25" i="1"/>
  <c r="BU25" i="1"/>
  <c r="BO25" i="1"/>
  <c r="BL25" i="1"/>
  <c r="BH25" i="1"/>
  <c r="BF25" i="1"/>
  <c r="AW25" i="1"/>
  <c r="AT25" i="1"/>
  <c r="AR25" i="1"/>
  <c r="AQ25" i="1"/>
  <c r="AA25" i="1" s="1"/>
  <c r="AN25" i="1"/>
  <c r="AB25" i="1"/>
  <c r="DU25" i="1" s="1"/>
  <c r="Z25" i="1"/>
  <c r="AM25" i="1" s="1"/>
  <c r="V25" i="1"/>
  <c r="S25" i="1"/>
  <c r="T25" i="1" s="1"/>
  <c r="BT25" i="1" s="1"/>
  <c r="Q25" i="1"/>
  <c r="P25" i="1"/>
  <c r="M25" i="1"/>
  <c r="K25" i="1" s="1"/>
  <c r="C25" i="1"/>
  <c r="DM24" i="1"/>
  <c r="DN24" i="1" s="1"/>
  <c r="CW24" i="1"/>
  <c r="CR24" i="1"/>
  <c r="CV24" i="1" s="1"/>
  <c r="CQ24" i="1"/>
  <c r="CP24" i="1"/>
  <c r="CH24" i="1" s="1"/>
  <c r="CN24" i="1"/>
  <c r="CG24" i="1"/>
  <c r="CK24" i="1" s="1"/>
  <c r="BZ24" i="1"/>
  <c r="BU24" i="1"/>
  <c r="BO24" i="1"/>
  <c r="BL24" i="1"/>
  <c r="BH24" i="1"/>
  <c r="BF24" i="1"/>
  <c r="AW24" i="1"/>
  <c r="AT24" i="1"/>
  <c r="AR24" i="1"/>
  <c r="AQ24" i="1"/>
  <c r="AN24" i="1"/>
  <c r="AB24" i="1"/>
  <c r="Z24" i="1"/>
  <c r="AM24" i="1" s="1"/>
  <c r="V24" i="1"/>
  <c r="T24" i="1"/>
  <c r="BT24" i="1" s="1"/>
  <c r="S24" i="1"/>
  <c r="Q24" i="1"/>
  <c r="P24" i="1"/>
  <c r="M24" i="1"/>
  <c r="C24" i="1"/>
  <c r="DN23" i="1"/>
  <c r="DM23" i="1"/>
  <c r="CW23" i="1"/>
  <c r="CR23" i="1"/>
  <c r="CV23" i="1" s="1"/>
  <c r="CQ23" i="1"/>
  <c r="CP23" i="1"/>
  <c r="CN23" i="1"/>
  <c r="CH23" i="1"/>
  <c r="CL23" i="1" s="1"/>
  <c r="CG23" i="1"/>
  <c r="CK23" i="1" s="1"/>
  <c r="CF23" i="1"/>
  <c r="DV23" i="1" s="1"/>
  <c r="BZ23" i="1"/>
  <c r="BU23" i="1"/>
  <c r="BO23" i="1"/>
  <c r="BL23" i="1"/>
  <c r="BH23" i="1"/>
  <c r="BG23" i="1"/>
  <c r="BF23" i="1"/>
  <c r="AW23" i="1"/>
  <c r="AT23" i="1"/>
  <c r="AR23" i="1"/>
  <c r="DU23" i="1" s="1"/>
  <c r="AQ23" i="1"/>
  <c r="AN23" i="1"/>
  <c r="AB23" i="1"/>
  <c r="AA23" i="1"/>
  <c r="V23" i="1"/>
  <c r="S23" i="1"/>
  <c r="Q23" i="1"/>
  <c r="P23" i="1"/>
  <c r="M23" i="1"/>
  <c r="C23" i="1"/>
  <c r="DM22" i="1"/>
  <c r="DN22" i="1" s="1"/>
  <c r="CW22" i="1"/>
  <c r="CR22" i="1"/>
  <c r="CS22" i="1" s="1"/>
  <c r="CQ22" i="1"/>
  <c r="CP22" i="1"/>
  <c r="CN22" i="1"/>
  <c r="CI22" i="1"/>
  <c r="CG22" i="1"/>
  <c r="BZ22" i="1"/>
  <c r="BU22" i="1"/>
  <c r="BO22" i="1"/>
  <c r="BL22" i="1"/>
  <c r="BH22" i="1"/>
  <c r="BF22" i="1"/>
  <c r="AW22" i="1"/>
  <c r="AT22" i="1"/>
  <c r="AR22" i="1"/>
  <c r="AQ22" i="1"/>
  <c r="AN22" i="1"/>
  <c r="AB22" i="1"/>
  <c r="Z22" i="1"/>
  <c r="AM22" i="1" s="1"/>
  <c r="V22" i="1"/>
  <c r="S22" i="1"/>
  <c r="T22" i="1" s="1"/>
  <c r="BT22" i="1" s="1"/>
  <c r="Q22" i="1"/>
  <c r="P22" i="1"/>
  <c r="M22" i="1"/>
  <c r="K22" i="1" s="1"/>
  <c r="C22" i="1"/>
  <c r="DM21" i="1"/>
  <c r="DN21" i="1" s="1"/>
  <c r="CW21" i="1"/>
  <c r="CR21" i="1"/>
  <c r="CV21" i="1" s="1"/>
  <c r="CQ21" i="1"/>
  <c r="CP21" i="1"/>
  <c r="CH21" i="1" s="1"/>
  <c r="CN21" i="1"/>
  <c r="CG21" i="1"/>
  <c r="CK21" i="1" s="1"/>
  <c r="BZ21" i="1"/>
  <c r="BU21" i="1"/>
  <c r="BO21" i="1"/>
  <c r="BL21" i="1"/>
  <c r="BH21" i="1"/>
  <c r="BF21" i="1"/>
  <c r="AW21" i="1"/>
  <c r="AT21" i="1"/>
  <c r="AR21" i="1"/>
  <c r="AQ21" i="1"/>
  <c r="AA21" i="1" s="1"/>
  <c r="AN21" i="1"/>
  <c r="AB21" i="1"/>
  <c r="DU21" i="1" s="1"/>
  <c r="Z21" i="1"/>
  <c r="AM21" i="1" s="1"/>
  <c r="V21" i="1"/>
  <c r="S21" i="1"/>
  <c r="T21" i="1" s="1"/>
  <c r="BT21" i="1" s="1"/>
  <c r="Q21" i="1"/>
  <c r="P21" i="1"/>
  <c r="M21" i="1"/>
  <c r="C21" i="1"/>
  <c r="DM20" i="1"/>
  <c r="DN20" i="1" s="1"/>
  <c r="CW20" i="1"/>
  <c r="CS20" i="1"/>
  <c r="CR20" i="1"/>
  <c r="CV20" i="1" s="1"/>
  <c r="CQ20" i="1"/>
  <c r="CF20" i="1" s="1"/>
  <c r="CP20" i="1"/>
  <c r="CN20" i="1"/>
  <c r="CH20" i="1"/>
  <c r="CG20" i="1"/>
  <c r="CK20" i="1" s="1"/>
  <c r="BZ20" i="1"/>
  <c r="BU20" i="1"/>
  <c r="BO20" i="1"/>
  <c r="BL20" i="1"/>
  <c r="BH20" i="1"/>
  <c r="BF20" i="1"/>
  <c r="AW20" i="1"/>
  <c r="AT20" i="1"/>
  <c r="AR20" i="1"/>
  <c r="AQ20" i="1"/>
  <c r="AA20" i="1" s="1"/>
  <c r="AN20" i="1"/>
  <c r="AB20" i="1"/>
  <c r="V20" i="1"/>
  <c r="S20" i="1"/>
  <c r="Q20" i="1"/>
  <c r="P20" i="1"/>
  <c r="M20" i="1"/>
  <c r="K20" i="1" s="1"/>
  <c r="C20" i="1"/>
  <c r="DM19" i="1"/>
  <c r="DN19" i="1" s="1"/>
  <c r="CW19" i="1"/>
  <c r="CS19" i="1"/>
  <c r="CR19" i="1"/>
  <c r="CV19" i="1" s="1"/>
  <c r="CQ19" i="1"/>
  <c r="CF19" i="1" s="1"/>
  <c r="CP19" i="1"/>
  <c r="CN19" i="1"/>
  <c r="CH19" i="1"/>
  <c r="CG19" i="1"/>
  <c r="CK19" i="1" s="1"/>
  <c r="BZ19" i="1"/>
  <c r="BU19" i="1"/>
  <c r="BO19" i="1"/>
  <c r="BL19" i="1"/>
  <c r="BH19" i="1"/>
  <c r="BF19" i="1"/>
  <c r="AW19" i="1"/>
  <c r="AT19" i="1"/>
  <c r="AR19" i="1"/>
  <c r="AQ19" i="1"/>
  <c r="AA19" i="1" s="1"/>
  <c r="AN19" i="1"/>
  <c r="AB19" i="1"/>
  <c r="V19" i="1"/>
  <c r="S19" i="1"/>
  <c r="Q19" i="1"/>
  <c r="P19" i="1"/>
  <c r="M19" i="1"/>
  <c r="C19" i="1"/>
  <c r="DM18" i="1"/>
  <c r="DN18" i="1" s="1"/>
  <c r="CW18" i="1"/>
  <c r="CR18" i="1"/>
  <c r="CV18" i="1" s="1"/>
  <c r="CQ18" i="1"/>
  <c r="CP18" i="1"/>
  <c r="CH18" i="1" s="1"/>
  <c r="CN18" i="1"/>
  <c r="CG18" i="1"/>
  <c r="CK18" i="1" s="1"/>
  <c r="BZ18" i="1"/>
  <c r="BU18" i="1"/>
  <c r="BO18" i="1"/>
  <c r="BL18" i="1"/>
  <c r="BH18" i="1"/>
  <c r="BF18" i="1"/>
  <c r="AW18" i="1"/>
  <c r="AT18" i="1"/>
  <c r="AR18" i="1"/>
  <c r="AQ18" i="1"/>
  <c r="AA18" i="1" s="1"/>
  <c r="AN18" i="1"/>
  <c r="AB18" i="1"/>
  <c r="DU18" i="1" s="1"/>
  <c r="Z18" i="1"/>
  <c r="AM18" i="1" s="1"/>
  <c r="V18" i="1"/>
  <c r="S18" i="1"/>
  <c r="T18" i="1" s="1"/>
  <c r="BT18" i="1" s="1"/>
  <c r="Q18" i="1"/>
  <c r="P18" i="1"/>
  <c r="M18" i="1"/>
  <c r="C18" i="1"/>
  <c r="DM17" i="1"/>
  <c r="DN17" i="1" s="1"/>
  <c r="CW17" i="1"/>
  <c r="CS17" i="1"/>
  <c r="CR17" i="1"/>
  <c r="CV17" i="1" s="1"/>
  <c r="CQ17" i="1"/>
  <c r="CF17" i="1" s="1"/>
  <c r="CP17" i="1"/>
  <c r="CN17" i="1"/>
  <c r="CH17" i="1"/>
  <c r="CG17" i="1"/>
  <c r="CK17" i="1" s="1"/>
  <c r="BZ17" i="1"/>
  <c r="BU17" i="1"/>
  <c r="BO17" i="1"/>
  <c r="BL17" i="1"/>
  <c r="BH17" i="1"/>
  <c r="BF17" i="1"/>
  <c r="AW17" i="1"/>
  <c r="AT17" i="1"/>
  <c r="AR17" i="1"/>
  <c r="AQ17" i="1"/>
  <c r="AA17" i="1" s="1"/>
  <c r="AN17" i="1"/>
  <c r="AB17" i="1"/>
  <c r="V17" i="1"/>
  <c r="S17" i="1"/>
  <c r="Q17" i="1"/>
  <c r="P17" i="1"/>
  <c r="M17" i="1"/>
  <c r="C17" i="1"/>
  <c r="DM16" i="1"/>
  <c r="DN16" i="1" s="1"/>
  <c r="CW16" i="1"/>
  <c r="CR16" i="1"/>
  <c r="CV16" i="1" s="1"/>
  <c r="CQ16" i="1"/>
  <c r="CP16" i="1"/>
  <c r="CH16" i="1" s="1"/>
  <c r="CN16" i="1"/>
  <c r="CG16" i="1"/>
  <c r="BZ16" i="1"/>
  <c r="BU16" i="1"/>
  <c r="BO16" i="1"/>
  <c r="BL16" i="1"/>
  <c r="BH16" i="1"/>
  <c r="BF16" i="1"/>
  <c r="AW16" i="1"/>
  <c r="AT16" i="1"/>
  <c r="AR16" i="1"/>
  <c r="AQ16" i="1"/>
  <c r="AA16" i="1" s="1"/>
  <c r="AN16" i="1"/>
  <c r="AB16" i="1"/>
  <c r="Z16" i="1"/>
  <c r="V16" i="1"/>
  <c r="S16" i="1"/>
  <c r="T16" i="1" s="1"/>
  <c r="BT16" i="1" s="1"/>
  <c r="Q16" i="1"/>
  <c r="P16" i="1"/>
  <c r="M16" i="1"/>
  <c r="K16" i="1" s="1"/>
  <c r="C16" i="1"/>
  <c r="DV48" i="2" l="1"/>
  <c r="BG48" i="2"/>
  <c r="CF30" i="2"/>
  <c r="BG30" i="2" s="1"/>
  <c r="CS30" i="2"/>
  <c r="DU31" i="2"/>
  <c r="AA31" i="2"/>
  <c r="CL32" i="2"/>
  <c r="DU34" i="2"/>
  <c r="AA34" i="2"/>
  <c r="DU39" i="2"/>
  <c r="AA39" i="2"/>
  <c r="CS40" i="2"/>
  <c r="DU41" i="2"/>
  <c r="AA41" i="2"/>
  <c r="T43" i="2"/>
  <c r="BT43" i="2" s="1"/>
  <c r="DU43" i="2"/>
  <c r="CV43" i="2"/>
  <c r="CS44" i="2"/>
  <c r="DU45" i="2"/>
  <c r="AA45" i="2"/>
  <c r="Z46" i="2"/>
  <c r="AE46" i="2" s="1"/>
  <c r="CS46" i="2"/>
  <c r="T48" i="2"/>
  <c r="BT48" i="2" s="1"/>
  <c r="DU48" i="2"/>
  <c r="CL48" i="2"/>
  <c r="T49" i="2"/>
  <c r="BT49" i="2" s="1"/>
  <c r="Y49" i="2"/>
  <c r="AC49" i="2"/>
  <c r="CL49" i="2"/>
  <c r="AA18" i="2"/>
  <c r="DU17" i="2"/>
  <c r="AA17" i="2"/>
  <c r="CS18" i="2"/>
  <c r="DU19" i="2"/>
  <c r="AA19" i="2"/>
  <c r="CS20" i="2"/>
  <c r="DU21" i="2"/>
  <c r="AA21" i="2"/>
  <c r="T23" i="2"/>
  <c r="BT23" i="2" s="1"/>
  <c r="DU23" i="2"/>
  <c r="CL23" i="2"/>
  <c r="T24" i="2"/>
  <c r="BT24" i="2" s="1"/>
  <c r="DU24" i="2"/>
  <c r="CL24" i="2"/>
  <c r="T25" i="2"/>
  <c r="BT25" i="2" s="1"/>
  <c r="DU25" i="2"/>
  <c r="CL27" i="2"/>
  <c r="CL28" i="2"/>
  <c r="CL29" i="2"/>
  <c r="CS35" i="2"/>
  <c r="AA36" i="2"/>
  <c r="DU37" i="2"/>
  <c r="DU38" i="2"/>
  <c r="CL38" i="2"/>
  <c r="DU49" i="2"/>
  <c r="AE17" i="2"/>
  <c r="AE19" i="2"/>
  <c r="AE21" i="2"/>
  <c r="DV29" i="2"/>
  <c r="BG29" i="2"/>
  <c r="DV30" i="2"/>
  <c r="BN36" i="2"/>
  <c r="W36" i="2"/>
  <c r="AE22" i="2"/>
  <c r="BN34" i="2"/>
  <c r="W34" i="2"/>
  <c r="AD17" i="2"/>
  <c r="AM17" i="2"/>
  <c r="CI17" i="2"/>
  <c r="CJ17" i="2" s="1"/>
  <c r="CK17" i="2"/>
  <c r="CV17" i="2"/>
  <c r="DV18" i="2"/>
  <c r="AD19" i="2"/>
  <c r="AM19" i="2"/>
  <c r="CI19" i="2"/>
  <c r="CJ19" i="2" s="1"/>
  <c r="CK19" i="2"/>
  <c r="CV19" i="2"/>
  <c r="DV20" i="2"/>
  <c r="AD21" i="2"/>
  <c r="AM21" i="2"/>
  <c r="CI21" i="2"/>
  <c r="CJ21" i="2" s="1"/>
  <c r="CK21" i="2"/>
  <c r="CV21" i="2"/>
  <c r="AD22" i="2"/>
  <c r="AM22" i="2"/>
  <c r="CI22" i="2"/>
  <c r="CJ22" i="2" s="1"/>
  <c r="CK22" i="2"/>
  <c r="CV22" i="2"/>
  <c r="DV23" i="2"/>
  <c r="DV24" i="2"/>
  <c r="AE26" i="2"/>
  <c r="AC26" i="2"/>
  <c r="Y26" i="2"/>
  <c r="AD26" i="2"/>
  <c r="CH26" i="2"/>
  <c r="CJ26" i="2" s="1"/>
  <c r="CF26" i="2"/>
  <c r="DU27" i="2"/>
  <c r="Z27" i="2"/>
  <c r="DU28" i="2"/>
  <c r="Z28" i="2"/>
  <c r="DU29" i="2"/>
  <c r="Z29" i="2"/>
  <c r="DU30" i="2"/>
  <c r="Z30" i="2"/>
  <c r="AE31" i="2"/>
  <c r="AC31" i="2"/>
  <c r="Y31" i="2"/>
  <c r="AD31" i="2"/>
  <c r="CJ31" i="2"/>
  <c r="CH31" i="2"/>
  <c r="CF31" i="2"/>
  <c r="DU32" i="2"/>
  <c r="Z32" i="2"/>
  <c r="AE33" i="2"/>
  <c r="AC33" i="2"/>
  <c r="Y33" i="2"/>
  <c r="AD33" i="2"/>
  <c r="CH33" i="2"/>
  <c r="CJ33" i="2" s="1"/>
  <c r="CF33" i="2"/>
  <c r="CK34" i="2"/>
  <c r="CV34" i="2"/>
  <c r="T35" i="2"/>
  <c r="BT35" i="2" s="1"/>
  <c r="CK36" i="2"/>
  <c r="CV36" i="2"/>
  <c r="Y17" i="2"/>
  <c r="AC17" i="2"/>
  <c r="CF17" i="2"/>
  <c r="Z18" i="2"/>
  <c r="CI18" i="2"/>
  <c r="CJ18" i="2" s="1"/>
  <c r="Y19" i="2"/>
  <c r="AC19" i="2"/>
  <c r="CF19" i="2"/>
  <c r="Z20" i="2"/>
  <c r="CI20" i="2"/>
  <c r="CJ20" i="2" s="1"/>
  <c r="Y21" i="2"/>
  <c r="AC21" i="2"/>
  <c r="CF21" i="2"/>
  <c r="Y22" i="2"/>
  <c r="AC22" i="2"/>
  <c r="CF22" i="2"/>
  <c r="Z23" i="2"/>
  <c r="CI23" i="2"/>
  <c r="CJ23" i="2" s="1"/>
  <c r="Z24" i="2"/>
  <c r="CI24" i="2"/>
  <c r="CJ24" i="2" s="1"/>
  <c r="Z25" i="2"/>
  <c r="CK25" i="2"/>
  <c r="CI25" i="2"/>
  <c r="CJ25" i="2" s="1"/>
  <c r="DV25" i="2"/>
  <c r="AM26" i="2"/>
  <c r="CL26" i="2"/>
  <c r="CK26" i="2"/>
  <c r="CV26" i="2"/>
  <c r="T27" i="2"/>
  <c r="BT27" i="2" s="1"/>
  <c r="DV27" i="2"/>
  <c r="T28" i="2"/>
  <c r="BT28" i="2" s="1"/>
  <c r="DV28" i="2"/>
  <c r="T29" i="2"/>
  <c r="BT29" i="2" s="1"/>
  <c r="T30" i="2"/>
  <c r="BT30" i="2" s="1"/>
  <c r="AM31" i="2"/>
  <c r="CL31" i="2"/>
  <c r="CK31" i="2"/>
  <c r="CV31" i="2"/>
  <c r="T32" i="2"/>
  <c r="BT32" i="2" s="1"/>
  <c r="DV32" i="2"/>
  <c r="AM33" i="2"/>
  <c r="CL33" i="2"/>
  <c r="CK33" i="2"/>
  <c r="CV33" i="2"/>
  <c r="AE34" i="2"/>
  <c r="AC34" i="2"/>
  <c r="Y34" i="2"/>
  <c r="AD34" i="2"/>
  <c r="BM34" i="2"/>
  <c r="CJ34" i="2"/>
  <c r="CH34" i="2"/>
  <c r="CL34" i="2" s="1"/>
  <c r="CF34" i="2"/>
  <c r="DU35" i="2"/>
  <c r="Z35" i="2"/>
  <c r="AE36" i="2"/>
  <c r="AC36" i="2"/>
  <c r="Y36" i="2"/>
  <c r="AD36" i="2"/>
  <c r="BM36" i="2"/>
  <c r="CH36" i="2"/>
  <c r="CL36" i="2" s="1"/>
  <c r="CF36" i="2"/>
  <c r="AE37" i="2"/>
  <c r="AD37" i="2"/>
  <c r="AM37" i="2"/>
  <c r="CI37" i="2"/>
  <c r="CJ37" i="2" s="1"/>
  <c r="CK37" i="2"/>
  <c r="CV37" i="2"/>
  <c r="T38" i="2"/>
  <c r="BT38" i="2" s="1"/>
  <c r="AE42" i="2"/>
  <c r="CI27" i="2"/>
  <c r="CJ27" i="2" s="1"/>
  <c r="CI28" i="2"/>
  <c r="CJ28" i="2" s="1"/>
  <c r="CI29" i="2"/>
  <c r="CJ29" i="2" s="1"/>
  <c r="CI30" i="2"/>
  <c r="CJ30" i="2" s="1"/>
  <c r="CI32" i="2"/>
  <c r="CJ32" i="2" s="1"/>
  <c r="CI35" i="2"/>
  <c r="CJ35" i="2" s="1"/>
  <c r="Y37" i="2"/>
  <c r="AC37" i="2"/>
  <c r="CF37" i="2"/>
  <c r="AE39" i="2"/>
  <c r="AE41" i="2"/>
  <c r="DV38" i="2"/>
  <c r="AD39" i="2"/>
  <c r="AM39" i="2"/>
  <c r="CI39" i="2"/>
  <c r="CJ39" i="2" s="1"/>
  <c r="CK39" i="2"/>
  <c r="CV39" i="2"/>
  <c r="DV40" i="2"/>
  <c r="AD41" i="2"/>
  <c r="AM41" i="2"/>
  <c r="CI41" i="2"/>
  <c r="CJ41" i="2" s="1"/>
  <c r="CK41" i="2"/>
  <c r="CV41" i="2"/>
  <c r="AD42" i="2"/>
  <c r="AM42" i="2"/>
  <c r="CI42" i="2"/>
  <c r="CJ42" i="2" s="1"/>
  <c r="CK42" i="2"/>
  <c r="CV42" i="2"/>
  <c r="CK43" i="2"/>
  <c r="T44" i="2"/>
  <c r="BT44" i="2" s="1"/>
  <c r="W47" i="2"/>
  <c r="BN47" i="2"/>
  <c r="Z38" i="2"/>
  <c r="CI38" i="2"/>
  <c r="CJ38" i="2" s="1"/>
  <c r="Y39" i="2"/>
  <c r="AC39" i="2"/>
  <c r="CF39" i="2"/>
  <c r="Z40" i="2"/>
  <c r="CI40" i="2"/>
  <c r="CJ40" i="2" s="1"/>
  <c r="Y41" i="2"/>
  <c r="AC41" i="2"/>
  <c r="CF41" i="2"/>
  <c r="Y42" i="2"/>
  <c r="AC42" i="2"/>
  <c r="CF42" i="2"/>
  <c r="Z43" i="2"/>
  <c r="CI43" i="2"/>
  <c r="CJ43" i="2" s="1"/>
  <c r="CH43" i="2"/>
  <c r="CL43" i="2" s="1"/>
  <c r="CF43" i="2"/>
  <c r="W45" i="2"/>
  <c r="BN45" i="2"/>
  <c r="BM45" i="2" s="1"/>
  <c r="BM49" i="2"/>
  <c r="W49" i="2"/>
  <c r="Z44" i="2"/>
  <c r="CI44" i="2"/>
  <c r="CJ44" i="2" s="1"/>
  <c r="Y45" i="2"/>
  <c r="AC45" i="2"/>
  <c r="AE45" i="2"/>
  <c r="CF45" i="2"/>
  <c r="CL45" i="2"/>
  <c r="CS45" i="2"/>
  <c r="Y46" i="2"/>
  <c r="AA46" i="2"/>
  <c r="AD46" i="2"/>
  <c r="AM46" i="2"/>
  <c r="CI46" i="2"/>
  <c r="CJ46" i="2" s="1"/>
  <c r="Y47" i="2"/>
  <c r="AC47" i="2"/>
  <c r="AE47" i="2"/>
  <c r="CF47" i="2"/>
  <c r="CL47" i="2"/>
  <c r="CS47" i="2"/>
  <c r="Z48" i="2"/>
  <c r="CI48" i="2"/>
  <c r="CJ48" i="2" s="1"/>
  <c r="AD49" i="2"/>
  <c r="CI49" i="2"/>
  <c r="CJ49" i="2" s="1"/>
  <c r="CK49" i="2"/>
  <c r="CM49" i="2"/>
  <c r="CE49" i="2" s="1"/>
  <c r="CV49" i="2"/>
  <c r="AD45" i="2"/>
  <c r="CI45" i="2"/>
  <c r="CJ45" i="2" s="1"/>
  <c r="AC46" i="2"/>
  <c r="AD47" i="2"/>
  <c r="BM47" i="2"/>
  <c r="CI47" i="2"/>
  <c r="CJ47" i="2" s="1"/>
  <c r="DV19" i="1"/>
  <c r="BG19" i="1"/>
  <c r="DV17" i="1"/>
  <c r="BG17" i="1"/>
  <c r="DV20" i="1"/>
  <c r="BG20" i="1"/>
  <c r="CS23" i="1"/>
  <c r="DU24" i="1"/>
  <c r="AA24" i="1"/>
  <c r="T26" i="1"/>
  <c r="BT26" i="1" s="1"/>
  <c r="Z26" i="1"/>
  <c r="AE26" i="1" s="1"/>
  <c r="CS26" i="1"/>
  <c r="AA27" i="1"/>
  <c r="CS28" i="1"/>
  <c r="CL16" i="1"/>
  <c r="AE16" i="1"/>
  <c r="T17" i="1"/>
  <c r="BT17" i="1" s="1"/>
  <c r="DU17" i="1"/>
  <c r="CL17" i="1"/>
  <c r="T19" i="1"/>
  <c r="BT19" i="1" s="1"/>
  <c r="DU19" i="1"/>
  <c r="CL19" i="1"/>
  <c r="T20" i="1"/>
  <c r="BT20" i="1" s="1"/>
  <c r="DU20" i="1"/>
  <c r="CL20" i="1"/>
  <c r="DU22" i="1"/>
  <c r="AA22" i="1"/>
  <c r="W22" i="1"/>
  <c r="BN22" i="1"/>
  <c r="W18" i="1"/>
  <c r="BN18" i="1"/>
  <c r="W21" i="1"/>
  <c r="BN21" i="1"/>
  <c r="AD16" i="1"/>
  <c r="AM16" i="1"/>
  <c r="CI16" i="1"/>
  <c r="CJ16" i="1" s="1"/>
  <c r="CK16" i="1"/>
  <c r="DU16" i="1"/>
  <c r="Y16" i="1"/>
  <c r="AC16" i="1"/>
  <c r="CF16" i="1"/>
  <c r="CS16" i="1"/>
  <c r="Z17" i="1"/>
  <c r="CI17" i="1"/>
  <c r="CJ17" i="1" s="1"/>
  <c r="Y18" i="1"/>
  <c r="AC18" i="1"/>
  <c r="AE18" i="1"/>
  <c r="CF18" i="1"/>
  <c r="CL18" i="1"/>
  <c r="CS18" i="1"/>
  <c r="Z19" i="1"/>
  <c r="CI19" i="1"/>
  <c r="CJ19" i="1" s="1"/>
  <c r="Z20" i="1"/>
  <c r="CI20" i="1"/>
  <c r="CJ20" i="1" s="1"/>
  <c r="Y21" i="1"/>
  <c r="AC21" i="1"/>
  <c r="AE21" i="1"/>
  <c r="CF21" i="1"/>
  <c r="CL21" i="1"/>
  <c r="CS21" i="1"/>
  <c r="Y22" i="1"/>
  <c r="AC22" i="1"/>
  <c r="AE22" i="1"/>
  <c r="CK22" i="1"/>
  <c r="CV22" i="1"/>
  <c r="T23" i="1"/>
  <c r="BT23" i="1" s="1"/>
  <c r="W25" i="1"/>
  <c r="BN25" i="1"/>
  <c r="AD18" i="1"/>
  <c r="BM18" i="1"/>
  <c r="CI18" i="1"/>
  <c r="CJ18" i="1" s="1"/>
  <c r="AD21" i="1"/>
  <c r="BM21" i="1"/>
  <c r="CI21" i="1"/>
  <c r="CJ21" i="1" s="1"/>
  <c r="AD22" i="1"/>
  <c r="BM22" i="1"/>
  <c r="CH22" i="1"/>
  <c r="CL22" i="1" s="1"/>
  <c r="CF22" i="1"/>
  <c r="W24" i="1"/>
  <c r="BN24" i="1"/>
  <c r="W27" i="1"/>
  <c r="BN27" i="1"/>
  <c r="BM27" i="1" s="1"/>
  <c r="Z23" i="1"/>
  <c r="CI23" i="1"/>
  <c r="CJ23" i="1" s="1"/>
  <c r="Y24" i="1"/>
  <c r="AC24" i="1"/>
  <c r="AE24" i="1"/>
  <c r="CF24" i="1"/>
  <c r="CL24" i="1"/>
  <c r="CS24" i="1"/>
  <c r="Y25" i="1"/>
  <c r="AC25" i="1"/>
  <c r="AE25" i="1"/>
  <c r="CF25" i="1"/>
  <c r="CL25" i="1"/>
  <c r="CS25" i="1"/>
  <c r="AD26" i="1"/>
  <c r="AM26" i="1"/>
  <c r="CI26" i="1"/>
  <c r="CJ26" i="1" s="1"/>
  <c r="CM26" i="1"/>
  <c r="CE26" i="1" s="1"/>
  <c r="Y27" i="1"/>
  <c r="AC27" i="1"/>
  <c r="AE27" i="1"/>
  <c r="CF27" i="1"/>
  <c r="CL27" i="1"/>
  <c r="CS27" i="1"/>
  <c r="Z28" i="1"/>
  <c r="CI28" i="1"/>
  <c r="CJ28" i="1" s="1"/>
  <c r="AD24" i="1"/>
  <c r="BM24" i="1"/>
  <c r="CI24" i="1"/>
  <c r="CJ24" i="1" s="1"/>
  <c r="AD25" i="1"/>
  <c r="BM25" i="1"/>
  <c r="CI25" i="1"/>
  <c r="CJ25" i="1" s="1"/>
  <c r="Y26" i="1"/>
  <c r="AC26" i="1"/>
  <c r="AD27" i="1"/>
  <c r="CI27" i="1"/>
  <c r="CJ27" i="1" s="1"/>
  <c r="CM47" i="2" l="1"/>
  <c r="DV47" i="2"/>
  <c r="BG47" i="2"/>
  <c r="BN46" i="2"/>
  <c r="BM46" i="2" s="1"/>
  <c r="W46" i="2"/>
  <c r="AE48" i="2"/>
  <c r="AC48" i="2"/>
  <c r="Y48" i="2"/>
  <c r="AM48" i="2"/>
  <c r="AD48" i="2"/>
  <c r="AM44" i="2"/>
  <c r="AD44" i="2"/>
  <c r="AC44" i="2"/>
  <c r="AE44" i="2"/>
  <c r="Y44" i="2"/>
  <c r="AM43" i="2"/>
  <c r="AD43" i="2"/>
  <c r="AE43" i="2"/>
  <c r="AC43" i="2"/>
  <c r="Y43" i="2"/>
  <c r="DV41" i="2"/>
  <c r="BG41" i="2"/>
  <c r="CM41" i="2"/>
  <c r="CE41" i="2" s="1"/>
  <c r="DV39" i="2"/>
  <c r="BG39" i="2"/>
  <c r="CM39" i="2"/>
  <c r="CE39" i="2" s="1"/>
  <c r="BN39" i="2"/>
  <c r="BM39" i="2" s="1"/>
  <c r="W39" i="2"/>
  <c r="DV37" i="2"/>
  <c r="BG37" i="2"/>
  <c r="CM37" i="2"/>
  <c r="CE37" i="2" s="1"/>
  <c r="DV36" i="2"/>
  <c r="BG36" i="2"/>
  <c r="CM36" i="2"/>
  <c r="CJ36" i="2"/>
  <c r="AM35" i="2"/>
  <c r="AD35" i="2"/>
  <c r="AC35" i="2"/>
  <c r="AE35" i="2"/>
  <c r="Y35" i="2"/>
  <c r="BN33" i="2"/>
  <c r="BM33" i="2" s="1"/>
  <c r="W33" i="2"/>
  <c r="AM25" i="2"/>
  <c r="AD25" i="2"/>
  <c r="AE25" i="2"/>
  <c r="AC25" i="2"/>
  <c r="Y25" i="2"/>
  <c r="AM23" i="2"/>
  <c r="AD23" i="2"/>
  <c r="AE23" i="2"/>
  <c r="AC23" i="2"/>
  <c r="Y23" i="2"/>
  <c r="DV21" i="2"/>
  <c r="BG21" i="2"/>
  <c r="CM21" i="2"/>
  <c r="CE21" i="2" s="1"/>
  <c r="DV19" i="2"/>
  <c r="BG19" i="2"/>
  <c r="CM19" i="2"/>
  <c r="CE19" i="2" s="1"/>
  <c r="DV17" i="2"/>
  <c r="BG17" i="2"/>
  <c r="CM17" i="2"/>
  <c r="DV33" i="2"/>
  <c r="BG33" i="2"/>
  <c r="CM33" i="2"/>
  <c r="CE33" i="2" s="1"/>
  <c r="AM32" i="2"/>
  <c r="AD32" i="2"/>
  <c r="AE32" i="2"/>
  <c r="Y32" i="2"/>
  <c r="AC32" i="2"/>
  <c r="AM29" i="2"/>
  <c r="AD29" i="2"/>
  <c r="AE29" i="2"/>
  <c r="Y29" i="2"/>
  <c r="AC29" i="2"/>
  <c r="AM27" i="2"/>
  <c r="AD27" i="2"/>
  <c r="AE27" i="2"/>
  <c r="Y27" i="2"/>
  <c r="AC27" i="2"/>
  <c r="BN22" i="2"/>
  <c r="BM22" i="2" s="1"/>
  <c r="W22" i="2"/>
  <c r="BN21" i="2"/>
  <c r="BM21" i="2" s="1"/>
  <c r="W21" i="2"/>
  <c r="BN17" i="2"/>
  <c r="BM17" i="2" s="1"/>
  <c r="W17" i="2"/>
  <c r="CM46" i="2"/>
  <c r="CE46" i="2" s="1"/>
  <c r="CM45" i="2"/>
  <c r="DV45" i="2"/>
  <c r="BG45" i="2"/>
  <c r="DV43" i="2"/>
  <c r="CM43" i="2"/>
  <c r="CE43" i="2"/>
  <c r="BG43" i="2"/>
  <c r="DV42" i="2"/>
  <c r="BG42" i="2"/>
  <c r="CM42" i="2"/>
  <c r="CE42" i="2" s="1"/>
  <c r="AM40" i="2"/>
  <c r="AD40" i="2"/>
  <c r="AE40" i="2"/>
  <c r="AC40" i="2"/>
  <c r="Y40" i="2"/>
  <c r="AM38" i="2"/>
  <c r="AD38" i="2"/>
  <c r="AC38" i="2"/>
  <c r="AE38" i="2"/>
  <c r="Y38" i="2"/>
  <c r="BN42" i="2"/>
  <c r="BM42" i="2" s="1"/>
  <c r="W42" i="2"/>
  <c r="BN41" i="2"/>
  <c r="BM41" i="2" s="1"/>
  <c r="W41" i="2"/>
  <c r="BN37" i="2"/>
  <c r="BM37" i="2" s="1"/>
  <c r="W37" i="2"/>
  <c r="DV34" i="2"/>
  <c r="BG34" i="2"/>
  <c r="CM34" i="2"/>
  <c r="CE34" i="2"/>
  <c r="BN31" i="2"/>
  <c r="BM31" i="2" s="1"/>
  <c r="W31" i="2"/>
  <c r="BN26" i="2"/>
  <c r="BM26" i="2" s="1"/>
  <c r="W26" i="2"/>
  <c r="AM24" i="2"/>
  <c r="AD24" i="2"/>
  <c r="AE24" i="2"/>
  <c r="AC24" i="2"/>
  <c r="Y24" i="2"/>
  <c r="DV22" i="2"/>
  <c r="BG22" i="2"/>
  <c r="CM22" i="2"/>
  <c r="CE22" i="2" s="1"/>
  <c r="AM20" i="2"/>
  <c r="AD20" i="2"/>
  <c r="AE20" i="2"/>
  <c r="AC20" i="2"/>
  <c r="Y20" i="2"/>
  <c r="AM18" i="2"/>
  <c r="AD18" i="2"/>
  <c r="AE18" i="2"/>
  <c r="AC18" i="2"/>
  <c r="Y18" i="2"/>
  <c r="DV31" i="2"/>
  <c r="BG31" i="2"/>
  <c r="CM31" i="2"/>
  <c r="AM30" i="2"/>
  <c r="AD30" i="2"/>
  <c r="AE30" i="2"/>
  <c r="Y30" i="2"/>
  <c r="AC30" i="2"/>
  <c r="AM28" i="2"/>
  <c r="AD28" i="2"/>
  <c r="AE28" i="2"/>
  <c r="Y28" i="2"/>
  <c r="AC28" i="2"/>
  <c r="DV26" i="2"/>
  <c r="BG26" i="2"/>
  <c r="CM26" i="2"/>
  <c r="CE26" i="2" s="1"/>
  <c r="BN19" i="2"/>
  <c r="BM19" i="2" s="1"/>
  <c r="W19" i="2"/>
  <c r="AE28" i="1"/>
  <c r="AC28" i="1"/>
  <c r="Y28" i="1"/>
  <c r="AM28" i="1"/>
  <c r="AD28" i="1"/>
  <c r="BN26" i="1"/>
  <c r="BM26" i="1" s="1"/>
  <c r="W26" i="1"/>
  <c r="CM25" i="1"/>
  <c r="DV25" i="1"/>
  <c r="BG25" i="1"/>
  <c r="CM24" i="1"/>
  <c r="DV24" i="1"/>
  <c r="BG24" i="1"/>
  <c r="DV22" i="1"/>
  <c r="CM22" i="1"/>
  <c r="CE22" i="1" s="1"/>
  <c r="BG22" i="1"/>
  <c r="CJ22" i="1"/>
  <c r="CM21" i="1"/>
  <c r="DV21" i="1"/>
  <c r="BG21" i="1"/>
  <c r="CM18" i="1"/>
  <c r="DV18" i="1"/>
  <c r="BG18" i="1"/>
  <c r="CE18" i="1" s="1"/>
  <c r="CM27" i="1"/>
  <c r="DV27" i="1"/>
  <c r="BG27" i="1"/>
  <c r="AM23" i="1"/>
  <c r="AD23" i="1"/>
  <c r="AC23" i="1"/>
  <c r="AE23" i="1"/>
  <c r="Y23" i="1"/>
  <c r="AE20" i="1"/>
  <c r="AC20" i="1"/>
  <c r="Y20" i="1"/>
  <c r="AM20" i="1"/>
  <c r="AD20" i="1"/>
  <c r="AE19" i="1"/>
  <c r="AC19" i="1"/>
  <c r="Y19" i="1"/>
  <c r="AM19" i="1"/>
  <c r="AD19" i="1"/>
  <c r="AE17" i="1"/>
  <c r="AC17" i="1"/>
  <c r="Y17" i="1"/>
  <c r="AM17" i="1"/>
  <c r="AD17" i="1"/>
  <c r="DV16" i="1"/>
  <c r="BG16" i="1"/>
  <c r="CM16" i="1"/>
  <c r="CE16" i="1" s="1"/>
  <c r="BN16" i="1"/>
  <c r="BM16" i="1" s="1"/>
  <c r="W16" i="1"/>
  <c r="CE31" i="2" l="1"/>
  <c r="CE45" i="2"/>
  <c r="CE17" i="2"/>
  <c r="CE36" i="2"/>
  <c r="CE47" i="2"/>
  <c r="BN28" i="2"/>
  <c r="BM28" i="2" s="1"/>
  <c r="W28" i="2"/>
  <c r="CM28" i="2"/>
  <c r="CE28" i="2" s="1"/>
  <c r="BN18" i="2"/>
  <c r="BM18" i="2" s="1"/>
  <c r="W18" i="2"/>
  <c r="CM18" i="2"/>
  <c r="CE18" i="2" s="1"/>
  <c r="BN24" i="2"/>
  <c r="BM24" i="2" s="1"/>
  <c r="CM24" i="2"/>
  <c r="CE24" i="2" s="1"/>
  <c r="W24" i="2"/>
  <c r="BN38" i="2"/>
  <c r="BM38" i="2" s="1"/>
  <c r="W38" i="2"/>
  <c r="CM38" i="2"/>
  <c r="CE38" i="2" s="1"/>
  <c r="BN29" i="2"/>
  <c r="BM29" i="2" s="1"/>
  <c r="CM29" i="2"/>
  <c r="CE29" i="2" s="1"/>
  <c r="W29" i="2"/>
  <c r="BN35" i="2"/>
  <c r="BM35" i="2" s="1"/>
  <c r="CM35" i="2"/>
  <c r="CE35" i="2" s="1"/>
  <c r="W35" i="2"/>
  <c r="BN44" i="2"/>
  <c r="BM44" i="2" s="1"/>
  <c r="W44" i="2"/>
  <c r="CM44" i="2"/>
  <c r="CE44" i="2" s="1"/>
  <c r="BN48" i="2"/>
  <c r="BM48" i="2" s="1"/>
  <c r="CM48" i="2"/>
  <c r="CE48" i="2" s="1"/>
  <c r="W48" i="2"/>
  <c r="BN30" i="2"/>
  <c r="BM30" i="2" s="1"/>
  <c r="W30" i="2"/>
  <c r="CM30" i="2"/>
  <c r="CE30" i="2" s="1"/>
  <c r="BN20" i="2"/>
  <c r="BM20" i="2" s="1"/>
  <c r="CM20" i="2"/>
  <c r="CE20" i="2" s="1"/>
  <c r="W20" i="2"/>
  <c r="BN40" i="2"/>
  <c r="BM40" i="2" s="1"/>
  <c r="CM40" i="2"/>
  <c r="CE40" i="2" s="1"/>
  <c r="W40" i="2"/>
  <c r="BN27" i="2"/>
  <c r="BM27" i="2" s="1"/>
  <c r="CM27" i="2"/>
  <c r="CE27" i="2" s="1"/>
  <c r="W27" i="2"/>
  <c r="BN32" i="2"/>
  <c r="BM32" i="2" s="1"/>
  <c r="CM32" i="2"/>
  <c r="CE32" i="2" s="1"/>
  <c r="W32" i="2"/>
  <c r="BN23" i="2"/>
  <c r="BM23" i="2" s="1"/>
  <c r="CM23" i="2"/>
  <c r="CE23" i="2" s="1"/>
  <c r="W23" i="2"/>
  <c r="BN25" i="2"/>
  <c r="BM25" i="2" s="1"/>
  <c r="CM25" i="2"/>
  <c r="CE25" i="2" s="1"/>
  <c r="W25" i="2"/>
  <c r="BN43" i="2"/>
  <c r="BM43" i="2" s="1"/>
  <c r="W43" i="2"/>
  <c r="CE27" i="1"/>
  <c r="CE21" i="1"/>
  <c r="CE25" i="1"/>
  <c r="CE24" i="1"/>
  <c r="BN19" i="1"/>
  <c r="BM19" i="1" s="1"/>
  <c r="W19" i="1"/>
  <c r="CM19" i="1"/>
  <c r="CE19" i="1" s="1"/>
  <c r="BN23" i="1"/>
  <c r="BM23" i="1" s="1"/>
  <c r="W23" i="1"/>
  <c r="CM23" i="1"/>
  <c r="CE23" i="1" s="1"/>
  <c r="BN28" i="1"/>
  <c r="BM28" i="1" s="1"/>
  <c r="CM28" i="1"/>
  <c r="CE28" i="1" s="1"/>
  <c r="W28" i="1"/>
  <c r="BN17" i="1"/>
  <c r="BM17" i="1" s="1"/>
  <c r="W17" i="1"/>
  <c r="CM17" i="1"/>
  <c r="CE17" i="1" s="1"/>
  <c r="BN20" i="1"/>
  <c r="BM20" i="1" s="1"/>
  <c r="W20" i="1"/>
  <c r="CM20" i="1"/>
  <c r="CE20" i="1" s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<sst xmlns="http://schemas.openxmlformats.org/spreadsheetml/2006/main" count="1378" uniqueCount="227">
  <si>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</si>
  <si>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</si>
  <si>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</si>
  <si>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</si>
  <si>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</si>
  <si>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</si>
  <si>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</si>
  <si>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</si>
  <si>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</si>
  <si>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</si>
  <si>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</si>
  <si>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</si>
  <si>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</si>
  <si>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</si>
  <si>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</si>
  <si>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</si>
  <si>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</si>
  <si>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</si>
  <si>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</si>
  <si>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</si>
  <si>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</si>
  <si>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</si>
  <si>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</si>
  <si>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</si>
  <si>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</si>
  <si>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</si>
  <si>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</si>
  <si>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</si>
  <si>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</si>
  <si>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</si>
  <si>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</si>
  <si>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</si>
  <si>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</si>
  <si>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</si>
  <si>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</si>
  <si>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</si>
  <si>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</si>
  <si>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</si>
  <si>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</si>
  <si>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</si>
  <si>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</si>
  <si>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</si>
  <si>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12</t>
  </si>
  <si>
    <t>người lao động</t>
  </si>
  <si>
    <t>17</t>
  </si>
  <si>
    <t>Giảng viên chính (hạng II)</t>
  </si>
  <si>
    <t>10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</si>
  <si>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</si>
  <si>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</si>
  <si>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</si>
  <si>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</si>
  <si>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</si>
  <si>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</si>
  <si>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</si>
  <si>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</si>
  <si>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</si>
  <si>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</si>
  <si>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</si>
  <si>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</si>
  <si>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</si>
  <si>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</si>
  <si>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</si>
  <si>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</si>
  <si>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</si>
  <si>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</si>
  <si>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</si>
  <si>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</si>
  <si>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</si>
  <si>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</si>
  <si>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</si>
  <si>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</si>
  <si>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</si>
  <si>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</si>
  <si>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</si>
  <si>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</si>
  <si>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</si>
  <si>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</si>
  <si>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</si>
  <si>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</si>
  <si>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</si>
  <si>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</si>
  <si>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</si>
  <si>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</si>
  <si>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</si>
  <si>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</si>
  <si>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</si>
  <si>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</si>
  <si>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</si>
  <si>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>3</t>
  </si>
  <si>
    <t xml:space="preserve">(Đã ký) </t>
  </si>
  <si>
    <t>và trên Website Học viện Hành chính Quốc gia;</t>
  </si>
  <si>
    <t>9</t>
  </si>
  <si>
    <t>GIỚITÍNH</t>
  </si>
  <si>
    <t>viên chức</t>
  </si>
  <si>
    <t>Chuyên viên</t>
  </si>
  <si>
    <t>5</t>
  </si>
  <si>
    <t>V.07.01.02</t>
  </si>
  <si>
    <t>Trưởng bộ môn</t>
  </si>
  <si>
    <t>Khoa Hành chính học</t>
  </si>
  <si>
    <t>13</t>
  </si>
  <si>
    <t>Khoa Quản lý nhà nước về Kinh tế</t>
  </si>
  <si>
    <t>Phó Trưởng khoa</t>
  </si>
  <si>
    <t>Khoa Tổ chức và Quản lý nhân sự</t>
  </si>
  <si>
    <t>21</t>
  </si>
  <si>
    <t>03</t>
  </si>
  <si>
    <t>Phó Trưởng bộ môn</t>
  </si>
  <si>
    <t>Cơ sở Học viện Hành chính Quốc gia tại Thành phố Hồ Chí Minh</t>
  </si>
  <si>
    <t>4</t>
  </si>
  <si>
    <t>2012</t>
  </si>
  <si>
    <t>6</t>
  </si>
  <si>
    <t>Bộ môn Tổ chức nhân sự,</t>
  </si>
  <si>
    <t>Phòng Đào tạo đại học,</t>
  </si>
  <si>
    <t>Ban Đào tạo</t>
  </si>
  <si>
    <t>28</t>
  </si>
  <si>
    <t>Phó Trưởng phòng</t>
  </si>
  <si>
    <t>Bộ môn Thanh tra,</t>
  </si>
  <si>
    <t>Khoa Nhà nước và Pháp luật</t>
  </si>
  <si>
    <t>1972</t>
  </si>
  <si>
    <t>20</t>
  </si>
  <si>
    <t>Bộ môn Dân số - Lao động - Bảo trợ xã hội,</t>
  </si>
  <si>
    <t>Khoa Quản lý nhà nước về Xã hội</t>
  </si>
  <si>
    <t>Trung tâm Tin học - Thư viện</t>
  </si>
  <si>
    <t>30</t>
  </si>
  <si>
    <t>Trung tâm Tin học hành chính và Công nghệ thông tin</t>
  </si>
  <si>
    <t>ThS. Nguyễn Tiến Hiệp</t>
  </si>
  <si>
    <t>1955</t>
  </si>
  <si>
    <t>1957</t>
  </si>
  <si>
    <t>Phòng Đào tạo, bồi dưỡng theo chức danh,</t>
  </si>
  <si>
    <t>Bộ môn Quản lý nhà nước về Xã hội,</t>
  </si>
  <si>
    <t>(người tiếp nhận: Vũ Thị Hồng Diệp, ĐT: 0438 359 295/ 01687.02.55.99).</t>
  </si>
  <si>
    <t xml:space="preserve">                  (người tiếp nhận: Vũ Thị Hồng Diệp, ĐT: 0438 359 295/ 01687.02.55.99).</t>
  </si>
  <si>
    <t>Lý Thị Kim Bình</t>
  </si>
  <si>
    <t>Dương Thị Thanh Hà</t>
  </si>
  <si>
    <t>24</t>
  </si>
  <si>
    <t>Phòng Đào tạo tại chức,</t>
  </si>
  <si>
    <t>Nguyễn Thị Thu Thủy</t>
  </si>
  <si>
    <t>Bộ môn Ngoại ngữ</t>
  </si>
  <si>
    <t>Hoàng Thị Tâm</t>
  </si>
  <si>
    <t>25</t>
  </si>
  <si>
    <t>1977</t>
  </si>
  <si>
    <t>Khoa Đào tạo, Bồi dưỡng công chức và Tại chức</t>
  </si>
  <si>
    <t>Hoàng Thị Cường</t>
  </si>
  <si>
    <t>23</t>
  </si>
  <si>
    <t>Bộ môn Khoa học - Tôn giáo - An ninh,</t>
  </si>
  <si>
    <t>Phan Thị Mỹ Bình</t>
  </si>
  <si>
    <t>Lê Toàn Thắng</t>
  </si>
  <si>
    <t>15</t>
  </si>
  <si>
    <t>1971</t>
  </si>
  <si>
    <t>Bộ môn Chính sách tài chính quốc gia,</t>
  </si>
  <si>
    <t>Khoa Quản lý Tài chính công</t>
  </si>
  <si>
    <t>Nguyễn Thị Thu Hương</t>
  </si>
  <si>
    <t>08</t>
  </si>
  <si>
    <t>Bộ môn Quản lý ngân sách nhà nước,</t>
  </si>
  <si>
    <t>Nguyễn Xuân Trường</t>
  </si>
  <si>
    <t>Phòng Quản lý đào tạo Thạc sĩ,</t>
  </si>
  <si>
    <t>Khoa Sau đại học</t>
  </si>
  <si>
    <t>Ngô Thành Can</t>
  </si>
  <si>
    <t>01.001</t>
  </si>
  <si>
    <t>Lê Ngọc Hồng</t>
  </si>
  <si>
    <t>22</t>
  </si>
  <si>
    <t>Bộ môn Kỹ thuật hành chính,</t>
  </si>
  <si>
    <t>Đặng Hoàng Hà</t>
  </si>
  <si>
    <t>Phòng Kế hoạch - Tài chính</t>
  </si>
  <si>
    <t>Đỗ Thị Hà</t>
  </si>
  <si>
    <t>09</t>
  </si>
  <si>
    <t>1978</t>
  </si>
  <si>
    <t>Phòng Tư liệu - Xuất bản,</t>
  </si>
  <si>
    <t>Chuyên viên (cao đẳng)</t>
  </si>
  <si>
    <r>
      <t xml:space="preserve">DANH SÁCH CÔNG CHỨC, VIÊN CHỨC VÀ NGƯỜI LAO ĐỘNG THUỘC HỌC VIỆN HÀNH CHÍNH QUỐC GIA TẠI HÀ NỘI
ĐỦ ĐIỀU KIỆN, TIÊU CHUẨN NÂNG LƯƠNG TRONG THÁNG 5 NĂM </t>
    </r>
    <r>
      <rPr>
        <b/>
        <sz val="12"/>
        <color indexed="12"/>
        <rFont val="Arial Narrow"/>
        <family val="2"/>
      </rPr>
      <t>2016</t>
    </r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</si>
  <si>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08/5/2016</t>
    </r>
  </si>
  <si>
    <t>Hà Nội, ngày 27 tháng 4 năm 2016</t>
  </si>
  <si>
    <r>
      <t>DANH SÁCH NHÀ GIÁO THUỘC HỌC VIỆN HÀNH CHÍNH QUỐC GIA ĐỦ ĐIỀU KIỆN NÂNG PHỤ CẤP THÂM NIÊN TRONG THÁNG 5</t>
    </r>
    <r>
      <rPr>
        <b/>
        <sz val="12"/>
        <color indexed="12"/>
        <rFont val="Arial Narrow"/>
        <family val="2"/>
      </rPr>
      <t xml:space="preserve"> NĂM 2016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</si>
  <si>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08/5</t>
    </r>
    <r>
      <rPr>
        <b/>
        <sz val="11"/>
        <color indexed="12"/>
        <rFont val="Arial Narrow"/>
        <family val="2"/>
      </rPr>
      <t>/2016</t>
    </r>
  </si>
  <si>
    <t>Vũ Quốc Thắng</t>
  </si>
  <si>
    <t>31</t>
  </si>
  <si>
    <t>Đỗ Hoàng Mai</t>
  </si>
  <si>
    <t>Nguyễn Tuấn Minh</t>
  </si>
  <si>
    <t>07</t>
  </si>
  <si>
    <t>Lê Đình Lung</t>
  </si>
  <si>
    <t>Bộ môn Chính trị học,</t>
  </si>
  <si>
    <t>Khoa Lý luận cơ sở</t>
  </si>
  <si>
    <t>Lê Thị Hằng</t>
  </si>
  <si>
    <t>Bộ môn Những nguyên lý cơ bản của Chủ nghĩa Mác - Lê nin,</t>
  </si>
  <si>
    <t>Lê Thị Hoa</t>
  </si>
  <si>
    <t>Bộ môn Lý luận nhà nước và pháp luật,</t>
  </si>
  <si>
    <t>Bùi Thị Hải</t>
  </si>
  <si>
    <t>Lê Thị Thảo</t>
  </si>
  <si>
    <t>1962</t>
  </si>
  <si>
    <t>Bộ môn Thể chế nhà nước,</t>
  </si>
  <si>
    <t>Vũ Thị Thu Hằng</t>
  </si>
  <si>
    <t>Bộ môn Kỹ năng quản lý nhà nước về kinh tế,</t>
  </si>
  <si>
    <t>Hoàng Thị Bích Loan</t>
  </si>
  <si>
    <t>Bộ môn Nguyên lý Kinh tế,</t>
  </si>
  <si>
    <t>Nguyễn Thị Thanh Bình</t>
  </si>
  <si>
    <t>Trương Thị Ngọc Lan</t>
  </si>
  <si>
    <t>Trịnh Đức Hưng</t>
  </si>
  <si>
    <t>Phạm Thị Thanh Vân</t>
  </si>
  <si>
    <t>Bộ môn Kế toán - Kiểm toán,</t>
  </si>
  <si>
    <t>Trần Thị Phương Thảo</t>
  </si>
  <si>
    <t>Khuất Việt Hải</t>
  </si>
  <si>
    <t>1973</t>
  </si>
  <si>
    <t>Phan Anh Hồng</t>
  </si>
  <si>
    <t>Bộ môn Tổ chức bộ máy,</t>
  </si>
  <si>
    <t>Nguyễn Thị Ngọc Lan</t>
  </si>
  <si>
    <t>1982</t>
  </si>
  <si>
    <t>Phạm Thị Thanh Huyền</t>
  </si>
  <si>
    <t>Lê Cẩm Hà</t>
  </si>
  <si>
    <t>Hoàng Xuân Tuyền</t>
  </si>
  <si>
    <t>1966</t>
  </si>
  <si>
    <t>Nguyễn Thị Quế Hương</t>
  </si>
  <si>
    <t>1979</t>
  </si>
  <si>
    <t>Hà Mai Anh</t>
  </si>
  <si>
    <t>Bộ môn Mác - Lê nin và Tư tưởng Hồ Chí Minh,</t>
  </si>
  <si>
    <t>Phạm Thị Thúy</t>
  </si>
  <si>
    <t>Trần Đức Tuấn</t>
  </si>
  <si>
    <t>Vũ Tất Đạt</t>
  </si>
  <si>
    <t>Trương Thị Như Lan</t>
  </si>
  <si>
    <t>Bộ môn Ngoại ngữ,</t>
  </si>
  <si>
    <t>Phạm Quang Huy</t>
  </si>
  <si>
    <t>Nguyên Phó Giám đốc Học viện</t>
  </si>
  <si>
    <t>Bộ môn Nhà nước và Pháp luật,</t>
  </si>
  <si>
    <t>Nam dưới 35</t>
  </si>
  <si>
    <t>Trần Anh Hùng</t>
  </si>
  <si>
    <t>Bùi Thị Mai</t>
  </si>
  <si>
    <t>Mai Đình Lâm</t>
  </si>
  <si>
    <t>26</t>
  </si>
  <si>
    <t>Bộ môn Quản lý Tài chính công,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</si>
</sst>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b/>
      <sz val="13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right" vertical="center"/>
    </xf>
    <xf numFmtId="2" fontId="2" fillId="2" borderId="8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8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0" fontId="35" fillId="7" borderId="0" xfId="0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horizontal="center" vertical="center" wrapText="1"/>
    </xf>
    <xf numFmtId="49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 wrapText="1"/>
    </xf>
    <xf numFmtId="0" fontId="35" fillId="7" borderId="0" xfId="0" applyNumberFormat="1" applyFont="1" applyFill="1" applyBorder="1" applyAlignment="1">
      <alignment horizontal="left" vertical="center"/>
    </xf>
    <xf numFmtId="0" fontId="35" fillId="7" borderId="0" xfId="0" applyNumberFormat="1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/>
    </xf>
    <xf numFmtId="49" fontId="35" fillId="7" borderId="0" xfId="0" applyNumberFormat="1" applyFont="1" applyFill="1" applyBorder="1" applyAlignment="1">
      <alignment horizontal="left" vertical="center"/>
    </xf>
    <xf numFmtId="2" fontId="35" fillId="7" borderId="0" xfId="0" applyNumberFormat="1" applyFont="1" applyFill="1" applyBorder="1" applyAlignment="1">
      <alignment horizontal="left" vertical="center"/>
    </xf>
    <xf numFmtId="0" fontId="34" fillId="7" borderId="0" xfId="0" applyNumberFormat="1" applyFont="1" applyFill="1" applyBorder="1" applyAlignment="1">
      <alignment horizontal="center" vertical="center" wrapText="1"/>
    </xf>
    <xf numFmtId="1" fontId="34" fillId="7" borderId="0" xfId="0" applyNumberFormat="1" applyFont="1" applyFill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 wrapText="1"/>
    </xf>
    <xf numFmtId="1" fontId="35" fillId="7" borderId="0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2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5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4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0" fontId="34" fillId="7" borderId="0" xfId="0" applyFont="1" applyFill="1" applyBorder="1" applyAlignment="1">
      <alignment vertical="center"/>
    </xf>
    <xf numFmtId="0" fontId="34" fillId="7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35" fillId="0" borderId="9" xfId="0" applyFont="1" applyBorder="1" applyAlignment="1">
      <alignment vertical="center" wrapText="1"/>
    </xf>
    <xf numFmtId="0" fontId="35" fillId="7" borderId="0" xfId="0" applyNumberFormat="1" applyFont="1" applyFill="1" applyBorder="1" applyAlignment="1">
      <alignment horizontal="center" vertical="top" wrapText="1"/>
    </xf>
    <xf numFmtId="0" fontId="35" fillId="7" borderId="0" xfId="0" applyNumberFormat="1" applyFont="1" applyFill="1" applyBorder="1" applyAlignment="1">
      <alignment horizontal="center" vertical="top"/>
    </xf>
    <xf numFmtId="0" fontId="35" fillId="7" borderId="0" xfId="0" applyNumberFormat="1" applyFont="1" applyFill="1" applyBorder="1" applyAlignment="1">
      <alignment vertical="top"/>
    </xf>
    <xf numFmtId="0" fontId="35" fillId="7" borderId="0" xfId="0" applyNumberFormat="1" applyFont="1" applyFill="1" applyBorder="1" applyAlignment="1">
      <alignment vertical="top" wrapText="1"/>
    </xf>
    <xf numFmtId="2" fontId="35" fillId="7" borderId="0" xfId="0" applyNumberFormat="1" applyFont="1" applyFill="1" applyBorder="1" applyAlignment="1">
      <alignment horizontal="center" vertical="center"/>
    </xf>
    <xf numFmtId="1" fontId="34" fillId="7" borderId="0" xfId="0" applyNumberFormat="1" applyFont="1" applyFill="1" applyBorder="1" applyAlignment="1">
      <alignment horizontal="right" vertical="center"/>
    </xf>
    <xf numFmtId="2" fontId="34" fillId="7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46" fillId="7" borderId="0" xfId="0" applyFont="1" applyFill="1" applyBorder="1"/>
    <xf numFmtId="0" fontId="2" fillId="2" borderId="11" xfId="0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/>
    </xf>
    <xf numFmtId="2" fontId="37" fillId="7" borderId="0" xfId="0" applyNumberFormat="1" applyFont="1" applyFill="1" applyBorder="1" applyAlignment="1"/>
    <xf numFmtId="2" fontId="38" fillId="7" borderId="0" xfId="0" applyNumberFormat="1" applyFont="1" applyFill="1" applyBorder="1" applyAlignment="1"/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0" fontId="39" fillId="2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40" fillId="7" borderId="0" xfId="0" applyNumberFormat="1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left" vertical="center"/>
    </xf>
    <xf numFmtId="0" fontId="41" fillId="7" borderId="0" xfId="0" applyNumberFormat="1" applyFont="1" applyFill="1" applyBorder="1" applyAlignment="1">
      <alignment horizontal="center" vertical="center" wrapText="1"/>
    </xf>
    <xf numFmtId="1" fontId="41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/>
    <xf numFmtId="2" fontId="38" fillId="0" borderId="0" xfId="0" applyNumberFormat="1" applyFont="1" applyBorder="1" applyAlignment="1"/>
    <xf numFmtId="1" fontId="41" fillId="2" borderId="0" xfId="0" applyNumberFormat="1" applyFont="1" applyFill="1" applyBorder="1" applyAlignment="1">
      <alignment horizontal="right" vertical="center"/>
    </xf>
    <xf numFmtId="2" fontId="41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vertical="center"/>
    </xf>
    <xf numFmtId="0" fontId="48" fillId="0" borderId="0" xfId="0" applyNumberFormat="1" applyFont="1" applyBorder="1" applyAlignment="1"/>
    <xf numFmtId="0" fontId="35" fillId="2" borderId="0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/>
    </xf>
    <xf numFmtId="1" fontId="34" fillId="2" borderId="0" xfId="0" applyNumberFormat="1" applyFont="1" applyFill="1" applyBorder="1" applyAlignment="1">
      <alignment horizontal="center" vertical="center"/>
    </xf>
    <xf numFmtId="2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" fontId="35" fillId="2" borderId="0" xfId="0" applyNumberFormat="1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vertical="center" wrapText="1"/>
    </xf>
    <xf numFmtId="0" fontId="35" fillId="2" borderId="0" xfId="0" applyNumberFormat="1" applyFont="1" applyFill="1" applyBorder="1" applyAlignment="1">
      <alignment horizontal="left" vertical="center"/>
    </xf>
    <xf numFmtId="0" fontId="35" fillId="2" borderId="0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49" fontId="35" fillId="2" borderId="0" xfId="0" applyNumberFormat="1" applyFont="1" applyFill="1" applyBorder="1" applyAlignment="1">
      <alignment horizontal="left" vertical="center"/>
    </xf>
    <xf numFmtId="2" fontId="35" fillId="2" borderId="0" xfId="0" applyNumberFormat="1" applyFont="1" applyFill="1" applyBorder="1" applyAlignment="1">
      <alignment horizontal="left" vertical="center"/>
    </xf>
    <xf numFmtId="0" fontId="34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/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2" fillId="7" borderId="15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left" vertical="center" wrapText="1"/>
    </xf>
    <xf numFmtId="0" fontId="2" fillId="7" borderId="10" xfId="0" applyNumberFormat="1" applyFont="1" applyFill="1" applyBorder="1" applyAlignment="1">
      <alignment horizontal="left" vertical="center" wrapText="1"/>
    </xf>
    <xf numFmtId="2" fontId="2" fillId="7" borderId="5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9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left" vertical="center" wrapText="1"/>
    </xf>
    <xf numFmtId="2" fontId="2" fillId="7" borderId="8" xfId="0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vertical="center" wrapText="1"/>
    </xf>
    <xf numFmtId="0" fontId="2" fillId="7" borderId="11" xfId="0" applyNumberFormat="1" applyFont="1" applyFill="1" applyBorder="1" applyAlignment="1">
      <alignment vertical="center" wrapText="1"/>
    </xf>
    <xf numFmtId="0" fontId="2" fillId="7" borderId="12" xfId="0" applyNumberFormat="1" applyFont="1" applyFill="1" applyBorder="1" applyAlignment="1">
      <alignment horizontal="left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0" fontId="2" fillId="7" borderId="8" xfId="0" applyNumberFormat="1" applyFont="1" applyFill="1" applyBorder="1" applyAlignment="1">
      <alignment horizontal="right" vertical="center" wrapText="1"/>
    </xf>
    <xf numFmtId="2" fontId="2" fillId="7" borderId="8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right" vertical="center"/>
    </xf>
    <xf numFmtId="2" fontId="2" fillId="7" borderId="11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vertical="center"/>
    </xf>
    <xf numFmtId="0" fontId="2" fillId="7" borderId="12" xfId="0" applyNumberFormat="1" applyFont="1" applyFill="1" applyBorder="1" applyAlignment="1">
      <alignment horizontal="left" vertical="center"/>
    </xf>
    <xf numFmtId="1" fontId="2" fillId="7" borderId="16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/>
    </xf>
    <xf numFmtId="2" fontId="2" fillId="7" borderId="5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 wrapText="1"/>
    </xf>
    <xf numFmtId="1" fontId="2" fillId="7" borderId="5" xfId="0" applyNumberFormat="1" applyFont="1" applyFill="1" applyBorder="1" applyAlignment="1">
      <alignment horizontal="center" vertical="center"/>
    </xf>
    <xf numFmtId="1" fontId="1" fillId="7" borderId="9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2" fontId="2" fillId="7" borderId="5" xfId="0" applyNumberFormat="1" applyFont="1" applyFill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2" fontId="1" fillId="7" borderId="12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1" fontId="1" fillId="7" borderId="5" xfId="0" applyNumberFormat="1" applyFont="1" applyFill="1" applyBorder="1" applyAlignment="1">
      <alignment horizontal="center" vertical="center"/>
    </xf>
    <xf numFmtId="1" fontId="1" fillId="7" borderId="18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6" fillId="0" borderId="0" xfId="0" applyFont="1" applyBorder="1"/>
    <xf numFmtId="0" fontId="43" fillId="0" borderId="0" xfId="0" applyFont="1" applyAlignment="1"/>
    <xf numFmtId="0" fontId="2" fillId="0" borderId="0" xfId="0" applyFont="1" applyAlignment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left" wrapText="1"/>
    </xf>
    <xf numFmtId="0" fontId="35" fillId="0" borderId="0" xfId="0" applyFont="1" applyBorder="1" applyAlignment="1"/>
    <xf numFmtId="2" fontId="35" fillId="2" borderId="0" xfId="0" applyNumberFormat="1" applyFont="1" applyFill="1" applyBorder="1" applyAlignment="1">
      <alignment horizontal="center" vertical="center"/>
    </xf>
    <xf numFmtId="1" fontId="34" fillId="2" borderId="0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left" vertical="center" wrapText="1"/>
    </xf>
    <xf numFmtId="0" fontId="2" fillId="2" borderId="37" xfId="0" applyNumberFormat="1" applyFont="1" applyFill="1" applyBorder="1" applyAlignment="1">
      <alignment horizontal="left" vertical="center" wrapText="1"/>
    </xf>
    <xf numFmtId="2" fontId="2" fillId="2" borderId="31" xfId="0" applyNumberFormat="1" applyFont="1" applyFill="1" applyBorder="1" applyAlignment="1">
      <alignment horizontal="right" vertical="center"/>
    </xf>
    <xf numFmtId="2" fontId="2" fillId="2" borderId="38" xfId="0" applyNumberFormat="1" applyFont="1" applyFill="1" applyBorder="1" applyAlignment="1">
      <alignment horizontal="right" vertical="center"/>
    </xf>
    <xf numFmtId="2" fontId="2" fillId="2" borderId="36" xfId="0" applyNumberFormat="1" applyFont="1" applyFill="1" applyBorder="1" applyAlignment="1">
      <alignment horizontal="left" vertical="center" wrapText="1"/>
    </xf>
    <xf numFmtId="2" fontId="2" fillId="2" borderId="37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left" vertical="center" wrapText="1"/>
    </xf>
    <xf numFmtId="2" fontId="2" fillId="2" borderId="38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vertical="center" wrapText="1"/>
    </xf>
    <xf numFmtId="0" fontId="2" fillId="2" borderId="39" xfId="0" applyNumberFormat="1" applyFont="1" applyFill="1" applyBorder="1" applyAlignment="1">
      <alignment horizontal="left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right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right" vertical="center"/>
    </xf>
    <xf numFmtId="2" fontId="2" fillId="0" borderId="35" xfId="0" applyNumberFormat="1" applyFont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horizontal="left" vertical="center"/>
    </xf>
    <xf numFmtId="1" fontId="2" fillId="2" borderId="40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left" vertical="center"/>
    </xf>
    <xf numFmtId="0" fontId="2" fillId="2" borderId="31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2" fontId="1" fillId="2" borderId="3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1" fontId="1" fillId="2" borderId="31" xfId="0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</cellXfs>
  <cellStyles count="1">
    <cellStyle name="Normal" xfId="0" builtinId="0"/>
  </cellStyles>
  <dxfs count="397"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5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 (hạng I)</v>
          </cell>
          <cell r="C26" t="str">
            <v>V.05.02.05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 (hạng II)</v>
          </cell>
          <cell r="C27" t="str">
            <v>V.05.02.06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 (hạng III)</v>
          </cell>
          <cell r="C28" t="str">
            <v>V.05.02.07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 (hạng IV)</v>
          </cell>
          <cell r="C29" t="str">
            <v>V.05.02.08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4"/>
  <sheetViews>
    <sheetView topLeftCell="B25" workbookViewId="0">
      <selection activeCell="S34" sqref="S34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3.42578125" customWidth="1"/>
    <col min="35" max="35" width="1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373" t="s">
        <v>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2"/>
      <c r="P1" s="3"/>
      <c r="Q1" s="3"/>
      <c r="R1" s="3"/>
      <c r="S1" s="374" t="s">
        <v>1</v>
      </c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374" t="s">
        <v>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5"/>
      <c r="P2" s="3"/>
      <c r="Q2" s="3"/>
      <c r="R2" s="3"/>
      <c r="S2" s="375" t="s">
        <v>3</v>
      </c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376" t="s">
        <v>170</v>
      </c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372" t="s">
        <v>168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</row>
    <row r="5" spans="1:126" s="17" customFormat="1" ht="4.5" customHeight="1" x14ac:dyDescent="0.2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369"/>
      <c r="AG6" s="369"/>
      <c r="AH6" s="369"/>
      <c r="AI6" s="369"/>
      <c r="AJ6" s="369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54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90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169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302"/>
      <c r="BJ9" s="302"/>
      <c r="BK9" s="303"/>
      <c r="BL9" s="303"/>
      <c r="BM9" s="303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</row>
    <row r="10" spans="1:126" s="100" customFormat="1" ht="15" customHeight="1" thickTop="1" x14ac:dyDescent="0.25">
      <c r="A10" s="97"/>
      <c r="B10" s="61" t="s">
        <v>6</v>
      </c>
      <c r="C10" s="58"/>
      <c r="D10" s="59" t="s">
        <v>129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01"/>
      <c r="BJ10" s="301"/>
      <c r="BK10" s="301"/>
      <c r="BL10" s="300"/>
      <c r="BM10" s="301"/>
      <c r="BN10" s="300"/>
      <c r="BO10" s="300"/>
      <c r="BP10" s="301"/>
      <c r="BQ10" s="301"/>
      <c r="BR10" s="301"/>
      <c r="BS10" s="301"/>
      <c r="BT10" s="301"/>
      <c r="BU10" s="301"/>
      <c r="BV10" s="301"/>
      <c r="BW10" s="300"/>
      <c r="BX10" s="300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0"/>
      <c r="CS10" s="301"/>
      <c r="CT10" s="300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</row>
    <row r="11" spans="1:126" s="114" customFormat="1" ht="16.5" customHeight="1" x14ac:dyDescent="0.3">
      <c r="A11" s="101"/>
      <c r="B11" s="102"/>
      <c r="C11" s="102"/>
      <c r="D11" s="23" t="s">
        <v>7</v>
      </c>
      <c r="E11" s="103">
        <v>13</v>
      </c>
      <c r="F11" s="104"/>
      <c r="G11" s="104"/>
      <c r="H11" s="104"/>
      <c r="I11" s="105"/>
      <c r="J11" s="106"/>
      <c r="K11" s="106"/>
      <c r="L11" s="106"/>
      <c r="M11" s="106"/>
      <c r="N11" s="106"/>
      <c r="O11" s="25"/>
      <c r="P11" s="25"/>
      <c r="Q11" s="25"/>
      <c r="R11" s="25"/>
      <c r="S11" s="107"/>
      <c r="T11" s="22"/>
      <c r="U11" s="22"/>
      <c r="V11" s="104"/>
      <c r="W11" s="104"/>
      <c r="X11" s="25"/>
      <c r="Y11" s="104"/>
      <c r="Z11" s="25"/>
      <c r="AA11" s="104"/>
      <c r="AB11" s="25"/>
      <c r="AC11" s="25"/>
      <c r="AD11" s="25"/>
      <c r="AE11" s="29"/>
      <c r="AF11" s="108"/>
      <c r="AG11" s="109"/>
      <c r="AH11" s="110"/>
      <c r="AI11" s="111"/>
      <c r="AJ11" s="112"/>
      <c r="AK11" s="106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296"/>
      <c r="BJ11" s="297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</row>
    <row r="12" spans="1:126" s="138" customFormat="1" ht="3.75" customHeight="1" thickBot="1" x14ac:dyDescent="0.3">
      <c r="A12" s="115">
        <v>92</v>
      </c>
      <c r="B12" s="116"/>
      <c r="C12" s="116"/>
      <c r="D12" s="117"/>
      <c r="E12" s="118"/>
      <c r="F12" s="116"/>
      <c r="G12" s="116"/>
      <c r="H12" s="119"/>
      <c r="I12" s="120"/>
      <c r="J12" s="116"/>
      <c r="K12" s="116"/>
      <c r="L12" s="116"/>
      <c r="M12" s="116"/>
      <c r="N12" s="121"/>
      <c r="O12" s="121"/>
      <c r="P12" s="121"/>
      <c r="Q12" s="121"/>
      <c r="R12" s="121"/>
      <c r="S12" s="122"/>
      <c r="T12" s="123"/>
      <c r="U12" s="124"/>
      <c r="V12" s="123"/>
      <c r="W12" s="123"/>
      <c r="X12" s="125"/>
      <c r="Y12" s="126"/>
      <c r="Z12" s="124"/>
      <c r="AA12" s="127"/>
      <c r="AB12" s="128"/>
      <c r="AC12" s="125"/>
      <c r="AD12" s="129"/>
      <c r="AE12" s="125"/>
      <c r="AF12" s="130"/>
      <c r="AG12" s="131"/>
      <c r="AH12" s="132"/>
      <c r="AI12" s="133"/>
      <c r="AJ12" s="134"/>
      <c r="AK12" s="135"/>
      <c r="AL12" s="136"/>
      <c r="AM12" s="11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222"/>
      <c r="BJ12" s="209"/>
      <c r="BK12" s="210" t="s">
        <v>8</v>
      </c>
      <c r="BL12" s="211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10" t="e">
        <f>IF(AND(#REF!&gt;0,#REF!&lt;(#REF!-1),BN12&gt;0,BN12&lt;13,OR(AND(BT12="Cùg Ng",(#REF!-BP12)&gt;#REF!),BT12="- - -")),"Sớm TT","=&gt; s")</f>
        <v>#REF!</v>
      </c>
      <c r="BN12" s="212" t="e">
        <f>IF(#REF!=3,36-(12*(#REF!-#REF!)+(12-#REF!)-#REF!),IF(#REF!=2,24-(12*(#REF!-#REF!)+(12-#REF!)-#REF!),"---"))</f>
        <v>#REF!</v>
      </c>
      <c r="BO12" s="213" t="str">
        <f>IF(BP12&gt;1,"S","---")</f>
        <v>---</v>
      </c>
      <c r="BP12" s="214"/>
      <c r="BQ12" s="215"/>
      <c r="BR12" s="215"/>
      <c r="BS12" s="215"/>
      <c r="BT12" s="214" t="e">
        <f>IF(#REF!=BQ12,"Cùg Ng","- - -")</f>
        <v>#REF!</v>
      </c>
      <c r="BU12" s="213" t="str">
        <f>IF(BW12&gt;2000,"NN","- - -")</f>
        <v>- - -</v>
      </c>
      <c r="BV12" s="210"/>
      <c r="BW12" s="210"/>
      <c r="BX12" s="216"/>
      <c r="BY12" s="216"/>
      <c r="BZ12" s="216" t="str">
        <f>IF(CB12&gt;2000,"CN","- - -")</f>
        <v>- - -</v>
      </c>
      <c r="CA12" s="216"/>
      <c r="CB12" s="216"/>
      <c r="CC12" s="216"/>
      <c r="CD12" s="216"/>
      <c r="CE12" s="216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16" t="e">
        <f>IF(AND(CQ12&gt;CP12,CQ12&lt;(CP12+13)),"Hưu",IF(AND(CQ12&gt;(CP12+12),CQ12&lt;1000),"Quá","/-/ /-/"))</f>
        <v>#REF!</v>
      </c>
      <c r="CG12" s="216" t="e">
        <f>IF((#REF!+0)&lt;12,(#REF!+0)+1,IF((#REF!+0)=12,1,IF((#REF!+0)&gt;12,(#REF!+0)-12)))</f>
        <v>#REF!</v>
      </c>
      <c r="CH12" s="216" t="e">
        <f>IF(OR((#REF!+0)=12,(#REF!+0)&gt;12),#REF!+CP12/12+1,IF(AND((#REF!+0)&gt;0,(#REF!+0)&lt;12),#REF!+CP12/12,"---"))</f>
        <v>#REF!</v>
      </c>
      <c r="CI12" s="216" t="e">
        <f>IF(AND(CG12&gt;3,CG12&lt;13),CG12-3,IF(CG12&lt;4,CG12-3+12))</f>
        <v>#REF!</v>
      </c>
      <c r="CJ12" s="216" t="e">
        <f>IF(CI12&lt;CG12,CH12,IF(CI12&gt;CG12,CH12-1))</f>
        <v>#REF!</v>
      </c>
      <c r="CK12" s="216" t="e">
        <f>IF(CG12&gt;6,CG12-6,IF(CG12=6,12,IF(CG12&lt;6,CG12+6)))</f>
        <v>#REF!</v>
      </c>
      <c r="CL12" s="216" t="e">
        <f>IF(CG12&gt;6,CH12,IF(CG12&lt;7,CH12-1))</f>
        <v>#REF!</v>
      </c>
      <c r="CM12" s="216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17" t="str">
        <f>IF(CO12&gt;0,"K.Dài",". .")</f>
        <v>. .</v>
      </c>
      <c r="CO12" s="214"/>
      <c r="CP12" s="218" t="e">
        <f>IF(#REF!="Nam",(60+CO12)*12,IF(#REF!="Nữ",(55+CO12)*12,))</f>
        <v>#REF!</v>
      </c>
      <c r="CQ12" s="219" t="e">
        <f>12*(#REF!-#REF!)+(12-#REF!)</f>
        <v>#REF!</v>
      </c>
      <c r="CR12" s="220" t="e">
        <f>#REF!-#REF!</f>
        <v>#REF!</v>
      </c>
      <c r="CS12" s="221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22"/>
      <c r="CU12" s="220"/>
      <c r="CV12" s="223" t="e">
        <f>IF(CR12&lt;31,"Đến 30",IF(AND(CR12&gt;30,CR12&lt;46),"31 - 45",IF(AND(CR12&gt;45,CR12&lt;70),"Trên 45")))</f>
        <v>#REF!</v>
      </c>
      <c r="CW12" s="304" t="str">
        <f>IF(CX12&gt;0,"TD","--")</f>
        <v>TD</v>
      </c>
      <c r="CX12" s="304">
        <v>2009</v>
      </c>
      <c r="CY12" s="222"/>
      <c r="CZ12" s="305"/>
      <c r="DA12" s="306"/>
      <c r="DB12" s="216"/>
      <c r="DC12" s="216"/>
      <c r="DD12" s="216"/>
      <c r="DE12" s="216"/>
      <c r="DF12" s="216"/>
      <c r="DH12" s="138" t="s">
        <v>9</v>
      </c>
      <c r="DI12" s="138" t="s">
        <v>10</v>
      </c>
      <c r="DJ12" s="138" t="s">
        <v>11</v>
      </c>
      <c r="DK12" s="138" t="s">
        <v>10</v>
      </c>
      <c r="DL12" s="138">
        <v>2009</v>
      </c>
      <c r="DM12" s="138">
        <f>(DH12+0)-(DO12+0)</f>
        <v>0</v>
      </c>
      <c r="DN12" s="138" t="str">
        <f>IF(DM12&gt;0,"Sửa","- - -")</f>
        <v>- - -</v>
      </c>
      <c r="DO12" s="138" t="s">
        <v>9</v>
      </c>
      <c r="DP12" s="138" t="s">
        <v>10</v>
      </c>
      <c r="DQ12" s="138" t="s">
        <v>11</v>
      </c>
      <c r="DR12" s="138" t="s">
        <v>10</v>
      </c>
      <c r="DS12" s="138">
        <v>2009</v>
      </c>
      <c r="DU12" s="138" t="e">
        <f>IF(AND(#REF!&gt;0.34,#REF!=1,OR(#REF!=6.2,#REF!=5.75)),((#REF!-DT12)-2*0.34),IF(AND(#REF!&gt;0.33,#REF!=1,OR(#REF!=4.4,#REF!=4)),((#REF!-DT12)-2*0.33),"- - -"))</f>
        <v>#REF!</v>
      </c>
      <c r="DV12" s="138" t="e">
        <f>IF(CF12="Hưu",12*(CL12-#REF!)+(CK12-#REF!),"---")</f>
        <v>#REF!</v>
      </c>
    </row>
    <row r="13" spans="1:126" s="144" customFormat="1" ht="24.75" customHeight="1" x14ac:dyDescent="0.25">
      <c r="A13" s="152"/>
      <c r="B13" s="433" t="s">
        <v>12</v>
      </c>
      <c r="C13" s="434"/>
      <c r="D13" s="435" t="s">
        <v>13</v>
      </c>
      <c r="E13" s="435" t="s">
        <v>14</v>
      </c>
      <c r="F13" s="436"/>
      <c r="G13" s="436"/>
      <c r="H13" s="436"/>
      <c r="I13" s="436"/>
      <c r="J13" s="436"/>
      <c r="K13" s="434"/>
      <c r="L13" s="434"/>
      <c r="M13" s="434"/>
      <c r="N13" s="435" t="s">
        <v>15</v>
      </c>
      <c r="O13" s="435"/>
      <c r="P13" s="437"/>
      <c r="Q13" s="437"/>
      <c r="R13" s="437"/>
      <c r="S13" s="438" t="s">
        <v>16</v>
      </c>
      <c r="T13" s="439"/>
      <c r="U13" s="435" t="s">
        <v>17</v>
      </c>
      <c r="V13" s="435" t="s">
        <v>18</v>
      </c>
      <c r="W13" s="434"/>
      <c r="X13" s="435" t="s">
        <v>19</v>
      </c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 t="s">
        <v>20</v>
      </c>
      <c r="AL13" s="434"/>
      <c r="AM13" s="435" t="s">
        <v>21</v>
      </c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5" t="s">
        <v>22</v>
      </c>
      <c r="AY13" s="434"/>
      <c r="AZ13" s="434"/>
      <c r="BA13" s="434"/>
      <c r="BB13" s="434"/>
      <c r="BC13" s="434"/>
      <c r="BD13" s="434"/>
      <c r="BE13" s="434"/>
      <c r="BF13" s="434"/>
      <c r="BG13" s="434"/>
      <c r="BH13" s="440" t="s">
        <v>22</v>
      </c>
      <c r="BI13" s="222"/>
      <c r="BJ13" s="209"/>
      <c r="BK13" s="210"/>
      <c r="BL13" s="211"/>
      <c r="BM13" s="210"/>
      <c r="BN13" s="212"/>
      <c r="BO13" s="213"/>
      <c r="BP13" s="214"/>
      <c r="BQ13" s="215"/>
      <c r="BR13" s="215"/>
      <c r="BS13" s="215"/>
      <c r="BT13" s="214"/>
      <c r="BU13" s="213"/>
      <c r="BV13" s="210"/>
      <c r="BW13" s="210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7"/>
      <c r="CO13" s="214"/>
      <c r="CP13" s="218"/>
      <c r="CQ13" s="219"/>
      <c r="CR13" s="220"/>
      <c r="CS13" s="221"/>
      <c r="CT13" s="222"/>
      <c r="CU13" s="220"/>
      <c r="CV13" s="223"/>
      <c r="CW13" s="304"/>
      <c r="CX13" s="304"/>
      <c r="CY13" s="222"/>
      <c r="CZ13" s="305"/>
      <c r="DA13" s="306"/>
      <c r="DB13" s="216"/>
      <c r="DC13" s="216"/>
      <c r="DD13" s="216"/>
      <c r="DE13" s="216"/>
      <c r="DF13" s="216"/>
      <c r="DG13" s="298"/>
    </row>
    <row r="14" spans="1:126" s="144" customFormat="1" ht="28.5" customHeight="1" x14ac:dyDescent="0.25">
      <c r="A14" s="152">
        <v>163</v>
      </c>
      <c r="B14" s="441"/>
      <c r="C14" s="148"/>
      <c r="D14" s="367"/>
      <c r="E14" s="367"/>
      <c r="F14" s="149"/>
      <c r="G14" s="149"/>
      <c r="H14" s="149"/>
      <c r="I14" s="149"/>
      <c r="J14" s="149"/>
      <c r="K14" s="148"/>
      <c r="L14" s="148"/>
      <c r="M14" s="148"/>
      <c r="N14" s="367"/>
      <c r="O14" s="367"/>
      <c r="P14" s="344"/>
      <c r="Q14" s="344"/>
      <c r="R14" s="344"/>
      <c r="S14" s="370"/>
      <c r="T14" s="371"/>
      <c r="U14" s="367"/>
      <c r="V14" s="367"/>
      <c r="W14" s="148"/>
      <c r="X14" s="368" t="s">
        <v>23</v>
      </c>
      <c r="Y14" s="368"/>
      <c r="Z14" s="368"/>
      <c r="AA14" s="150" t="s">
        <v>24</v>
      </c>
      <c r="AB14" s="368" t="s">
        <v>25</v>
      </c>
      <c r="AC14" s="368"/>
      <c r="AD14" s="368"/>
      <c r="AE14" s="150" t="s">
        <v>26</v>
      </c>
      <c r="AF14" s="368" t="s">
        <v>27</v>
      </c>
      <c r="AG14" s="368"/>
      <c r="AH14" s="368"/>
      <c r="AI14" s="368"/>
      <c r="AJ14" s="368"/>
      <c r="AK14" s="367"/>
      <c r="AL14" s="148"/>
      <c r="AM14" s="367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367"/>
      <c r="AY14" s="148"/>
      <c r="AZ14" s="148"/>
      <c r="BA14" s="148"/>
      <c r="BB14" s="148"/>
      <c r="BC14" s="148"/>
      <c r="BD14" s="148"/>
      <c r="BE14" s="148"/>
      <c r="BF14" s="148"/>
      <c r="BG14" s="148"/>
      <c r="BH14" s="442"/>
      <c r="BI14" s="222"/>
      <c r="BJ14" s="209"/>
      <c r="BK14" s="210" t="s">
        <v>28</v>
      </c>
      <c r="BL14" s="211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10" t="e">
        <f>IF(AND(#REF!&gt;0,#REF!&lt;(#REF!-1),BN14&gt;0,BN14&lt;13,OR(AND(BT14="Cùg Ng",(#REF!-BP14)&gt;#REF!),BT14="- - -")),"Sớm TT","=&gt; s")</f>
        <v>#REF!</v>
      </c>
      <c r="BN14" s="212" t="e">
        <f>IF(#REF!=3,36-(12*(#REF!-#REF!)+(12-#REF!)-#REF!),IF(#REF!=2,24-(12*(#REF!-#REF!)+(12-#REF!)-#REF!),"---"))</f>
        <v>#REF!</v>
      </c>
      <c r="BO14" s="213" t="str">
        <f>IF(BP14&gt;1,"S","---")</f>
        <v>---</v>
      </c>
      <c r="BP14" s="214"/>
      <c r="BQ14" s="215"/>
      <c r="BR14" s="215"/>
      <c r="BS14" s="215"/>
      <c r="BT14" s="214" t="e">
        <f>IF(#REF!=BQ14,"Cùg Ng","- - -")</f>
        <v>#REF!</v>
      </c>
      <c r="BU14" s="213" t="str">
        <f>IF(BW14&gt;2000,"NN","- - -")</f>
        <v>- - -</v>
      </c>
      <c r="BV14" s="210"/>
      <c r="BW14" s="210"/>
      <c r="BX14" s="216"/>
      <c r="BY14" s="216"/>
      <c r="BZ14" s="216" t="str">
        <f>IF(CB14&gt;2000,"CN","- - -")</f>
        <v>- - -</v>
      </c>
      <c r="CA14" s="216"/>
      <c r="CB14" s="216"/>
      <c r="CC14" s="216"/>
      <c r="CD14" s="216"/>
      <c r="CE14" s="216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16" t="e">
        <f>IF(AND(CQ14&gt;CP14,CQ14&lt;(CP14+13)),"Hưu",IF(AND(CQ14&gt;(CP14+12),CQ14&lt;1000),"Quá","/-/ /-/"))</f>
        <v>#REF!</v>
      </c>
      <c r="CG14" s="216" t="e">
        <f>IF((#REF!+0)&lt;12,(#REF!+0)+1,IF((#REF!+0)=12,1,IF((#REF!+0)&gt;12,(#REF!+0)-12)))</f>
        <v>#REF!</v>
      </c>
      <c r="CH14" s="216" t="e">
        <f>IF(OR((#REF!+0)=12,(#REF!+0)&gt;12),#REF!+CP14/12+1,IF(AND((#REF!+0)&gt;0,(#REF!+0)&lt;12),#REF!+CP14/12,"---"))</f>
        <v>#REF!</v>
      </c>
      <c r="CI14" s="216" t="e">
        <f>IF(AND(CG14&gt;3,CG14&lt;13),CG14-3,IF(CG14&lt;4,CG14-3+12))</f>
        <v>#REF!</v>
      </c>
      <c r="CJ14" s="216" t="e">
        <f>IF(CI14&lt;CG14,CH14,IF(CI14&gt;CG14,CH14-1))</f>
        <v>#REF!</v>
      </c>
      <c r="CK14" s="216" t="e">
        <f>IF(CG14&gt;6,CG14-6,IF(CG14=6,12,IF(CG14&lt;6,CG14+6)))</f>
        <v>#REF!</v>
      </c>
      <c r="CL14" s="216" t="e">
        <f>IF(CG14&gt;6,CH14,IF(CG14&lt;7,CH14-1))</f>
        <v>#REF!</v>
      </c>
      <c r="CM14" s="216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17" t="str">
        <f>IF(CO14&gt;0,"K.Dài",". .")</f>
        <v>. .</v>
      </c>
      <c r="CO14" s="214"/>
      <c r="CP14" s="218" t="e">
        <f>IF(#REF!="Nam",(60+CO14)*12,IF(#REF!="Nữ",(55+CO14)*12,))</f>
        <v>#REF!</v>
      </c>
      <c r="CQ14" s="219" t="e">
        <f>12*(#REF!-#REF!)+(12-#REF!)</f>
        <v>#REF!</v>
      </c>
      <c r="CR14" s="220" t="e">
        <f>#REF!-#REF!</f>
        <v>#REF!</v>
      </c>
      <c r="CS14" s="221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22"/>
      <c r="CU14" s="220"/>
      <c r="CV14" s="223" t="e">
        <f>IF(CR14&lt;31,"Đến 30",IF(AND(CR14&gt;30,CR14&lt;46),"31 - 45",IF(AND(CR14&gt;45,CR14&lt;70),"Trên 45")))</f>
        <v>#REF!</v>
      </c>
      <c r="CW14" s="304" t="str">
        <f>IF(CX14&gt;0,"TD","--")</f>
        <v>--</v>
      </c>
      <c r="CX14" s="304"/>
      <c r="CY14" s="222"/>
      <c r="CZ14" s="305"/>
      <c r="DA14" s="306"/>
      <c r="DB14" s="216"/>
      <c r="DC14" s="216"/>
      <c r="DD14" s="216"/>
      <c r="DE14" s="216"/>
      <c r="DF14" s="216"/>
      <c r="DG14" s="298" t="s">
        <v>29</v>
      </c>
      <c r="DH14" s="144" t="s">
        <v>9</v>
      </c>
      <c r="DI14" s="144" t="s">
        <v>10</v>
      </c>
      <c r="DJ14" s="144" t="s">
        <v>30</v>
      </c>
      <c r="DK14" s="144" t="s">
        <v>10</v>
      </c>
      <c r="DL14" s="144" t="s">
        <v>31</v>
      </c>
      <c r="DM14" s="144">
        <f>(DH14+0)-(DO14+0)</f>
        <v>0</v>
      </c>
      <c r="DN14" s="144" t="str">
        <f>IF(DM14&gt;0,"Sửa","- - -")</f>
        <v>- - -</v>
      </c>
      <c r="DO14" s="144" t="s">
        <v>9</v>
      </c>
      <c r="DP14" s="144" t="s">
        <v>10</v>
      </c>
      <c r="DQ14" s="144" t="s">
        <v>30</v>
      </c>
      <c r="DR14" s="144" t="s">
        <v>10</v>
      </c>
      <c r="DS14" s="144" t="s">
        <v>31</v>
      </c>
      <c r="DU14" s="144" t="e">
        <f>IF(AND(#REF!&gt;0.34,#REF!=1,OR(#REF!=6.2,#REF!=5.75)),((#REF!-DT14)-2*0.34),IF(AND(#REF!&gt;0.33,#REF!=1,OR(#REF!=4.4,#REF!=4)),((#REF!-DT14)-2*0.33),"- - -"))</f>
        <v>#REF!</v>
      </c>
      <c r="DV14" s="144" t="e">
        <f>IF(CF14="Hưu",12*(CL14-#REF!)+(CK14-#REF!),"---")</f>
        <v>#REF!</v>
      </c>
    </row>
    <row r="15" spans="1:126" s="151" customFormat="1" ht="12.75" x14ac:dyDescent="0.25">
      <c r="B15" s="443">
        <v>1</v>
      </c>
      <c r="C15" s="345"/>
      <c r="D15" s="345">
        <v>2</v>
      </c>
      <c r="E15" s="345">
        <v>3</v>
      </c>
      <c r="F15" s="345"/>
      <c r="G15" s="345"/>
      <c r="H15" s="345"/>
      <c r="I15" s="345"/>
      <c r="J15" s="345"/>
      <c r="K15" s="345"/>
      <c r="L15" s="345"/>
      <c r="M15" s="345"/>
      <c r="N15" s="366">
        <v>4</v>
      </c>
      <c r="O15" s="366"/>
      <c r="P15" s="345"/>
      <c r="Q15" s="345"/>
      <c r="R15" s="345"/>
      <c r="S15" s="366">
        <v>5</v>
      </c>
      <c r="T15" s="366"/>
      <c r="U15" s="345">
        <v>5</v>
      </c>
      <c r="V15" s="345">
        <v>6</v>
      </c>
      <c r="W15" s="345"/>
      <c r="X15" s="366">
        <v>6</v>
      </c>
      <c r="Y15" s="366"/>
      <c r="Z15" s="366"/>
      <c r="AA15" s="345">
        <v>7</v>
      </c>
      <c r="AB15" s="366">
        <v>8</v>
      </c>
      <c r="AC15" s="366"/>
      <c r="AD15" s="366"/>
      <c r="AE15" s="345">
        <v>9</v>
      </c>
      <c r="AF15" s="366">
        <v>10</v>
      </c>
      <c r="AG15" s="366"/>
      <c r="AH15" s="366"/>
      <c r="AI15" s="366"/>
      <c r="AJ15" s="366"/>
      <c r="AK15" s="345">
        <v>12</v>
      </c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>
        <v>12</v>
      </c>
      <c r="AY15" s="345"/>
      <c r="AZ15" s="345"/>
      <c r="BA15" s="345"/>
      <c r="BB15" s="345"/>
      <c r="BC15" s="345"/>
      <c r="BD15" s="345"/>
      <c r="BE15" s="345"/>
      <c r="BF15" s="345"/>
      <c r="BG15" s="345"/>
      <c r="BH15" s="444">
        <v>11</v>
      </c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</row>
    <row r="16" spans="1:126" s="138" customFormat="1" ht="33" customHeight="1" x14ac:dyDescent="0.25">
      <c r="A16" s="152">
        <v>10</v>
      </c>
      <c r="B16" s="445">
        <v>1</v>
      </c>
      <c r="C16" s="142" t="str">
        <f t="shared" ref="C16:C28" si="0">IF(E16="Nam","Ông","Bà")</f>
        <v>Bà</v>
      </c>
      <c r="D16" s="153" t="s">
        <v>131</v>
      </c>
      <c r="E16" s="142" t="s">
        <v>32</v>
      </c>
      <c r="F16" s="154" t="s">
        <v>37</v>
      </c>
      <c r="G16" s="155" t="s">
        <v>10</v>
      </c>
      <c r="H16" s="155" t="s">
        <v>40</v>
      </c>
      <c r="I16" s="155" t="s">
        <v>10</v>
      </c>
      <c r="J16" s="156">
        <v>1977</v>
      </c>
      <c r="K16" s="313" t="e">
        <f>IF(AND((M16+0)&gt;0.3,(M16+0)&lt;1.5),"CVụ","- -")</f>
        <v>#VALUE!</v>
      </c>
      <c r="L16" s="313" t="s">
        <v>114</v>
      </c>
      <c r="M16" s="313" t="str">
        <f>VLOOKUP(L16,'[1]- DLiêu Gốc -'!$B$2:$G$121,2,0)</f>
        <v>0,4</v>
      </c>
      <c r="N16" s="314" t="s">
        <v>111</v>
      </c>
      <c r="O16" s="294" t="s">
        <v>112</v>
      </c>
      <c r="P16" s="157" t="str">
        <f>VLOOKUP(U16,'[1]- DLiêu Gốc -'!$B$2:$G$56,5,0)</f>
        <v>A1</v>
      </c>
      <c r="Q16" s="157" t="str">
        <f>VLOOKUP(U16,'[1]- DLiêu Gốc -'!$B$2:$G$56,6,0)</f>
        <v>- - -</v>
      </c>
      <c r="R16" s="158" t="s">
        <v>41</v>
      </c>
      <c r="S16" s="295" t="str">
        <f t="shared" ref="S16:S28" si="1">IF(OR(U16="Kỹ thuật viên đánh máy",U16="Nhân viên đánh máy",U16="Nhân viên kỹ thuật",U16="Nhân viên văn thư",U16="Nhân viên phục vụ",U16="Lái xe cơ quan",U16="Nhân viên bảo vệ"),"Nhân viên",U16)</f>
        <v>Chuyên viên</v>
      </c>
      <c r="T16" s="159" t="str">
        <f t="shared" ref="T16:T28" si="2">IF(S16="Nhân viên","01.005",V16)</f>
        <v>01.003</v>
      </c>
      <c r="U16" s="160" t="s">
        <v>94</v>
      </c>
      <c r="V16" s="159" t="str">
        <f>VLOOKUP(U16,'[1]- DLiêu Gốc -'!$B$1:$G$121,2,0)</f>
        <v>01.003</v>
      </c>
      <c r="W16" s="161" t="str">
        <f t="shared" ref="W16:W28" si="3">IF(OR(AND(AN16=36,AM16=3),AND(AN16=24,AM16=2),AND(AN16=12,AM16=1)),"Đến $",IF(OR(AND(AN16&gt;36,AM16=3),AND(AN16&gt;24,AM16=2),AND(AN16&gt;12,AM16=1)),"Dừng $","Lương"))</f>
        <v>Lương</v>
      </c>
      <c r="X16" s="162">
        <v>5</v>
      </c>
      <c r="Y16" s="163" t="str">
        <f t="shared" ref="Y16:Y28" si="4">IF(Z16&gt;0,"/")</f>
        <v>/</v>
      </c>
      <c r="Z16" s="164">
        <f t="shared" ref="Z16:Z28" si="5">IF(OR(AR16=0.18,AR16=0.2),12,IF(AR16=0.31,10,IF(AR16=0.33,9,IF(AR16=0.34,8,IF(AR16=0.36,6)))))</f>
        <v>9</v>
      </c>
      <c r="AA16" s="165">
        <f t="shared" ref="AA16:AA28" si="6">AQ16+(X16-1)*AR16</f>
        <v>3.66</v>
      </c>
      <c r="AB16" s="166">
        <f t="shared" ref="AB16:AB28" si="7">X16+1</f>
        <v>6</v>
      </c>
      <c r="AC16" s="313" t="str">
        <f t="shared" ref="AC16:AC28" si="8">IF(Z16=X16,"%",IF(Z16&gt;X16,"/"))</f>
        <v>/</v>
      </c>
      <c r="AD16" s="164">
        <f t="shared" ref="AD16:AD28" si="9">IF(AND(Z16=X16,AB16=4),5,IF(AND(Z16=X16,AB16&gt;4),AB16+1,IF(Z16&gt;X16,Z16)))</f>
        <v>9</v>
      </c>
      <c r="AE16" s="315">
        <f t="shared" ref="AE16:AE28" si="10">IF(Z16=X16,"%",IF(Z16&gt;X16,AA16+AR16))</f>
        <v>3.99</v>
      </c>
      <c r="AF16" s="167" t="s">
        <v>9</v>
      </c>
      <c r="AG16" s="168" t="s">
        <v>10</v>
      </c>
      <c r="AH16" s="169" t="s">
        <v>95</v>
      </c>
      <c r="AI16" s="170" t="s">
        <v>10</v>
      </c>
      <c r="AJ16" s="171">
        <v>2016</v>
      </c>
      <c r="AK16" s="172"/>
      <c r="AL16" s="173">
        <v>5</v>
      </c>
      <c r="AM16" s="145">
        <f t="shared" ref="AM16:AM28" si="11">IF(AND(Z16&gt;X16,OR(AR16=0.18,AR16=0.2)),2,IF(AND(Z16&gt;X16,OR(AR16=0.31,AR16=0.33,AR16=0.34,AR16=0.36)),3,IF(Z16=X16,1)))</f>
        <v>3</v>
      </c>
      <c r="AN16" s="145">
        <f t="shared" ref="AN16:AN28" si="12">12*($W$2-AJ16)+($W$4-AH16)-AO16</f>
        <v>-24197</v>
      </c>
      <c r="AO16" s="139"/>
      <c r="AP16" s="174"/>
      <c r="AQ16" s="147">
        <f>VLOOKUP(U16,'[1]- DLiêu Gốc -'!$B$1:$E$56,3,0)</f>
        <v>2.34</v>
      </c>
      <c r="AR16" s="141">
        <f>VLOOKUP(U16,'[1]- DLiêu Gốc -'!$B$1:$E$56,4,0)</f>
        <v>0.33</v>
      </c>
      <c r="AS16" s="175"/>
      <c r="AT16" s="176" t="str">
        <f t="shared" ref="AT16:AT28" si="13">IF(AND(AU16&gt;3,BF16=12),"Đến %",IF(AND(AU16&gt;3,BF16&gt;12,BF16&lt;120),"Dừng %",IF(AND(AU16&gt;3,BF16&lt;12),"PCTN","o-o-o")))</f>
        <v>o-o-o</v>
      </c>
      <c r="AU16" s="177"/>
      <c r="AV16" s="177"/>
      <c r="AW16" s="141">
        <f t="shared" ref="AW16:AW28" si="14">IF(AU16&gt;3,AU16+1,0)</f>
        <v>0</v>
      </c>
      <c r="AX16" s="178"/>
      <c r="AY16" s="316"/>
      <c r="AZ16" s="144"/>
      <c r="BA16" s="144"/>
      <c r="BB16" s="144"/>
      <c r="BC16" s="144"/>
      <c r="BD16" s="144"/>
      <c r="BE16" s="144"/>
      <c r="BF16" s="146" t="str">
        <f t="shared" ref="BF16:BF28" si="15">IF(AU16&gt;3,(($AT$2-BA16)*12+($AT$4-AY16)-BC16),"- - -")</f>
        <v>- - -</v>
      </c>
      <c r="BG16" s="179" t="str">
        <f t="shared" ref="BG16:BG28" si="16">IF(AND(CF16="Hưu",AU16&gt;3),12-(12*(CL16-BA16)+(CK16-AY16))-BC16,"- - -")</f>
        <v>- - -</v>
      </c>
      <c r="BH16" s="446" t="str">
        <f t="shared" ref="BH16:BH28" si="17">IF(BK16="công chức","CC",IF(BK16="viên chức","VC",IF(BK16="người lao động","NLĐ","- - -")))</f>
        <v>VC</v>
      </c>
      <c r="BI16" s="352"/>
      <c r="BJ16" s="351"/>
      <c r="BK16" s="347" t="s">
        <v>93</v>
      </c>
      <c r="BL16" s="353" t="str">
        <f t="shared" ref="BL16:BL28" si="18">IF(O16="Cơ sở Học viện Hành chính khu vực miền Trung","B",IF(O16="Phân viện Khu vực Tây Nguyên","C",IF(O16="Cơ sở Học viện Hành chính tại thành phố Hồ Chí Minh","D","A")))</f>
        <v>A</v>
      </c>
      <c r="BM16" s="347" t="str">
        <f t="shared" ref="BM16:BM28" si="19">IF(AND(AB16&gt;0,X16&lt;(Z16-1),BN16&gt;0,BN16&lt;13,OR(AND(BT16="Cùg Ng",($BM$2-BP16)&gt;AM16),BT16="- - -")),"Sớm TT","=&gt; s")</f>
        <v>=&gt; s</v>
      </c>
      <c r="BN16" s="354">
        <f t="shared" ref="BN16:BN28" si="20">IF(AM16=3,36-(12*($BM$2-AJ16)+(12-AH16)-AO16),IF(AM16=2,24-(12*($BM$2-AJ16)+(12-AH16)-AO16),"---"))</f>
        <v>24221</v>
      </c>
      <c r="BO16" s="355" t="str">
        <f t="shared" ref="BO16:BO28" si="21">IF(BP16&gt;1,"S","---")</f>
        <v>---</v>
      </c>
      <c r="BP16" s="348"/>
      <c r="BQ16" s="356"/>
      <c r="BR16" s="356"/>
      <c r="BS16" s="356"/>
      <c r="BT16" s="348" t="str">
        <f t="shared" ref="BT16:BT28" si="22">IF(T16=BQ16,"Cùg Ng","- - -")</f>
        <v>- - -</v>
      </c>
      <c r="BU16" s="355" t="str">
        <f t="shared" ref="BU16:BU28" si="23">IF(BW16&gt;2000,"NN","- - -")</f>
        <v>- - -</v>
      </c>
      <c r="BV16" s="347"/>
      <c r="BW16" s="347"/>
      <c r="BX16" s="357"/>
      <c r="BY16" s="357"/>
      <c r="BZ16" s="357" t="str">
        <f t="shared" ref="BZ16:BZ28" si="24">IF(CB16&gt;2000,"CN","- - -")</f>
        <v>- - -</v>
      </c>
      <c r="CA16" s="357"/>
      <c r="CB16" s="357"/>
      <c r="CC16" s="357"/>
      <c r="CD16" s="357"/>
      <c r="CE16" s="357" t="str">
        <f t="shared" ref="CE16:CE28" si="25">IF(AND(CF16="Hưu",X16&lt;(Z16-1),CM16&gt;0,CM16&lt;18,OR(AU16&lt;4,AND(AU16&gt;3,OR(BG16&lt;3,BG16&gt;5)))),"Lg Sớm",IF(AND(CF16="Hưu",X16&gt;(Z16-2),OR(AR16=0.33,AR16=0.34),OR(AU16&lt;4,AND(AU16&gt;3,OR(BG16&lt;3,BG16&gt;5)))),"Nâng Ngạch",IF(AND(CF16="Hưu",AM16=1,CM16&gt;2,CM16&lt;6,OR(AU16&lt;4,AND(AU16&gt;3,OR(BG16&lt;3,BG16&gt;5)))),"Nâng PcVK cùng QĐ",IF(AND(CF16="Hưu",AU16&gt;3,BG16&gt;2,BG16&lt;6,X16&lt;(Z16-1),CM16&gt;17,OR(AM16&gt;1,AND(AM16=1,OR(CM16&lt;3,CM16&gt;5)))),"Nâng PcNG cùng QĐ",IF(AND(CF16="Hưu",X16&lt;(Z16-1),CM16&gt;0,CM16&lt;18,AU16&gt;3,BG16&gt;2,BG16&lt;6),"Nâng Lg Sớm +(PcNG cùng QĐ)",IF(AND(CF16="Hưu",X16&gt;(Z16-2),OR(AR16=0.33,AR16=0.34),AU16&gt;3,BG16&gt;2,BG16&lt;6),"Nâng Ngạch +(PcNG cùng QĐ)",IF(AND(CF16="Hưu",AM16=1,CM16&gt;2,CM16&lt;6,AU16&gt;3,BG16&gt;2,BG16&lt;6),"Nâng (PcVK +PcNG) cùng QĐ",("---"))))))))</f>
        <v>---</v>
      </c>
      <c r="CF16" s="357" t="str">
        <f t="shared" ref="CF16:CF28" si="26">IF(AND(CQ16&gt;CP16,CQ16&lt;(CP16+13)),"Hưu",IF(AND(CQ16&gt;(CP16+12),CQ16&lt;1000),"Quá","/-/ /-/"))</f>
        <v>/-/ /-/</v>
      </c>
      <c r="CG16" s="357">
        <f t="shared" ref="CG16:CG28" si="27">IF((H16+0)&lt;12,(H16+0)+1,IF((H16+0)=12,1,IF((H16+0)&gt;12,(H16+0)-12)))</f>
        <v>12</v>
      </c>
      <c r="CH16" s="357">
        <f t="shared" ref="CH16:CH28" si="28">IF(OR((H16+0)=12,(H16+0)&gt;12),J16+CP16/12+1,IF(AND((H16+0)&gt;0,(H16+0)&lt;12),J16+CP16/12,"---"))</f>
        <v>2032</v>
      </c>
      <c r="CI16" s="357">
        <f t="shared" ref="CI16:CI28" si="29">IF(AND(CG16&gt;3,CG16&lt;13),CG16-3,IF(CG16&lt;4,CG16-3+12))</f>
        <v>9</v>
      </c>
      <c r="CJ16" s="357">
        <f t="shared" ref="CJ16:CJ28" si="30">IF(CI16&lt;CG16,CH16,IF(CI16&gt;CG16,CH16-1))</f>
        <v>2032</v>
      </c>
      <c r="CK16" s="357">
        <f t="shared" ref="CK16:CK28" si="31">IF(CG16&gt;6,CG16-6,IF(CG16=6,12,IF(CG16&lt;6,CG16+6)))</f>
        <v>6</v>
      </c>
      <c r="CL16" s="357">
        <f t="shared" ref="CL16:CL28" si="32">IF(CG16&gt;6,CH16,IF(CG16&lt;7,CH16-1))</f>
        <v>2032</v>
      </c>
      <c r="CM16" s="357" t="str">
        <f t="shared" ref="CM16:CM28" si="33">IF(AND(CF16="Hưu",AM16=3),36+AO16-(12*(CL16-AJ16)+(CK16-AH16)),IF(AND(CF16="Hưu",AM16=2),24+AO16-(12*(CL16-AJ16)+(CK16-AH16)),IF(AND(CF16="Hưu",AM16=1),12+AO16-(12*(CL16-AJ16)+(CK16-AH16)),"- - -")))</f>
        <v>- - -</v>
      </c>
      <c r="CN16" s="358" t="str">
        <f t="shared" ref="CN16:CN28" si="34">IF(CO16&gt;0,"K.Dài",". .")</f>
        <v>. .</v>
      </c>
      <c r="CO16" s="348"/>
      <c r="CP16" s="359">
        <f t="shared" ref="CP16:CP28" si="35">IF(E16="Nam",(60+CO16)*12,IF(E16="Nữ",(55+CO16)*12,))</f>
        <v>660</v>
      </c>
      <c r="CQ16" s="360">
        <f t="shared" ref="CQ16:CQ28" si="36">12*($CF$4-J16)+(12-H16)</f>
        <v>-23723</v>
      </c>
      <c r="CR16" s="349">
        <f t="shared" ref="CR16:CR28" si="37">$CV$4-J16</f>
        <v>-1977</v>
      </c>
      <c r="CS16" s="361" t="str">
        <f t="shared" ref="CS16:CS28" si="38">IF(AND(CR16&lt;35,E16="Nam"),"Nam dưới 35",IF(AND(CR16&lt;30,E16="Nữ"),"Nữ dưới 30",IF(AND(CR16&gt;34,CR16&lt;46,E16="Nam"),"Nam từ 35 - 45",IF(AND(CR16&gt;29,CR16&lt;41,E16="Nữ"),"Nữ từ 30 - 40",IF(AND(CR16&gt;45,CR16&lt;56,E16="Nam"),"Nam trên 45 - 55",IF(AND(CR16&gt;40,CR16&lt;51,E16="Nữ"),"Nữ trên 40 - 50",IF(AND(CR16&gt;55,E16="Nam"),"Nam trên 55","Nữ trên 50")))))))</f>
        <v>Nữ dưới 30</v>
      </c>
      <c r="CT16" s="352"/>
      <c r="CU16" s="349"/>
      <c r="CV16" s="362" t="str">
        <f t="shared" ref="CV16:CV28" si="39">IF(CR16&lt;31,"Đến 30",IF(AND(CR16&gt;30,CR16&lt;46),"31 - 45",IF(AND(CR16&gt;45,CR16&lt;70),"Trên 45")))</f>
        <v>Đến 30</v>
      </c>
      <c r="CW16" s="431" t="str">
        <f t="shared" ref="CW16:CW28" si="40">IF(CX16&gt;0,"TD","--")</f>
        <v>--</v>
      </c>
      <c r="CX16" s="431"/>
      <c r="CY16" s="352"/>
      <c r="CZ16" s="432"/>
      <c r="DA16" s="350"/>
      <c r="DB16" s="357"/>
      <c r="DC16" s="357"/>
      <c r="DD16" s="357"/>
      <c r="DE16" s="357"/>
      <c r="DF16" s="357"/>
      <c r="DG16" s="357" t="s">
        <v>111</v>
      </c>
      <c r="DH16" s="357" t="s">
        <v>9</v>
      </c>
      <c r="DI16" s="357" t="s">
        <v>10</v>
      </c>
      <c r="DJ16" s="357" t="s">
        <v>95</v>
      </c>
      <c r="DK16" s="357" t="s">
        <v>10</v>
      </c>
      <c r="DL16" s="357">
        <v>2013</v>
      </c>
      <c r="DM16" s="138">
        <f t="shared" ref="DM16:DM28" si="41">(DH16+0)-(DO16+0)</f>
        <v>0</v>
      </c>
      <c r="DN16" s="138" t="str">
        <f t="shared" ref="DN16:DN28" si="42">IF(DM16&gt;0,"Sửa","- - -")</f>
        <v>- - -</v>
      </c>
      <c r="DO16" s="138" t="s">
        <v>9</v>
      </c>
      <c r="DP16" s="138" t="s">
        <v>10</v>
      </c>
      <c r="DQ16" s="138" t="s">
        <v>95</v>
      </c>
      <c r="DR16" s="138" t="s">
        <v>10</v>
      </c>
      <c r="DS16" s="138">
        <v>2013</v>
      </c>
      <c r="DU16" s="138" t="str">
        <f t="shared" ref="DU16:DU28" si="43">IF(AND(AR16&gt;0.34,AB16=1,OR(AQ16=6.2,AQ16=5.75)),((AQ16-DT16)-2*0.34),IF(AND(AR16&gt;0.33,AB16=1,OR(AQ16=4.4,AQ16=4)),((AQ16-DT16)-2*0.33),"- - -"))</f>
        <v>- - -</v>
      </c>
      <c r="DV16" s="138" t="str">
        <f t="shared" ref="DV16:DV28" si="44">IF(CF16="Hưu",12*(CL16-AJ16)+(CK16-AH16),"---")</f>
        <v>---</v>
      </c>
    </row>
    <row r="17" spans="1:126" s="138" customFormat="1" ht="33" customHeight="1" x14ac:dyDescent="0.25">
      <c r="A17" s="152">
        <v>20</v>
      </c>
      <c r="B17" s="445">
        <v>2</v>
      </c>
      <c r="C17" s="142" t="str">
        <f t="shared" si="0"/>
        <v>Bà</v>
      </c>
      <c r="D17" s="153" t="s">
        <v>132</v>
      </c>
      <c r="E17" s="142" t="s">
        <v>32</v>
      </c>
      <c r="F17" s="154" t="s">
        <v>133</v>
      </c>
      <c r="G17" s="155" t="s">
        <v>10</v>
      </c>
      <c r="H17" s="155" t="s">
        <v>37</v>
      </c>
      <c r="I17" s="155" t="s">
        <v>10</v>
      </c>
      <c r="J17" s="156">
        <v>1975</v>
      </c>
      <c r="K17" s="313"/>
      <c r="L17" s="313"/>
      <c r="M17" s="313" t="e">
        <f>VLOOKUP(L17,'[1]- DLiêu Gốc -'!$B$2:$G$121,2,0)</f>
        <v>#N/A</v>
      </c>
      <c r="N17" s="314" t="s">
        <v>134</v>
      </c>
      <c r="O17" s="294" t="s">
        <v>112</v>
      </c>
      <c r="P17" s="157" t="str">
        <f>VLOOKUP(U17,'[1]- DLiêu Gốc -'!$B$2:$G$56,5,0)</f>
        <v>A1</v>
      </c>
      <c r="Q17" s="157" t="str">
        <f>VLOOKUP(U17,'[1]- DLiêu Gốc -'!$B$2:$G$56,6,0)</f>
        <v>- - -</v>
      </c>
      <c r="R17" s="158" t="s">
        <v>41</v>
      </c>
      <c r="S17" s="295" t="str">
        <f t="shared" si="1"/>
        <v>Chuyên viên</v>
      </c>
      <c r="T17" s="159" t="str">
        <f t="shared" si="2"/>
        <v>01.003</v>
      </c>
      <c r="U17" s="160" t="s">
        <v>94</v>
      </c>
      <c r="V17" s="159" t="str">
        <f>VLOOKUP(U17,'[1]- DLiêu Gốc -'!$B$1:$G$121,2,0)</f>
        <v>01.003</v>
      </c>
      <c r="W17" s="161" t="str">
        <f t="shared" si="3"/>
        <v>Lương</v>
      </c>
      <c r="X17" s="162">
        <v>4</v>
      </c>
      <c r="Y17" s="163" t="str">
        <f t="shared" si="4"/>
        <v>/</v>
      </c>
      <c r="Z17" s="164">
        <f t="shared" si="5"/>
        <v>9</v>
      </c>
      <c r="AA17" s="165">
        <f t="shared" si="6"/>
        <v>3.33</v>
      </c>
      <c r="AB17" s="166">
        <f t="shared" si="7"/>
        <v>5</v>
      </c>
      <c r="AC17" s="313" t="str">
        <f t="shared" si="8"/>
        <v>/</v>
      </c>
      <c r="AD17" s="164">
        <f t="shared" si="9"/>
        <v>9</v>
      </c>
      <c r="AE17" s="315">
        <f t="shared" si="10"/>
        <v>3.66</v>
      </c>
      <c r="AF17" s="167" t="s">
        <v>9</v>
      </c>
      <c r="AG17" s="168" t="s">
        <v>10</v>
      </c>
      <c r="AH17" s="169" t="s">
        <v>95</v>
      </c>
      <c r="AI17" s="170" t="s">
        <v>10</v>
      </c>
      <c r="AJ17" s="171">
        <v>2016</v>
      </c>
      <c r="AK17" s="172"/>
      <c r="AL17" s="173">
        <v>5</v>
      </c>
      <c r="AM17" s="145">
        <f t="shared" si="11"/>
        <v>3</v>
      </c>
      <c r="AN17" s="145">
        <f t="shared" si="12"/>
        <v>-24197</v>
      </c>
      <c r="AO17" s="139"/>
      <c r="AP17" s="174"/>
      <c r="AQ17" s="147">
        <f>VLOOKUP(U17,'[1]- DLiêu Gốc -'!$B$1:$E$56,3,0)</f>
        <v>2.34</v>
      </c>
      <c r="AR17" s="141">
        <f>VLOOKUP(U17,'[1]- DLiêu Gốc -'!$B$1:$E$56,4,0)</f>
        <v>0.33</v>
      </c>
      <c r="AS17" s="175"/>
      <c r="AT17" s="176" t="str">
        <f t="shared" si="13"/>
        <v>o-o-o</v>
      </c>
      <c r="AU17" s="177"/>
      <c r="AV17" s="177"/>
      <c r="AW17" s="141">
        <f t="shared" si="14"/>
        <v>0</v>
      </c>
      <c r="AX17" s="178"/>
      <c r="AY17" s="316"/>
      <c r="AZ17" s="144"/>
      <c r="BA17" s="144"/>
      <c r="BB17" s="144"/>
      <c r="BC17" s="144"/>
      <c r="BD17" s="144"/>
      <c r="BE17" s="144"/>
      <c r="BF17" s="146" t="str">
        <f t="shared" si="15"/>
        <v>- - -</v>
      </c>
      <c r="BG17" s="179" t="str">
        <f t="shared" si="16"/>
        <v>- - -</v>
      </c>
      <c r="BH17" s="446" t="str">
        <f t="shared" si="17"/>
        <v>NLĐ</v>
      </c>
      <c r="BI17" s="352"/>
      <c r="BJ17" s="351"/>
      <c r="BK17" s="347" t="s">
        <v>43</v>
      </c>
      <c r="BL17" s="353" t="str">
        <f t="shared" si="18"/>
        <v>A</v>
      </c>
      <c r="BM17" s="347" t="str">
        <f t="shared" si="19"/>
        <v>=&gt; s</v>
      </c>
      <c r="BN17" s="354">
        <f t="shared" si="20"/>
        <v>24221</v>
      </c>
      <c r="BO17" s="355" t="str">
        <f t="shared" si="21"/>
        <v>---</v>
      </c>
      <c r="BP17" s="348"/>
      <c r="BQ17" s="356"/>
      <c r="BR17" s="356"/>
      <c r="BS17" s="356"/>
      <c r="BT17" s="348" t="str">
        <f t="shared" si="22"/>
        <v>- - -</v>
      </c>
      <c r="BU17" s="355" t="str">
        <f t="shared" si="23"/>
        <v>- - -</v>
      </c>
      <c r="BV17" s="347"/>
      <c r="BW17" s="347"/>
      <c r="BX17" s="357"/>
      <c r="BY17" s="357"/>
      <c r="BZ17" s="357" t="str">
        <f t="shared" si="24"/>
        <v>- - -</v>
      </c>
      <c r="CA17" s="357"/>
      <c r="CB17" s="357"/>
      <c r="CC17" s="357"/>
      <c r="CD17" s="357"/>
      <c r="CE17" s="357" t="str">
        <f t="shared" si="25"/>
        <v>---</v>
      </c>
      <c r="CF17" s="357" t="str">
        <f t="shared" si="26"/>
        <v>/-/ /-/</v>
      </c>
      <c r="CG17" s="357">
        <f t="shared" si="27"/>
        <v>3</v>
      </c>
      <c r="CH17" s="357">
        <f t="shared" si="28"/>
        <v>2030</v>
      </c>
      <c r="CI17" s="357">
        <f t="shared" si="29"/>
        <v>12</v>
      </c>
      <c r="CJ17" s="357">
        <f t="shared" si="30"/>
        <v>2029</v>
      </c>
      <c r="CK17" s="357">
        <f t="shared" si="31"/>
        <v>9</v>
      </c>
      <c r="CL17" s="357">
        <f t="shared" si="32"/>
        <v>2029</v>
      </c>
      <c r="CM17" s="357" t="str">
        <f t="shared" si="33"/>
        <v>- - -</v>
      </c>
      <c r="CN17" s="358" t="str">
        <f t="shared" si="34"/>
        <v>. .</v>
      </c>
      <c r="CO17" s="348"/>
      <c r="CP17" s="359">
        <f t="shared" si="35"/>
        <v>660</v>
      </c>
      <c r="CQ17" s="360">
        <f t="shared" si="36"/>
        <v>-23690</v>
      </c>
      <c r="CR17" s="349">
        <f t="shared" si="37"/>
        <v>-1975</v>
      </c>
      <c r="CS17" s="361" t="str">
        <f t="shared" si="38"/>
        <v>Nữ dưới 30</v>
      </c>
      <c r="CT17" s="352"/>
      <c r="CU17" s="349"/>
      <c r="CV17" s="362" t="str">
        <f t="shared" si="39"/>
        <v>Đến 30</v>
      </c>
      <c r="CW17" s="431" t="str">
        <f t="shared" si="40"/>
        <v>--</v>
      </c>
      <c r="CX17" s="431"/>
      <c r="CY17" s="352"/>
      <c r="CZ17" s="432"/>
      <c r="DA17" s="350"/>
      <c r="DB17" s="357"/>
      <c r="DC17" s="357"/>
      <c r="DD17" s="357"/>
      <c r="DE17" s="357"/>
      <c r="DF17" s="357"/>
      <c r="DG17" s="357" t="s">
        <v>134</v>
      </c>
      <c r="DH17" s="357" t="s">
        <v>9</v>
      </c>
      <c r="DI17" s="357" t="s">
        <v>10</v>
      </c>
      <c r="DJ17" s="357" t="s">
        <v>95</v>
      </c>
      <c r="DK17" s="357" t="s">
        <v>10</v>
      </c>
      <c r="DL17" s="357">
        <v>2013</v>
      </c>
      <c r="DM17" s="138">
        <f t="shared" si="41"/>
        <v>0</v>
      </c>
      <c r="DN17" s="138" t="str">
        <f t="shared" si="42"/>
        <v>- - -</v>
      </c>
      <c r="DO17" s="138" t="s">
        <v>9</v>
      </c>
      <c r="DP17" s="138" t="s">
        <v>10</v>
      </c>
      <c r="DQ17" s="138" t="s">
        <v>95</v>
      </c>
      <c r="DR17" s="138" t="s">
        <v>10</v>
      </c>
      <c r="DS17" s="138">
        <v>2013</v>
      </c>
      <c r="DU17" s="138" t="str">
        <f t="shared" si="43"/>
        <v>- - -</v>
      </c>
      <c r="DV17" s="138" t="str">
        <f t="shared" si="44"/>
        <v>---</v>
      </c>
    </row>
    <row r="18" spans="1:126" s="138" customFormat="1" ht="33" customHeight="1" x14ac:dyDescent="0.25">
      <c r="A18" s="152">
        <v>98</v>
      </c>
      <c r="B18" s="445">
        <v>3</v>
      </c>
      <c r="C18" s="142" t="str">
        <f t="shared" si="0"/>
        <v>Bà</v>
      </c>
      <c r="D18" s="153" t="s">
        <v>135</v>
      </c>
      <c r="E18" s="142" t="s">
        <v>32</v>
      </c>
      <c r="F18" s="154" t="s">
        <v>118</v>
      </c>
      <c r="G18" s="155" t="s">
        <v>10</v>
      </c>
      <c r="H18" s="155" t="s">
        <v>95</v>
      </c>
      <c r="I18" s="155" t="s">
        <v>10</v>
      </c>
      <c r="J18" s="156">
        <v>1980</v>
      </c>
      <c r="K18" s="313"/>
      <c r="L18" s="313"/>
      <c r="M18" s="313" t="e">
        <f>VLOOKUP(L18,'[1]- DLiêu Gốc -'!$B$2:$G$121,2,0)</f>
        <v>#N/A</v>
      </c>
      <c r="N18" s="314"/>
      <c r="O18" s="294" t="s">
        <v>136</v>
      </c>
      <c r="P18" s="157" t="str">
        <f>VLOOKUP(U18,'[1]- DLiêu Gốc -'!$B$2:$G$56,5,0)</f>
        <v>A1</v>
      </c>
      <c r="Q18" s="157" t="str">
        <f>VLOOKUP(U18,'[1]- DLiêu Gốc -'!$B$2:$G$56,6,0)</f>
        <v>- - -</v>
      </c>
      <c r="R18" s="158" t="s">
        <v>34</v>
      </c>
      <c r="S18" s="295" t="str">
        <f t="shared" si="1"/>
        <v>Giảng viên (hạng III)</v>
      </c>
      <c r="T18" s="159" t="str">
        <f t="shared" si="2"/>
        <v>V.07.01.03</v>
      </c>
      <c r="U18" s="160" t="s">
        <v>35</v>
      </c>
      <c r="V18" s="159" t="str">
        <f>VLOOKUP(U18,'[1]- DLiêu Gốc -'!$B$1:$G$121,2,0)</f>
        <v>V.07.01.03</v>
      </c>
      <c r="W18" s="161" t="str">
        <f t="shared" si="3"/>
        <v>Lương</v>
      </c>
      <c r="X18" s="162">
        <v>4</v>
      </c>
      <c r="Y18" s="163" t="str">
        <f t="shared" si="4"/>
        <v>/</v>
      </c>
      <c r="Z18" s="164">
        <f t="shared" si="5"/>
        <v>9</v>
      </c>
      <c r="AA18" s="165">
        <f t="shared" si="6"/>
        <v>3.33</v>
      </c>
      <c r="AB18" s="166">
        <f t="shared" si="7"/>
        <v>5</v>
      </c>
      <c r="AC18" s="313" t="str">
        <f t="shared" si="8"/>
        <v>/</v>
      </c>
      <c r="AD18" s="164">
        <f t="shared" si="9"/>
        <v>9</v>
      </c>
      <c r="AE18" s="315">
        <f t="shared" si="10"/>
        <v>3.66</v>
      </c>
      <c r="AF18" s="167" t="s">
        <v>9</v>
      </c>
      <c r="AG18" s="168" t="s">
        <v>10</v>
      </c>
      <c r="AH18" s="169" t="s">
        <v>95</v>
      </c>
      <c r="AI18" s="170" t="s">
        <v>10</v>
      </c>
      <c r="AJ18" s="171">
        <v>2016</v>
      </c>
      <c r="AK18" s="172"/>
      <c r="AL18" s="173">
        <v>5</v>
      </c>
      <c r="AM18" s="145">
        <f t="shared" si="11"/>
        <v>3</v>
      </c>
      <c r="AN18" s="145">
        <f t="shared" si="12"/>
        <v>-24197</v>
      </c>
      <c r="AO18" s="139"/>
      <c r="AP18" s="174"/>
      <c r="AQ18" s="147">
        <f>VLOOKUP(U18,'[1]- DLiêu Gốc -'!$B$1:$E$56,3,0)</f>
        <v>2.34</v>
      </c>
      <c r="AR18" s="141">
        <f>VLOOKUP(U18,'[1]- DLiêu Gốc -'!$B$1:$E$56,4,0)</f>
        <v>0.33</v>
      </c>
      <c r="AS18" s="175"/>
      <c r="AT18" s="176" t="str">
        <f t="shared" si="13"/>
        <v>o-o-o</v>
      </c>
      <c r="AU18" s="177"/>
      <c r="AV18" s="177"/>
      <c r="AW18" s="141">
        <f t="shared" si="14"/>
        <v>0</v>
      </c>
      <c r="AX18" s="178"/>
      <c r="AY18" s="316"/>
      <c r="AZ18" s="144"/>
      <c r="BA18" s="144"/>
      <c r="BB18" s="144"/>
      <c r="BC18" s="144"/>
      <c r="BD18" s="144"/>
      <c r="BE18" s="144"/>
      <c r="BF18" s="146" t="str">
        <f t="shared" si="15"/>
        <v>- - -</v>
      </c>
      <c r="BG18" s="179" t="str">
        <f t="shared" si="16"/>
        <v>- - -</v>
      </c>
      <c r="BH18" s="446" t="str">
        <f t="shared" si="17"/>
        <v>NLĐ</v>
      </c>
      <c r="BI18" s="352"/>
      <c r="BJ18" s="351"/>
      <c r="BK18" s="347" t="s">
        <v>43</v>
      </c>
      <c r="BL18" s="353" t="str">
        <f t="shared" si="18"/>
        <v>A</v>
      </c>
      <c r="BM18" s="347" t="str">
        <f t="shared" si="19"/>
        <v>=&gt; s</v>
      </c>
      <c r="BN18" s="354">
        <f t="shared" si="20"/>
        <v>24221</v>
      </c>
      <c r="BO18" s="355" t="str">
        <f t="shared" si="21"/>
        <v>---</v>
      </c>
      <c r="BP18" s="348"/>
      <c r="BQ18" s="356"/>
      <c r="BR18" s="356"/>
      <c r="BS18" s="356"/>
      <c r="BT18" s="348" t="str">
        <f t="shared" si="22"/>
        <v>- - -</v>
      </c>
      <c r="BU18" s="355" t="str">
        <f t="shared" si="23"/>
        <v>- - -</v>
      </c>
      <c r="BV18" s="347"/>
      <c r="BW18" s="347"/>
      <c r="BX18" s="357"/>
      <c r="BY18" s="357"/>
      <c r="BZ18" s="357" t="str">
        <f t="shared" si="24"/>
        <v>- - -</v>
      </c>
      <c r="CA18" s="357"/>
      <c r="CB18" s="357"/>
      <c r="CC18" s="357"/>
      <c r="CD18" s="357"/>
      <c r="CE18" s="357" t="str">
        <f t="shared" si="25"/>
        <v>---</v>
      </c>
      <c r="CF18" s="357" t="str">
        <f t="shared" si="26"/>
        <v>/-/ /-/</v>
      </c>
      <c r="CG18" s="357">
        <f t="shared" si="27"/>
        <v>6</v>
      </c>
      <c r="CH18" s="357">
        <f t="shared" si="28"/>
        <v>2035</v>
      </c>
      <c r="CI18" s="357">
        <f t="shared" si="29"/>
        <v>3</v>
      </c>
      <c r="CJ18" s="357">
        <f t="shared" si="30"/>
        <v>2035</v>
      </c>
      <c r="CK18" s="357">
        <f t="shared" si="31"/>
        <v>12</v>
      </c>
      <c r="CL18" s="357">
        <f t="shared" si="32"/>
        <v>2034</v>
      </c>
      <c r="CM18" s="357" t="str">
        <f t="shared" si="33"/>
        <v>- - -</v>
      </c>
      <c r="CN18" s="358" t="str">
        <f t="shared" si="34"/>
        <v>. .</v>
      </c>
      <c r="CO18" s="348"/>
      <c r="CP18" s="359">
        <f t="shared" si="35"/>
        <v>660</v>
      </c>
      <c r="CQ18" s="360">
        <f t="shared" si="36"/>
        <v>-23753</v>
      </c>
      <c r="CR18" s="349">
        <f t="shared" si="37"/>
        <v>-1980</v>
      </c>
      <c r="CS18" s="361" t="str">
        <f t="shared" si="38"/>
        <v>Nữ dưới 30</v>
      </c>
      <c r="CT18" s="352"/>
      <c r="CU18" s="349"/>
      <c r="CV18" s="362" t="str">
        <f t="shared" si="39"/>
        <v>Đến 30</v>
      </c>
      <c r="CW18" s="431" t="str">
        <f t="shared" si="40"/>
        <v>--</v>
      </c>
      <c r="CX18" s="431"/>
      <c r="CY18" s="352"/>
      <c r="CZ18" s="432"/>
      <c r="DA18" s="350"/>
      <c r="DB18" s="357"/>
      <c r="DC18" s="357"/>
      <c r="DD18" s="357"/>
      <c r="DE18" s="357"/>
      <c r="DF18" s="357"/>
      <c r="DG18" s="357"/>
      <c r="DH18" s="357" t="s">
        <v>9</v>
      </c>
      <c r="DI18" s="357" t="s">
        <v>10</v>
      </c>
      <c r="DJ18" s="357" t="s">
        <v>95</v>
      </c>
      <c r="DK18" s="357" t="s">
        <v>10</v>
      </c>
      <c r="DL18" s="357">
        <v>2013</v>
      </c>
      <c r="DM18" s="138">
        <f t="shared" si="41"/>
        <v>0</v>
      </c>
      <c r="DN18" s="138" t="str">
        <f t="shared" si="42"/>
        <v>- - -</v>
      </c>
      <c r="DO18" s="138" t="s">
        <v>9</v>
      </c>
      <c r="DP18" s="138" t="s">
        <v>10</v>
      </c>
      <c r="DQ18" s="138" t="s">
        <v>95</v>
      </c>
      <c r="DR18" s="138" t="s">
        <v>10</v>
      </c>
      <c r="DS18" s="138">
        <v>2013</v>
      </c>
      <c r="DU18" s="138" t="str">
        <f t="shared" si="43"/>
        <v>- - -</v>
      </c>
      <c r="DV18" s="138" t="str">
        <f t="shared" si="44"/>
        <v>---</v>
      </c>
    </row>
    <row r="19" spans="1:126" s="138" customFormat="1" ht="33" customHeight="1" x14ac:dyDescent="0.25">
      <c r="A19" s="152">
        <v>129</v>
      </c>
      <c r="B19" s="445">
        <v>4</v>
      </c>
      <c r="C19" s="142" t="str">
        <f t="shared" si="0"/>
        <v>Bà</v>
      </c>
      <c r="D19" s="153" t="s">
        <v>137</v>
      </c>
      <c r="E19" s="142" t="s">
        <v>32</v>
      </c>
      <c r="F19" s="154" t="s">
        <v>138</v>
      </c>
      <c r="G19" s="155" t="s">
        <v>10</v>
      </c>
      <c r="H19" s="155" t="s">
        <v>30</v>
      </c>
      <c r="I19" s="155" t="s">
        <v>10</v>
      </c>
      <c r="J19" s="156" t="s">
        <v>139</v>
      </c>
      <c r="K19" s="313"/>
      <c r="L19" s="313"/>
      <c r="M19" s="313" t="e">
        <f>VLOOKUP(L19,'[1]- DLiêu Gốc -'!$B$2:$G$121,2,0)</f>
        <v>#N/A</v>
      </c>
      <c r="N19" s="314" t="s">
        <v>127</v>
      </c>
      <c r="O19" s="294" t="s">
        <v>140</v>
      </c>
      <c r="P19" s="157" t="str">
        <f>VLOOKUP(U19,'[1]- DLiêu Gốc -'!$B$2:$G$56,5,0)</f>
        <v>A1</v>
      </c>
      <c r="Q19" s="157" t="str">
        <f>VLOOKUP(U19,'[1]- DLiêu Gốc -'!$B$2:$G$56,6,0)</f>
        <v>- - -</v>
      </c>
      <c r="R19" s="158" t="s">
        <v>41</v>
      </c>
      <c r="S19" s="295" t="str">
        <f t="shared" si="1"/>
        <v>Chuyên viên</v>
      </c>
      <c r="T19" s="159" t="str">
        <f t="shared" si="2"/>
        <v>01.003</v>
      </c>
      <c r="U19" s="160" t="s">
        <v>94</v>
      </c>
      <c r="V19" s="159" t="str">
        <f>VLOOKUP(U19,'[1]- DLiêu Gốc -'!$B$1:$G$121,2,0)</f>
        <v>01.003</v>
      </c>
      <c r="W19" s="161" t="str">
        <f t="shared" si="3"/>
        <v>Lương</v>
      </c>
      <c r="X19" s="162">
        <v>4</v>
      </c>
      <c r="Y19" s="163" t="str">
        <f t="shared" si="4"/>
        <v>/</v>
      </c>
      <c r="Z19" s="164">
        <f t="shared" si="5"/>
        <v>9</v>
      </c>
      <c r="AA19" s="165">
        <f t="shared" si="6"/>
        <v>3.33</v>
      </c>
      <c r="AB19" s="166">
        <f t="shared" si="7"/>
        <v>5</v>
      </c>
      <c r="AC19" s="313" t="str">
        <f t="shared" si="8"/>
        <v>/</v>
      </c>
      <c r="AD19" s="164">
        <f t="shared" si="9"/>
        <v>9</v>
      </c>
      <c r="AE19" s="315">
        <f t="shared" si="10"/>
        <v>3.66</v>
      </c>
      <c r="AF19" s="167" t="s">
        <v>9</v>
      </c>
      <c r="AG19" s="168" t="s">
        <v>10</v>
      </c>
      <c r="AH19" s="169" t="s">
        <v>95</v>
      </c>
      <c r="AI19" s="170" t="s">
        <v>10</v>
      </c>
      <c r="AJ19" s="171">
        <v>2016</v>
      </c>
      <c r="AK19" s="172"/>
      <c r="AL19" s="173">
        <v>5</v>
      </c>
      <c r="AM19" s="145">
        <f t="shared" si="11"/>
        <v>3</v>
      </c>
      <c r="AN19" s="145">
        <f t="shared" si="12"/>
        <v>-24197</v>
      </c>
      <c r="AO19" s="139"/>
      <c r="AP19" s="174"/>
      <c r="AQ19" s="147">
        <f>VLOOKUP(U19,'[1]- DLiêu Gốc -'!$B$1:$E$56,3,0)</f>
        <v>2.34</v>
      </c>
      <c r="AR19" s="141">
        <f>VLOOKUP(U19,'[1]- DLiêu Gốc -'!$B$1:$E$56,4,0)</f>
        <v>0.33</v>
      </c>
      <c r="AS19" s="175"/>
      <c r="AT19" s="176" t="str">
        <f t="shared" si="13"/>
        <v>o-o-o</v>
      </c>
      <c r="AU19" s="177"/>
      <c r="AV19" s="177"/>
      <c r="AW19" s="141">
        <f t="shared" si="14"/>
        <v>0</v>
      </c>
      <c r="AX19" s="178"/>
      <c r="AY19" s="316"/>
      <c r="AZ19" s="144"/>
      <c r="BA19" s="144"/>
      <c r="BB19" s="144"/>
      <c r="BC19" s="144"/>
      <c r="BD19" s="144"/>
      <c r="BE19" s="144"/>
      <c r="BF19" s="146" t="str">
        <f t="shared" si="15"/>
        <v>- - -</v>
      </c>
      <c r="BG19" s="179" t="str">
        <f t="shared" si="16"/>
        <v>- - -</v>
      </c>
      <c r="BH19" s="446" t="str">
        <f t="shared" si="17"/>
        <v>NLĐ</v>
      </c>
      <c r="BI19" s="352"/>
      <c r="BJ19" s="351"/>
      <c r="BK19" s="347" t="s">
        <v>43</v>
      </c>
      <c r="BL19" s="353" t="str">
        <f t="shared" si="18"/>
        <v>A</v>
      </c>
      <c r="BM19" s="347" t="str">
        <f t="shared" si="19"/>
        <v>=&gt; s</v>
      </c>
      <c r="BN19" s="354">
        <f t="shared" si="20"/>
        <v>24221</v>
      </c>
      <c r="BO19" s="355" t="str">
        <f t="shared" si="21"/>
        <v>---</v>
      </c>
      <c r="BP19" s="348"/>
      <c r="BQ19" s="356"/>
      <c r="BR19" s="356"/>
      <c r="BS19" s="356"/>
      <c r="BT19" s="348" t="str">
        <f t="shared" si="22"/>
        <v>- - -</v>
      </c>
      <c r="BU19" s="355" t="str">
        <f t="shared" si="23"/>
        <v>- - -</v>
      </c>
      <c r="BV19" s="347"/>
      <c r="BW19" s="347"/>
      <c r="BX19" s="357"/>
      <c r="BY19" s="357"/>
      <c r="BZ19" s="357" t="str">
        <f t="shared" si="24"/>
        <v>- - -</v>
      </c>
      <c r="CA19" s="357"/>
      <c r="CB19" s="357"/>
      <c r="CC19" s="357"/>
      <c r="CD19" s="357"/>
      <c r="CE19" s="357" t="str">
        <f t="shared" si="25"/>
        <v>---</v>
      </c>
      <c r="CF19" s="357" t="str">
        <f t="shared" si="26"/>
        <v>/-/ /-/</v>
      </c>
      <c r="CG19" s="357">
        <f t="shared" si="27"/>
        <v>9</v>
      </c>
      <c r="CH19" s="357">
        <f t="shared" si="28"/>
        <v>2032</v>
      </c>
      <c r="CI19" s="357">
        <f t="shared" si="29"/>
        <v>6</v>
      </c>
      <c r="CJ19" s="357">
        <f t="shared" si="30"/>
        <v>2032</v>
      </c>
      <c r="CK19" s="357">
        <f t="shared" si="31"/>
        <v>3</v>
      </c>
      <c r="CL19" s="357">
        <f t="shared" si="32"/>
        <v>2032</v>
      </c>
      <c r="CM19" s="357" t="str">
        <f t="shared" si="33"/>
        <v>- - -</v>
      </c>
      <c r="CN19" s="358" t="str">
        <f t="shared" si="34"/>
        <v>. .</v>
      </c>
      <c r="CO19" s="348"/>
      <c r="CP19" s="359">
        <f t="shared" si="35"/>
        <v>660</v>
      </c>
      <c r="CQ19" s="360">
        <f t="shared" si="36"/>
        <v>-23720</v>
      </c>
      <c r="CR19" s="349">
        <f t="shared" si="37"/>
        <v>-1977</v>
      </c>
      <c r="CS19" s="361" t="str">
        <f t="shared" si="38"/>
        <v>Nữ dưới 30</v>
      </c>
      <c r="CT19" s="352"/>
      <c r="CU19" s="349"/>
      <c r="CV19" s="362" t="str">
        <f t="shared" si="39"/>
        <v>Đến 30</v>
      </c>
      <c r="CW19" s="431" t="str">
        <f t="shared" si="40"/>
        <v>--</v>
      </c>
      <c r="CX19" s="431"/>
      <c r="CY19" s="352"/>
      <c r="CZ19" s="432"/>
      <c r="DA19" s="350"/>
      <c r="DB19" s="357"/>
      <c r="DC19" s="357"/>
      <c r="DD19" s="357"/>
      <c r="DE19" s="357"/>
      <c r="DF19" s="357"/>
      <c r="DG19" s="357" t="s">
        <v>127</v>
      </c>
      <c r="DH19" s="357" t="s">
        <v>9</v>
      </c>
      <c r="DI19" s="357" t="s">
        <v>10</v>
      </c>
      <c r="DJ19" s="357" t="s">
        <v>95</v>
      </c>
      <c r="DK19" s="357" t="s">
        <v>10</v>
      </c>
      <c r="DL19" s="357">
        <v>2013</v>
      </c>
      <c r="DM19" s="138">
        <f t="shared" si="41"/>
        <v>0</v>
      </c>
      <c r="DN19" s="138" t="str">
        <f t="shared" si="42"/>
        <v>- - -</v>
      </c>
      <c r="DO19" s="138" t="s">
        <v>9</v>
      </c>
      <c r="DP19" s="138" t="s">
        <v>10</v>
      </c>
      <c r="DQ19" s="138" t="s">
        <v>95</v>
      </c>
      <c r="DR19" s="138" t="s">
        <v>10</v>
      </c>
      <c r="DS19" s="138">
        <v>2013</v>
      </c>
      <c r="DU19" s="138" t="str">
        <f t="shared" si="43"/>
        <v>- - -</v>
      </c>
      <c r="DV19" s="138" t="str">
        <f t="shared" si="44"/>
        <v>---</v>
      </c>
    </row>
    <row r="20" spans="1:126" s="138" customFormat="1" ht="33" customHeight="1" x14ac:dyDescent="0.25">
      <c r="A20" s="152">
        <v>277</v>
      </c>
      <c r="B20" s="445">
        <v>5</v>
      </c>
      <c r="C20" s="142" t="str">
        <f t="shared" si="0"/>
        <v>Bà</v>
      </c>
      <c r="D20" s="153" t="s">
        <v>141</v>
      </c>
      <c r="E20" s="142" t="s">
        <v>32</v>
      </c>
      <c r="F20" s="154" t="s">
        <v>142</v>
      </c>
      <c r="G20" s="155" t="s">
        <v>10</v>
      </c>
      <c r="H20" s="155" t="s">
        <v>30</v>
      </c>
      <c r="I20" s="155" t="s">
        <v>10</v>
      </c>
      <c r="J20" s="156" t="s">
        <v>117</v>
      </c>
      <c r="K20" s="313" t="e">
        <f>IF(AND((M20+0)&gt;0.3,(M20+0)&lt;1.5),"CVụ","- -")</f>
        <v>#VALUE!</v>
      </c>
      <c r="L20" s="313" t="s">
        <v>97</v>
      </c>
      <c r="M20" s="313" t="str">
        <f>VLOOKUP(L20,'[1]- DLiêu Gốc -'!$B$2:$G$121,2,0)</f>
        <v>0,6</v>
      </c>
      <c r="N20" s="314" t="s">
        <v>143</v>
      </c>
      <c r="O20" s="294" t="s">
        <v>120</v>
      </c>
      <c r="P20" s="157" t="str">
        <f>VLOOKUP(U20,'[1]- DLiêu Gốc -'!$B$2:$G$56,5,0)</f>
        <v>A2</v>
      </c>
      <c r="Q20" s="157" t="str">
        <f>VLOOKUP(U20,'[1]- DLiêu Gốc -'!$B$2:$G$56,6,0)</f>
        <v>A2.1</v>
      </c>
      <c r="R20" s="158" t="s">
        <v>34</v>
      </c>
      <c r="S20" s="295" t="str">
        <f t="shared" si="1"/>
        <v>Giảng viên chính (hạng II)</v>
      </c>
      <c r="T20" s="159" t="str">
        <f t="shared" si="2"/>
        <v>V.07.01.02</v>
      </c>
      <c r="U20" s="160" t="s">
        <v>45</v>
      </c>
      <c r="V20" s="159" t="str">
        <f>VLOOKUP(U20,'[1]- DLiêu Gốc -'!$B$1:$G$121,2,0)</f>
        <v>V.07.01.02</v>
      </c>
      <c r="W20" s="161" t="str">
        <f t="shared" si="3"/>
        <v>Lương</v>
      </c>
      <c r="X20" s="162">
        <v>2</v>
      </c>
      <c r="Y20" s="163" t="str">
        <f t="shared" si="4"/>
        <v>/</v>
      </c>
      <c r="Z20" s="164">
        <f t="shared" si="5"/>
        <v>8</v>
      </c>
      <c r="AA20" s="165">
        <f t="shared" si="6"/>
        <v>4.74</v>
      </c>
      <c r="AB20" s="166">
        <f t="shared" si="7"/>
        <v>3</v>
      </c>
      <c r="AC20" s="313" t="str">
        <f t="shared" si="8"/>
        <v>/</v>
      </c>
      <c r="AD20" s="164">
        <f t="shared" si="9"/>
        <v>8</v>
      </c>
      <c r="AE20" s="315">
        <f t="shared" si="10"/>
        <v>5.08</v>
      </c>
      <c r="AF20" s="167" t="s">
        <v>9</v>
      </c>
      <c r="AG20" s="168" t="s">
        <v>10</v>
      </c>
      <c r="AH20" s="169">
        <v>5</v>
      </c>
      <c r="AI20" s="170" t="s">
        <v>10</v>
      </c>
      <c r="AJ20" s="171">
        <v>2016</v>
      </c>
      <c r="AK20" s="172"/>
      <c r="AL20" s="173">
        <v>5</v>
      </c>
      <c r="AM20" s="145">
        <f t="shared" si="11"/>
        <v>3</v>
      </c>
      <c r="AN20" s="145">
        <f t="shared" si="12"/>
        <v>-24197</v>
      </c>
      <c r="AO20" s="139"/>
      <c r="AP20" s="174"/>
      <c r="AQ20" s="147">
        <f>VLOOKUP(U20,'[1]- DLiêu Gốc -'!$B$1:$E$56,3,0)</f>
        <v>4.4000000000000004</v>
      </c>
      <c r="AR20" s="141">
        <f>VLOOKUP(U20,'[1]- DLiêu Gốc -'!$B$1:$E$56,4,0)</f>
        <v>0.34</v>
      </c>
      <c r="AS20" s="175"/>
      <c r="AT20" s="176" t="str">
        <f t="shared" si="13"/>
        <v>PCTN</v>
      </c>
      <c r="AU20" s="177">
        <v>18</v>
      </c>
      <c r="AV20" s="177" t="s">
        <v>38</v>
      </c>
      <c r="AW20" s="141">
        <f t="shared" si="14"/>
        <v>19</v>
      </c>
      <c r="AX20" s="178" t="s">
        <v>38</v>
      </c>
      <c r="AY20" s="316">
        <v>11</v>
      </c>
      <c r="AZ20" s="144" t="s">
        <v>10</v>
      </c>
      <c r="BA20" s="144">
        <v>2015</v>
      </c>
      <c r="BB20" s="144"/>
      <c r="BC20" s="144"/>
      <c r="BD20" s="144"/>
      <c r="BE20" s="144">
        <v>11</v>
      </c>
      <c r="BF20" s="146">
        <f t="shared" si="15"/>
        <v>-24191</v>
      </c>
      <c r="BG20" s="179" t="str">
        <f t="shared" si="16"/>
        <v>- - -</v>
      </c>
      <c r="BH20" s="446" t="str">
        <f t="shared" si="17"/>
        <v>VC</v>
      </c>
      <c r="BI20" s="352"/>
      <c r="BJ20" s="351"/>
      <c r="BK20" s="347" t="s">
        <v>93</v>
      </c>
      <c r="BL20" s="353" t="str">
        <f t="shared" si="18"/>
        <v>A</v>
      </c>
      <c r="BM20" s="347" t="str">
        <f t="shared" si="19"/>
        <v>=&gt; s</v>
      </c>
      <c r="BN20" s="354">
        <f t="shared" si="20"/>
        <v>24221</v>
      </c>
      <c r="BO20" s="355" t="str">
        <f t="shared" si="21"/>
        <v>S</v>
      </c>
      <c r="BP20" s="348">
        <v>2013</v>
      </c>
      <c r="BQ20" s="356" t="s">
        <v>96</v>
      </c>
      <c r="BR20" s="356"/>
      <c r="BS20" s="356"/>
      <c r="BT20" s="348" t="str">
        <f t="shared" si="22"/>
        <v>Cùg Ng</v>
      </c>
      <c r="BU20" s="355" t="str">
        <f t="shared" si="23"/>
        <v>NN</v>
      </c>
      <c r="BV20" s="347">
        <v>1</v>
      </c>
      <c r="BW20" s="347" t="s">
        <v>31</v>
      </c>
      <c r="BX20" s="357"/>
      <c r="BY20" s="357"/>
      <c r="BZ20" s="357" t="str">
        <f t="shared" si="24"/>
        <v>- - -</v>
      </c>
      <c r="CA20" s="357"/>
      <c r="CB20" s="357"/>
      <c r="CC20" s="357"/>
      <c r="CD20" s="357"/>
      <c r="CE20" s="357" t="str">
        <f t="shared" si="25"/>
        <v>---</v>
      </c>
      <c r="CF20" s="357" t="str">
        <f t="shared" si="26"/>
        <v>/-/ /-/</v>
      </c>
      <c r="CG20" s="357">
        <f t="shared" si="27"/>
        <v>9</v>
      </c>
      <c r="CH20" s="357">
        <f t="shared" si="28"/>
        <v>2027</v>
      </c>
      <c r="CI20" s="357">
        <f t="shared" si="29"/>
        <v>6</v>
      </c>
      <c r="CJ20" s="357">
        <f t="shared" si="30"/>
        <v>2027</v>
      </c>
      <c r="CK20" s="357">
        <f t="shared" si="31"/>
        <v>3</v>
      </c>
      <c r="CL20" s="357">
        <f t="shared" si="32"/>
        <v>2027</v>
      </c>
      <c r="CM20" s="357" t="str">
        <f t="shared" si="33"/>
        <v>- - -</v>
      </c>
      <c r="CN20" s="358" t="str">
        <f t="shared" si="34"/>
        <v>. .</v>
      </c>
      <c r="CO20" s="348"/>
      <c r="CP20" s="359">
        <f t="shared" si="35"/>
        <v>660</v>
      </c>
      <c r="CQ20" s="360">
        <f t="shared" si="36"/>
        <v>-23660</v>
      </c>
      <c r="CR20" s="349">
        <f t="shared" si="37"/>
        <v>-1972</v>
      </c>
      <c r="CS20" s="361" t="str">
        <f t="shared" si="38"/>
        <v>Nữ dưới 30</v>
      </c>
      <c r="CT20" s="352"/>
      <c r="CU20" s="349"/>
      <c r="CV20" s="362" t="str">
        <f t="shared" si="39"/>
        <v>Đến 30</v>
      </c>
      <c r="CW20" s="431" t="str">
        <f t="shared" si="40"/>
        <v>--</v>
      </c>
      <c r="CX20" s="431"/>
      <c r="CY20" s="352"/>
      <c r="CZ20" s="432"/>
      <c r="DA20" s="350"/>
      <c r="DB20" s="357"/>
      <c r="DC20" s="357"/>
      <c r="DD20" s="357"/>
      <c r="DE20" s="357"/>
      <c r="DF20" s="357"/>
      <c r="DG20" s="357" t="s">
        <v>143</v>
      </c>
      <c r="DH20" s="357" t="s">
        <v>9</v>
      </c>
      <c r="DI20" s="357" t="s">
        <v>10</v>
      </c>
      <c r="DJ20" s="357">
        <v>5</v>
      </c>
      <c r="DK20" s="357" t="s">
        <v>10</v>
      </c>
      <c r="DL20" s="357">
        <v>2013</v>
      </c>
      <c r="DM20" s="138">
        <f t="shared" si="41"/>
        <v>0</v>
      </c>
      <c r="DN20" s="138" t="str">
        <f t="shared" si="42"/>
        <v>- - -</v>
      </c>
      <c r="DO20" s="138" t="s">
        <v>9</v>
      </c>
      <c r="DP20" s="138" t="s">
        <v>10</v>
      </c>
      <c r="DQ20" s="138">
        <v>5</v>
      </c>
      <c r="DR20" s="138" t="s">
        <v>10</v>
      </c>
      <c r="DS20" s="138">
        <v>2013</v>
      </c>
      <c r="DT20" s="138">
        <v>3.66</v>
      </c>
      <c r="DU20" s="138" t="str">
        <f t="shared" si="43"/>
        <v>- - -</v>
      </c>
      <c r="DV20" s="138" t="str">
        <f t="shared" si="44"/>
        <v>---</v>
      </c>
    </row>
    <row r="21" spans="1:126" s="138" customFormat="1" ht="33" customHeight="1" x14ac:dyDescent="0.25">
      <c r="A21" s="152">
        <v>280</v>
      </c>
      <c r="B21" s="445">
        <v>6</v>
      </c>
      <c r="C21" s="142" t="str">
        <f t="shared" si="0"/>
        <v>Bà</v>
      </c>
      <c r="D21" s="153" t="s">
        <v>144</v>
      </c>
      <c r="E21" s="142" t="s">
        <v>32</v>
      </c>
      <c r="F21" s="154" t="s">
        <v>9</v>
      </c>
      <c r="G21" s="155" t="s">
        <v>10</v>
      </c>
      <c r="H21" s="155" t="s">
        <v>40</v>
      </c>
      <c r="I21" s="155" t="s">
        <v>10</v>
      </c>
      <c r="J21" s="156">
        <v>1975</v>
      </c>
      <c r="K21" s="313"/>
      <c r="L21" s="313"/>
      <c r="M21" s="313" t="e">
        <f>VLOOKUP(L21,'[1]- DLiêu Gốc -'!$B$2:$G$121,2,0)</f>
        <v>#N/A</v>
      </c>
      <c r="N21" s="314" t="s">
        <v>143</v>
      </c>
      <c r="O21" s="294" t="s">
        <v>120</v>
      </c>
      <c r="P21" s="157" t="str">
        <f>VLOOKUP(U21,'[1]- DLiêu Gốc -'!$B$2:$G$56,5,0)</f>
        <v>A1</v>
      </c>
      <c r="Q21" s="157" t="str">
        <f>VLOOKUP(U21,'[1]- DLiêu Gốc -'!$B$2:$G$56,6,0)</f>
        <v>- - -</v>
      </c>
      <c r="R21" s="158" t="s">
        <v>34</v>
      </c>
      <c r="S21" s="295" t="str">
        <f t="shared" si="1"/>
        <v>Giảng viên (hạng III)</v>
      </c>
      <c r="T21" s="159" t="str">
        <f t="shared" si="2"/>
        <v>V.07.01.03</v>
      </c>
      <c r="U21" s="160" t="s">
        <v>35</v>
      </c>
      <c r="V21" s="159" t="str">
        <f>VLOOKUP(U21,'[1]- DLiêu Gốc -'!$B$1:$G$121,2,0)</f>
        <v>V.07.01.03</v>
      </c>
      <c r="W21" s="161" t="str">
        <f t="shared" si="3"/>
        <v>Lương</v>
      </c>
      <c r="X21" s="162">
        <v>4</v>
      </c>
      <c r="Y21" s="163" t="str">
        <f t="shared" si="4"/>
        <v>/</v>
      </c>
      <c r="Z21" s="164">
        <f t="shared" si="5"/>
        <v>9</v>
      </c>
      <c r="AA21" s="165">
        <f t="shared" si="6"/>
        <v>3.33</v>
      </c>
      <c r="AB21" s="166">
        <f t="shared" si="7"/>
        <v>5</v>
      </c>
      <c r="AC21" s="313" t="str">
        <f t="shared" si="8"/>
        <v>/</v>
      </c>
      <c r="AD21" s="164">
        <f t="shared" si="9"/>
        <v>9</v>
      </c>
      <c r="AE21" s="315">
        <f t="shared" si="10"/>
        <v>3.66</v>
      </c>
      <c r="AF21" s="167" t="s">
        <v>9</v>
      </c>
      <c r="AG21" s="168" t="s">
        <v>10</v>
      </c>
      <c r="AH21" s="169">
        <v>5</v>
      </c>
      <c r="AI21" s="170" t="s">
        <v>10</v>
      </c>
      <c r="AJ21" s="171">
        <v>2016</v>
      </c>
      <c r="AK21" s="172"/>
      <c r="AL21" s="173">
        <v>5</v>
      </c>
      <c r="AM21" s="145">
        <f t="shared" si="11"/>
        <v>3</v>
      </c>
      <c r="AN21" s="145">
        <f t="shared" si="12"/>
        <v>-24197</v>
      </c>
      <c r="AO21" s="139"/>
      <c r="AP21" s="174"/>
      <c r="AQ21" s="147">
        <f>VLOOKUP(U21,'[1]- DLiêu Gốc -'!$B$1:$E$56,3,0)</f>
        <v>2.34</v>
      </c>
      <c r="AR21" s="141">
        <f>VLOOKUP(U21,'[1]- DLiêu Gốc -'!$B$1:$E$56,4,0)</f>
        <v>0.33</v>
      </c>
      <c r="AS21" s="175"/>
      <c r="AT21" s="176" t="str">
        <f t="shared" si="13"/>
        <v>PCTN</v>
      </c>
      <c r="AU21" s="177">
        <v>12</v>
      </c>
      <c r="AV21" s="177" t="s">
        <v>38</v>
      </c>
      <c r="AW21" s="141">
        <f t="shared" si="14"/>
        <v>13</v>
      </c>
      <c r="AX21" s="178" t="s">
        <v>38</v>
      </c>
      <c r="AY21" s="316" t="s">
        <v>37</v>
      </c>
      <c r="AZ21" s="144" t="s">
        <v>10</v>
      </c>
      <c r="BA21" s="144">
        <v>2016</v>
      </c>
      <c r="BB21" s="144"/>
      <c r="BC21" s="144"/>
      <c r="BD21" s="144"/>
      <c r="BE21" s="144">
        <v>2</v>
      </c>
      <c r="BF21" s="146">
        <f t="shared" si="15"/>
        <v>-24194</v>
      </c>
      <c r="BG21" s="179" t="str">
        <f t="shared" si="16"/>
        <v>- - -</v>
      </c>
      <c r="BH21" s="446" t="str">
        <f t="shared" si="17"/>
        <v>VC</v>
      </c>
      <c r="BI21" s="352"/>
      <c r="BJ21" s="351"/>
      <c r="BK21" s="347" t="s">
        <v>93</v>
      </c>
      <c r="BL21" s="353" t="str">
        <f t="shared" si="18"/>
        <v>A</v>
      </c>
      <c r="BM21" s="347" t="str">
        <f t="shared" si="19"/>
        <v>=&gt; s</v>
      </c>
      <c r="BN21" s="354">
        <f t="shared" si="20"/>
        <v>24221</v>
      </c>
      <c r="BO21" s="355" t="str">
        <f t="shared" si="21"/>
        <v>S</v>
      </c>
      <c r="BP21" s="348">
        <v>2013</v>
      </c>
      <c r="BQ21" s="356" t="s">
        <v>36</v>
      </c>
      <c r="BR21" s="356"/>
      <c r="BS21" s="356"/>
      <c r="BT21" s="348" t="str">
        <f t="shared" si="22"/>
        <v>Cùg Ng</v>
      </c>
      <c r="BU21" s="355" t="str">
        <f t="shared" si="23"/>
        <v>- - -</v>
      </c>
      <c r="BV21" s="347"/>
      <c r="BW21" s="347"/>
      <c r="BX21" s="357"/>
      <c r="BY21" s="357"/>
      <c r="BZ21" s="357" t="str">
        <f t="shared" si="24"/>
        <v>- - -</v>
      </c>
      <c r="CA21" s="357"/>
      <c r="CB21" s="357"/>
      <c r="CC21" s="357"/>
      <c r="CD21" s="357"/>
      <c r="CE21" s="357" t="str">
        <f t="shared" si="25"/>
        <v>---</v>
      </c>
      <c r="CF21" s="357" t="str">
        <f t="shared" si="26"/>
        <v>/-/ /-/</v>
      </c>
      <c r="CG21" s="357">
        <f t="shared" si="27"/>
        <v>12</v>
      </c>
      <c r="CH21" s="357">
        <f t="shared" si="28"/>
        <v>2030</v>
      </c>
      <c r="CI21" s="357">
        <f t="shared" si="29"/>
        <v>9</v>
      </c>
      <c r="CJ21" s="357">
        <f t="shared" si="30"/>
        <v>2030</v>
      </c>
      <c r="CK21" s="357">
        <f t="shared" si="31"/>
        <v>6</v>
      </c>
      <c r="CL21" s="357">
        <f t="shared" si="32"/>
        <v>2030</v>
      </c>
      <c r="CM21" s="357" t="str">
        <f t="shared" si="33"/>
        <v>- - -</v>
      </c>
      <c r="CN21" s="358" t="str">
        <f t="shared" si="34"/>
        <v>. .</v>
      </c>
      <c r="CO21" s="348"/>
      <c r="CP21" s="359">
        <f t="shared" si="35"/>
        <v>660</v>
      </c>
      <c r="CQ21" s="360">
        <f t="shared" si="36"/>
        <v>-23699</v>
      </c>
      <c r="CR21" s="349">
        <f t="shared" si="37"/>
        <v>-1975</v>
      </c>
      <c r="CS21" s="361" t="str">
        <f t="shared" si="38"/>
        <v>Nữ dưới 30</v>
      </c>
      <c r="CT21" s="352"/>
      <c r="CU21" s="349"/>
      <c r="CV21" s="362" t="str">
        <f t="shared" si="39"/>
        <v>Đến 30</v>
      </c>
      <c r="CW21" s="431" t="str">
        <f t="shared" si="40"/>
        <v>--</v>
      </c>
      <c r="CX21" s="431"/>
      <c r="CY21" s="352"/>
      <c r="CZ21" s="432"/>
      <c r="DA21" s="350"/>
      <c r="DB21" s="357"/>
      <c r="DC21" s="357"/>
      <c r="DD21" s="357"/>
      <c r="DE21" s="357"/>
      <c r="DF21" s="357"/>
      <c r="DG21" s="357" t="s">
        <v>143</v>
      </c>
      <c r="DH21" s="357" t="s">
        <v>9</v>
      </c>
      <c r="DI21" s="357" t="s">
        <v>10</v>
      </c>
      <c r="DJ21" s="357">
        <v>5</v>
      </c>
      <c r="DK21" s="357" t="s">
        <v>10</v>
      </c>
      <c r="DL21" s="357">
        <v>2013</v>
      </c>
      <c r="DM21" s="138">
        <f t="shared" si="41"/>
        <v>0</v>
      </c>
      <c r="DN21" s="138" t="str">
        <f t="shared" si="42"/>
        <v>- - -</v>
      </c>
      <c r="DO21" s="138" t="s">
        <v>9</v>
      </c>
      <c r="DP21" s="138" t="s">
        <v>10</v>
      </c>
      <c r="DQ21" s="138">
        <v>5</v>
      </c>
      <c r="DR21" s="138" t="s">
        <v>10</v>
      </c>
      <c r="DS21" s="138">
        <v>2013</v>
      </c>
      <c r="DU21" s="138" t="str">
        <f t="shared" si="43"/>
        <v>- - -</v>
      </c>
      <c r="DV21" s="138" t="str">
        <f t="shared" si="44"/>
        <v>---</v>
      </c>
    </row>
    <row r="22" spans="1:126" s="138" customFormat="1" ht="33" customHeight="1" x14ac:dyDescent="0.25">
      <c r="A22" s="152">
        <v>293</v>
      </c>
      <c r="B22" s="445">
        <v>7</v>
      </c>
      <c r="C22" s="142" t="str">
        <f t="shared" si="0"/>
        <v>Ông</v>
      </c>
      <c r="D22" s="153" t="s">
        <v>145</v>
      </c>
      <c r="E22" s="142" t="s">
        <v>39</v>
      </c>
      <c r="F22" s="154" t="s">
        <v>146</v>
      </c>
      <c r="G22" s="155" t="s">
        <v>10</v>
      </c>
      <c r="H22" s="155" t="s">
        <v>37</v>
      </c>
      <c r="I22" s="155" t="s">
        <v>10</v>
      </c>
      <c r="J22" s="156" t="s">
        <v>147</v>
      </c>
      <c r="K22" s="313" t="e">
        <f>IF(AND((M22+0)&gt;0.3,(M22+0)&lt;1.5),"CVụ","- -")</f>
        <v>#VALUE!</v>
      </c>
      <c r="L22" s="313" t="s">
        <v>97</v>
      </c>
      <c r="M22" s="313" t="str">
        <f>VLOOKUP(L22,'[1]- DLiêu Gốc -'!$B$2:$G$121,2,0)</f>
        <v>0,6</v>
      </c>
      <c r="N22" s="314" t="s">
        <v>148</v>
      </c>
      <c r="O22" s="294" t="s">
        <v>149</v>
      </c>
      <c r="P22" s="157" t="str">
        <f>VLOOKUP(U22,'[1]- DLiêu Gốc -'!$B$2:$G$56,5,0)</f>
        <v>A2</v>
      </c>
      <c r="Q22" s="157" t="str">
        <f>VLOOKUP(U22,'[1]- DLiêu Gốc -'!$B$2:$G$56,6,0)</f>
        <v>A2.1</v>
      </c>
      <c r="R22" s="158" t="s">
        <v>34</v>
      </c>
      <c r="S22" s="295" t="str">
        <f t="shared" si="1"/>
        <v>Giảng viên chính (hạng II)</v>
      </c>
      <c r="T22" s="159" t="str">
        <f t="shared" si="2"/>
        <v>V.07.01.02</v>
      </c>
      <c r="U22" s="160" t="s">
        <v>45</v>
      </c>
      <c r="V22" s="159" t="str">
        <f>VLOOKUP(U22,'[1]- DLiêu Gốc -'!$B$1:$G$121,2,0)</f>
        <v>V.07.01.02</v>
      </c>
      <c r="W22" s="161" t="str">
        <f t="shared" si="3"/>
        <v>Lương</v>
      </c>
      <c r="X22" s="162">
        <v>2</v>
      </c>
      <c r="Y22" s="163" t="str">
        <f t="shared" si="4"/>
        <v>/</v>
      </c>
      <c r="Z22" s="164">
        <f t="shared" si="5"/>
        <v>8</v>
      </c>
      <c r="AA22" s="165">
        <f t="shared" si="6"/>
        <v>4.74</v>
      </c>
      <c r="AB22" s="166">
        <f t="shared" si="7"/>
        <v>3</v>
      </c>
      <c r="AC22" s="313" t="str">
        <f t="shared" si="8"/>
        <v>/</v>
      </c>
      <c r="AD22" s="164">
        <f t="shared" si="9"/>
        <v>8</v>
      </c>
      <c r="AE22" s="315">
        <f t="shared" si="10"/>
        <v>5.08</v>
      </c>
      <c r="AF22" s="167" t="s">
        <v>9</v>
      </c>
      <c r="AG22" s="168" t="s">
        <v>10</v>
      </c>
      <c r="AH22" s="169">
        <v>5</v>
      </c>
      <c r="AI22" s="170" t="s">
        <v>10</v>
      </c>
      <c r="AJ22" s="171">
        <v>2016</v>
      </c>
      <c r="AK22" s="172"/>
      <c r="AL22" s="173">
        <v>5</v>
      </c>
      <c r="AM22" s="145">
        <f t="shared" si="11"/>
        <v>3</v>
      </c>
      <c r="AN22" s="145">
        <f t="shared" si="12"/>
        <v>-24197</v>
      </c>
      <c r="AO22" s="139"/>
      <c r="AP22" s="174"/>
      <c r="AQ22" s="147">
        <f>VLOOKUP(U22,'[1]- DLiêu Gốc -'!$B$1:$E$56,3,0)</f>
        <v>4.4000000000000004</v>
      </c>
      <c r="AR22" s="141">
        <f>VLOOKUP(U22,'[1]- DLiêu Gốc -'!$B$1:$E$56,4,0)</f>
        <v>0.34</v>
      </c>
      <c r="AS22" s="175"/>
      <c r="AT22" s="176" t="str">
        <f t="shared" si="13"/>
        <v>PCTN</v>
      </c>
      <c r="AU22" s="177">
        <v>16</v>
      </c>
      <c r="AV22" s="177" t="s">
        <v>38</v>
      </c>
      <c r="AW22" s="141">
        <f t="shared" si="14"/>
        <v>17</v>
      </c>
      <c r="AX22" s="178" t="s">
        <v>38</v>
      </c>
      <c r="AY22" s="316">
        <v>12</v>
      </c>
      <c r="AZ22" s="144" t="s">
        <v>10</v>
      </c>
      <c r="BA22" s="144">
        <v>2015</v>
      </c>
      <c r="BB22" s="144"/>
      <c r="BC22" s="144"/>
      <c r="BD22" s="144"/>
      <c r="BE22" s="144">
        <v>12</v>
      </c>
      <c r="BF22" s="146">
        <f t="shared" si="15"/>
        <v>-24192</v>
      </c>
      <c r="BG22" s="179" t="str">
        <f t="shared" si="16"/>
        <v>- - -</v>
      </c>
      <c r="BH22" s="446" t="str">
        <f t="shared" si="17"/>
        <v>VC</v>
      </c>
      <c r="BI22" s="352"/>
      <c r="BJ22" s="351"/>
      <c r="BK22" s="347" t="s">
        <v>93</v>
      </c>
      <c r="BL22" s="353" t="str">
        <f t="shared" si="18"/>
        <v>A</v>
      </c>
      <c r="BM22" s="347" t="str">
        <f t="shared" si="19"/>
        <v>=&gt; s</v>
      </c>
      <c r="BN22" s="354">
        <f t="shared" si="20"/>
        <v>24221</v>
      </c>
      <c r="BO22" s="355" t="str">
        <f t="shared" si="21"/>
        <v>S</v>
      </c>
      <c r="BP22" s="348">
        <v>2013</v>
      </c>
      <c r="BQ22" s="356" t="s">
        <v>96</v>
      </c>
      <c r="BR22" s="356"/>
      <c r="BS22" s="356"/>
      <c r="BT22" s="348" t="str">
        <f t="shared" si="22"/>
        <v>Cùg Ng</v>
      </c>
      <c r="BU22" s="355" t="str">
        <f t="shared" si="23"/>
        <v>NN</v>
      </c>
      <c r="BV22" s="347">
        <v>1</v>
      </c>
      <c r="BW22" s="347" t="s">
        <v>31</v>
      </c>
      <c r="BX22" s="357"/>
      <c r="BY22" s="357"/>
      <c r="BZ22" s="357" t="str">
        <f t="shared" si="24"/>
        <v>- - -</v>
      </c>
      <c r="CA22" s="357"/>
      <c r="CB22" s="357"/>
      <c r="CC22" s="357"/>
      <c r="CD22" s="357"/>
      <c r="CE22" s="357" t="str">
        <f t="shared" si="25"/>
        <v>---</v>
      </c>
      <c r="CF22" s="357" t="str">
        <f t="shared" si="26"/>
        <v>/-/ /-/</v>
      </c>
      <c r="CG22" s="357">
        <f t="shared" si="27"/>
        <v>3</v>
      </c>
      <c r="CH22" s="357">
        <f t="shared" si="28"/>
        <v>2031</v>
      </c>
      <c r="CI22" s="357">
        <f t="shared" si="29"/>
        <v>12</v>
      </c>
      <c r="CJ22" s="357">
        <f t="shared" si="30"/>
        <v>2030</v>
      </c>
      <c r="CK22" s="357">
        <f t="shared" si="31"/>
        <v>9</v>
      </c>
      <c r="CL22" s="357">
        <f t="shared" si="32"/>
        <v>2030</v>
      </c>
      <c r="CM22" s="357" t="str">
        <f t="shared" si="33"/>
        <v>- - -</v>
      </c>
      <c r="CN22" s="358" t="str">
        <f t="shared" si="34"/>
        <v>. .</v>
      </c>
      <c r="CO22" s="348"/>
      <c r="CP22" s="359">
        <f t="shared" si="35"/>
        <v>720</v>
      </c>
      <c r="CQ22" s="360">
        <f t="shared" si="36"/>
        <v>-23642</v>
      </c>
      <c r="CR22" s="349">
        <f t="shared" si="37"/>
        <v>-1971</v>
      </c>
      <c r="CS22" s="361" t="str">
        <f t="shared" si="38"/>
        <v>Nam dưới 35</v>
      </c>
      <c r="CT22" s="352"/>
      <c r="CU22" s="349"/>
      <c r="CV22" s="362" t="str">
        <f t="shared" si="39"/>
        <v>Đến 30</v>
      </c>
      <c r="CW22" s="431" t="str">
        <f t="shared" si="40"/>
        <v>--</v>
      </c>
      <c r="CX22" s="431"/>
      <c r="CY22" s="352"/>
      <c r="CZ22" s="432"/>
      <c r="DA22" s="350"/>
      <c r="DB22" s="357"/>
      <c r="DC22" s="357"/>
      <c r="DD22" s="357"/>
      <c r="DE22" s="357"/>
      <c r="DF22" s="357"/>
      <c r="DG22" s="357" t="s">
        <v>148</v>
      </c>
      <c r="DH22" s="357" t="s">
        <v>9</v>
      </c>
      <c r="DI22" s="357" t="s">
        <v>10</v>
      </c>
      <c r="DJ22" s="357">
        <v>5</v>
      </c>
      <c r="DK22" s="357" t="s">
        <v>10</v>
      </c>
      <c r="DL22" s="357">
        <v>2013</v>
      </c>
      <c r="DM22" s="138">
        <f t="shared" si="41"/>
        <v>0</v>
      </c>
      <c r="DN22" s="138" t="str">
        <f t="shared" si="42"/>
        <v>- - -</v>
      </c>
      <c r="DO22" s="138" t="s">
        <v>9</v>
      </c>
      <c r="DP22" s="138" t="s">
        <v>10</v>
      </c>
      <c r="DQ22" s="138">
        <v>5</v>
      </c>
      <c r="DR22" s="138" t="s">
        <v>10</v>
      </c>
      <c r="DS22" s="138">
        <v>2013</v>
      </c>
      <c r="DT22" s="138">
        <v>3.66</v>
      </c>
      <c r="DU22" s="138" t="str">
        <f t="shared" si="43"/>
        <v>- - -</v>
      </c>
      <c r="DV22" s="138" t="str">
        <f t="shared" si="44"/>
        <v>---</v>
      </c>
    </row>
    <row r="23" spans="1:126" s="138" customFormat="1" ht="33" customHeight="1" x14ac:dyDescent="0.25">
      <c r="A23" s="152">
        <v>303</v>
      </c>
      <c r="B23" s="445">
        <v>8</v>
      </c>
      <c r="C23" s="142" t="str">
        <f t="shared" si="0"/>
        <v>Bà</v>
      </c>
      <c r="D23" s="153" t="s">
        <v>150</v>
      </c>
      <c r="E23" s="142" t="s">
        <v>32</v>
      </c>
      <c r="F23" s="154" t="s">
        <v>151</v>
      </c>
      <c r="G23" s="155" t="s">
        <v>10</v>
      </c>
      <c r="H23" s="155">
        <v>7</v>
      </c>
      <c r="I23" s="155" t="s">
        <v>10</v>
      </c>
      <c r="J23" s="156">
        <v>1977</v>
      </c>
      <c r="K23" s="313"/>
      <c r="L23" s="313"/>
      <c r="M23" s="313" t="e">
        <f>VLOOKUP(L23,'[1]- DLiêu Gốc -'!$B$2:$G$121,2,0)</f>
        <v>#N/A</v>
      </c>
      <c r="N23" s="314" t="s">
        <v>152</v>
      </c>
      <c r="O23" s="294" t="s">
        <v>149</v>
      </c>
      <c r="P23" s="157" t="str">
        <f>VLOOKUP(U23,'[1]- DLiêu Gốc -'!$B$2:$G$56,5,0)</f>
        <v>A1</v>
      </c>
      <c r="Q23" s="157" t="str">
        <f>VLOOKUP(U23,'[1]- DLiêu Gốc -'!$B$2:$G$56,6,0)</f>
        <v>- - -</v>
      </c>
      <c r="R23" s="158" t="s">
        <v>34</v>
      </c>
      <c r="S23" s="295" t="str">
        <f t="shared" si="1"/>
        <v>Giảng viên (hạng III)</v>
      </c>
      <c r="T23" s="159" t="str">
        <f t="shared" si="2"/>
        <v>V.07.01.03</v>
      </c>
      <c r="U23" s="160" t="s">
        <v>35</v>
      </c>
      <c r="V23" s="159" t="str">
        <f>VLOOKUP(U23,'[1]- DLiêu Gốc -'!$B$1:$G$121,2,0)</f>
        <v>V.07.01.03</v>
      </c>
      <c r="W23" s="161" t="str">
        <f t="shared" si="3"/>
        <v>Lương</v>
      </c>
      <c r="X23" s="162">
        <v>4</v>
      </c>
      <c r="Y23" s="163" t="str">
        <f t="shared" si="4"/>
        <v>/</v>
      </c>
      <c r="Z23" s="164">
        <f t="shared" si="5"/>
        <v>9</v>
      </c>
      <c r="AA23" s="165">
        <f t="shared" si="6"/>
        <v>3.33</v>
      </c>
      <c r="AB23" s="166">
        <f t="shared" si="7"/>
        <v>5</v>
      </c>
      <c r="AC23" s="313" t="str">
        <f t="shared" si="8"/>
        <v>/</v>
      </c>
      <c r="AD23" s="164">
        <f t="shared" si="9"/>
        <v>9</v>
      </c>
      <c r="AE23" s="315">
        <f t="shared" si="10"/>
        <v>3.66</v>
      </c>
      <c r="AF23" s="167" t="s">
        <v>9</v>
      </c>
      <c r="AG23" s="168" t="s">
        <v>10</v>
      </c>
      <c r="AH23" s="169" t="s">
        <v>95</v>
      </c>
      <c r="AI23" s="170" t="s">
        <v>10</v>
      </c>
      <c r="AJ23" s="171">
        <v>2016</v>
      </c>
      <c r="AK23" s="172"/>
      <c r="AL23" s="173">
        <v>5</v>
      </c>
      <c r="AM23" s="145">
        <f t="shared" si="11"/>
        <v>3</v>
      </c>
      <c r="AN23" s="145">
        <f t="shared" si="12"/>
        <v>-24197</v>
      </c>
      <c r="AO23" s="139"/>
      <c r="AP23" s="174"/>
      <c r="AQ23" s="147">
        <f>VLOOKUP(U23,'[1]- DLiêu Gốc -'!$B$1:$E$56,3,0)</f>
        <v>2.34</v>
      </c>
      <c r="AR23" s="141">
        <f>VLOOKUP(U23,'[1]- DLiêu Gốc -'!$B$1:$E$56,4,0)</f>
        <v>0.33</v>
      </c>
      <c r="AS23" s="175"/>
      <c r="AT23" s="176" t="str">
        <f t="shared" si="13"/>
        <v>PCTN</v>
      </c>
      <c r="AU23" s="177">
        <v>10</v>
      </c>
      <c r="AV23" s="177" t="s">
        <v>38</v>
      </c>
      <c r="AW23" s="141">
        <f t="shared" si="14"/>
        <v>11</v>
      </c>
      <c r="AX23" s="178" t="s">
        <v>38</v>
      </c>
      <c r="AY23" s="316">
        <v>5</v>
      </c>
      <c r="AZ23" s="144" t="s">
        <v>10</v>
      </c>
      <c r="BA23" s="144">
        <v>2015</v>
      </c>
      <c r="BB23" s="144"/>
      <c r="BC23" s="144"/>
      <c r="BD23" s="144"/>
      <c r="BE23" s="144">
        <v>5</v>
      </c>
      <c r="BF23" s="146">
        <f t="shared" si="15"/>
        <v>-24185</v>
      </c>
      <c r="BG23" s="179" t="str">
        <f t="shared" si="16"/>
        <v>- - -</v>
      </c>
      <c r="BH23" s="446" t="str">
        <f t="shared" si="17"/>
        <v>VC</v>
      </c>
      <c r="BI23" s="352"/>
      <c r="BJ23" s="351"/>
      <c r="BK23" s="347" t="s">
        <v>93</v>
      </c>
      <c r="BL23" s="353" t="str">
        <f t="shared" si="18"/>
        <v>A</v>
      </c>
      <c r="BM23" s="347" t="str">
        <f t="shared" si="19"/>
        <v>=&gt; s</v>
      </c>
      <c r="BN23" s="354">
        <f t="shared" si="20"/>
        <v>24221</v>
      </c>
      <c r="BO23" s="355" t="str">
        <f t="shared" si="21"/>
        <v>---</v>
      </c>
      <c r="BP23" s="348"/>
      <c r="BQ23" s="356"/>
      <c r="BR23" s="356"/>
      <c r="BS23" s="356"/>
      <c r="BT23" s="348" t="str">
        <f t="shared" si="22"/>
        <v>- - -</v>
      </c>
      <c r="BU23" s="355" t="str">
        <f t="shared" si="23"/>
        <v>- - -</v>
      </c>
      <c r="BV23" s="347"/>
      <c r="BW23" s="347"/>
      <c r="BX23" s="357"/>
      <c r="BY23" s="357"/>
      <c r="BZ23" s="357" t="str">
        <f t="shared" si="24"/>
        <v>- - -</v>
      </c>
      <c r="CA23" s="357"/>
      <c r="CB23" s="357"/>
      <c r="CC23" s="357"/>
      <c r="CD23" s="357"/>
      <c r="CE23" s="357" t="str">
        <f t="shared" si="25"/>
        <v>---</v>
      </c>
      <c r="CF23" s="357" t="str">
        <f t="shared" si="26"/>
        <v>/-/ /-/</v>
      </c>
      <c r="CG23" s="357">
        <f t="shared" si="27"/>
        <v>8</v>
      </c>
      <c r="CH23" s="357">
        <f t="shared" si="28"/>
        <v>2032</v>
      </c>
      <c r="CI23" s="357">
        <f t="shared" si="29"/>
        <v>5</v>
      </c>
      <c r="CJ23" s="357">
        <f t="shared" si="30"/>
        <v>2032</v>
      </c>
      <c r="CK23" s="357">
        <f t="shared" si="31"/>
        <v>2</v>
      </c>
      <c r="CL23" s="357">
        <f t="shared" si="32"/>
        <v>2032</v>
      </c>
      <c r="CM23" s="357" t="str">
        <f t="shared" si="33"/>
        <v>- - -</v>
      </c>
      <c r="CN23" s="358" t="str">
        <f t="shared" si="34"/>
        <v>. .</v>
      </c>
      <c r="CO23" s="348"/>
      <c r="CP23" s="359">
        <f t="shared" si="35"/>
        <v>660</v>
      </c>
      <c r="CQ23" s="360">
        <f t="shared" si="36"/>
        <v>-23719</v>
      </c>
      <c r="CR23" s="349">
        <f t="shared" si="37"/>
        <v>-1977</v>
      </c>
      <c r="CS23" s="361" t="str">
        <f t="shared" si="38"/>
        <v>Nữ dưới 30</v>
      </c>
      <c r="CT23" s="352"/>
      <c r="CU23" s="349"/>
      <c r="CV23" s="362" t="str">
        <f t="shared" si="39"/>
        <v>Đến 30</v>
      </c>
      <c r="CW23" s="431" t="str">
        <f t="shared" si="40"/>
        <v>--</v>
      </c>
      <c r="CX23" s="431"/>
      <c r="CY23" s="352"/>
      <c r="CZ23" s="432"/>
      <c r="DA23" s="350"/>
      <c r="DB23" s="357"/>
      <c r="DC23" s="357"/>
      <c r="DD23" s="357"/>
      <c r="DE23" s="357"/>
      <c r="DF23" s="357"/>
      <c r="DG23" s="357" t="s">
        <v>152</v>
      </c>
      <c r="DH23" s="357" t="s">
        <v>9</v>
      </c>
      <c r="DI23" s="357" t="s">
        <v>10</v>
      </c>
      <c r="DJ23" s="357" t="s">
        <v>95</v>
      </c>
      <c r="DK23" s="357" t="s">
        <v>10</v>
      </c>
      <c r="DL23" s="357">
        <v>2013</v>
      </c>
      <c r="DM23" s="138">
        <f t="shared" si="41"/>
        <v>0</v>
      </c>
      <c r="DN23" s="138" t="str">
        <f t="shared" si="42"/>
        <v>- - -</v>
      </c>
      <c r="DO23" s="138" t="s">
        <v>9</v>
      </c>
      <c r="DP23" s="138" t="s">
        <v>10</v>
      </c>
      <c r="DQ23" s="138" t="s">
        <v>95</v>
      </c>
      <c r="DR23" s="138" t="s">
        <v>10</v>
      </c>
      <c r="DS23" s="138">
        <v>2013</v>
      </c>
      <c r="DU23" s="138" t="str">
        <f t="shared" si="43"/>
        <v>- - -</v>
      </c>
      <c r="DV23" s="138" t="str">
        <f t="shared" si="44"/>
        <v>---</v>
      </c>
    </row>
    <row r="24" spans="1:126" s="138" customFormat="1" ht="33" customHeight="1" x14ac:dyDescent="0.25">
      <c r="A24" s="152">
        <v>321</v>
      </c>
      <c r="B24" s="445">
        <v>9</v>
      </c>
      <c r="C24" s="142" t="str">
        <f t="shared" si="0"/>
        <v>Ông</v>
      </c>
      <c r="D24" s="153" t="s">
        <v>153</v>
      </c>
      <c r="E24" s="142" t="s">
        <v>39</v>
      </c>
      <c r="F24" s="154" t="s">
        <v>40</v>
      </c>
      <c r="G24" s="155" t="s">
        <v>10</v>
      </c>
      <c r="H24" s="155" t="s">
        <v>109</v>
      </c>
      <c r="I24" s="155" t="s">
        <v>10</v>
      </c>
      <c r="J24" s="156">
        <v>1976</v>
      </c>
      <c r="K24" s="313"/>
      <c r="L24" s="313"/>
      <c r="M24" s="313" t="e">
        <f>VLOOKUP(L24,'[1]- DLiêu Gốc -'!$B$2:$G$121,2,0)</f>
        <v>#N/A</v>
      </c>
      <c r="N24" s="314" t="s">
        <v>154</v>
      </c>
      <c r="O24" s="294" t="s">
        <v>155</v>
      </c>
      <c r="P24" s="157" t="str">
        <f>VLOOKUP(U24,'[1]- DLiêu Gốc -'!$B$2:$G$56,5,0)</f>
        <v>A1</v>
      </c>
      <c r="Q24" s="157" t="str">
        <f>VLOOKUP(U24,'[1]- DLiêu Gốc -'!$B$2:$G$56,6,0)</f>
        <v>- - -</v>
      </c>
      <c r="R24" s="158" t="s">
        <v>41</v>
      </c>
      <c r="S24" s="295" t="str">
        <f t="shared" si="1"/>
        <v>Chuyên viên</v>
      </c>
      <c r="T24" s="159" t="str">
        <f t="shared" si="2"/>
        <v>01.003</v>
      </c>
      <c r="U24" s="160" t="s">
        <v>94</v>
      </c>
      <c r="V24" s="159" t="str">
        <f>VLOOKUP(U24,'[1]- DLiêu Gốc -'!$B$1:$G$121,2,0)</f>
        <v>01.003</v>
      </c>
      <c r="W24" s="161" t="str">
        <f t="shared" si="3"/>
        <v>Lương</v>
      </c>
      <c r="X24" s="162">
        <v>4</v>
      </c>
      <c r="Y24" s="163" t="str">
        <f t="shared" si="4"/>
        <v>/</v>
      </c>
      <c r="Z24" s="164">
        <f t="shared" si="5"/>
        <v>9</v>
      </c>
      <c r="AA24" s="165">
        <f t="shared" si="6"/>
        <v>3.33</v>
      </c>
      <c r="AB24" s="166">
        <f t="shared" si="7"/>
        <v>5</v>
      </c>
      <c r="AC24" s="313" t="str">
        <f t="shared" si="8"/>
        <v>/</v>
      </c>
      <c r="AD24" s="164">
        <f t="shared" si="9"/>
        <v>9</v>
      </c>
      <c r="AE24" s="315">
        <f t="shared" si="10"/>
        <v>3.66</v>
      </c>
      <c r="AF24" s="167" t="s">
        <v>9</v>
      </c>
      <c r="AG24" s="168" t="s">
        <v>10</v>
      </c>
      <c r="AH24" s="169" t="s">
        <v>95</v>
      </c>
      <c r="AI24" s="170" t="s">
        <v>10</v>
      </c>
      <c r="AJ24" s="171">
        <v>2016</v>
      </c>
      <c r="AK24" s="172"/>
      <c r="AL24" s="173">
        <v>5</v>
      </c>
      <c r="AM24" s="145">
        <f t="shared" si="11"/>
        <v>3</v>
      </c>
      <c r="AN24" s="145">
        <f t="shared" si="12"/>
        <v>-24197</v>
      </c>
      <c r="AO24" s="139"/>
      <c r="AP24" s="174"/>
      <c r="AQ24" s="147">
        <f>VLOOKUP(U24,'[1]- DLiêu Gốc -'!$B$1:$E$56,3,0)</f>
        <v>2.34</v>
      </c>
      <c r="AR24" s="141">
        <f>VLOOKUP(U24,'[1]- DLiêu Gốc -'!$B$1:$E$56,4,0)</f>
        <v>0.33</v>
      </c>
      <c r="AS24" s="175"/>
      <c r="AT24" s="176" t="str">
        <f t="shared" si="13"/>
        <v>o-o-o</v>
      </c>
      <c r="AU24" s="177"/>
      <c r="AV24" s="177"/>
      <c r="AW24" s="141">
        <f t="shared" si="14"/>
        <v>0</v>
      </c>
      <c r="AX24" s="178"/>
      <c r="AY24" s="316"/>
      <c r="AZ24" s="144"/>
      <c r="BA24" s="144"/>
      <c r="BB24" s="144"/>
      <c r="BC24" s="144"/>
      <c r="BD24" s="144"/>
      <c r="BE24" s="144"/>
      <c r="BF24" s="146" t="str">
        <f t="shared" si="15"/>
        <v>- - -</v>
      </c>
      <c r="BG24" s="179" t="str">
        <f t="shared" si="16"/>
        <v>- - -</v>
      </c>
      <c r="BH24" s="446" t="str">
        <f t="shared" si="17"/>
        <v>VC</v>
      </c>
      <c r="BI24" s="352"/>
      <c r="BJ24" s="351"/>
      <c r="BK24" s="347" t="s">
        <v>93</v>
      </c>
      <c r="BL24" s="353" t="str">
        <f t="shared" si="18"/>
        <v>A</v>
      </c>
      <c r="BM24" s="347" t="str">
        <f t="shared" si="19"/>
        <v>=&gt; s</v>
      </c>
      <c r="BN24" s="354">
        <f t="shared" si="20"/>
        <v>24221</v>
      </c>
      <c r="BO24" s="355" t="str">
        <f t="shared" si="21"/>
        <v>---</v>
      </c>
      <c r="BP24" s="348"/>
      <c r="BQ24" s="356"/>
      <c r="BR24" s="356"/>
      <c r="BS24" s="356"/>
      <c r="BT24" s="348" t="str">
        <f t="shared" si="22"/>
        <v>- - -</v>
      </c>
      <c r="BU24" s="355" t="str">
        <f t="shared" si="23"/>
        <v>- - -</v>
      </c>
      <c r="BV24" s="347"/>
      <c r="BW24" s="347"/>
      <c r="BX24" s="357"/>
      <c r="BY24" s="357"/>
      <c r="BZ24" s="357" t="str">
        <f t="shared" si="24"/>
        <v>- - -</v>
      </c>
      <c r="CA24" s="357"/>
      <c r="CB24" s="357"/>
      <c r="CC24" s="357"/>
      <c r="CD24" s="357"/>
      <c r="CE24" s="357" t="str">
        <f t="shared" si="25"/>
        <v>---</v>
      </c>
      <c r="CF24" s="357" t="str">
        <f t="shared" si="26"/>
        <v>/-/ /-/</v>
      </c>
      <c r="CG24" s="357">
        <f t="shared" si="27"/>
        <v>7</v>
      </c>
      <c r="CH24" s="357">
        <f t="shared" si="28"/>
        <v>2036</v>
      </c>
      <c r="CI24" s="357">
        <f t="shared" si="29"/>
        <v>4</v>
      </c>
      <c r="CJ24" s="357">
        <f t="shared" si="30"/>
        <v>2036</v>
      </c>
      <c r="CK24" s="357">
        <f t="shared" si="31"/>
        <v>1</v>
      </c>
      <c r="CL24" s="357">
        <f t="shared" si="32"/>
        <v>2036</v>
      </c>
      <c r="CM24" s="357" t="str">
        <f t="shared" si="33"/>
        <v>- - -</v>
      </c>
      <c r="CN24" s="358" t="str">
        <f t="shared" si="34"/>
        <v>. .</v>
      </c>
      <c r="CO24" s="348"/>
      <c r="CP24" s="359">
        <f t="shared" si="35"/>
        <v>720</v>
      </c>
      <c r="CQ24" s="360">
        <f t="shared" si="36"/>
        <v>-23706</v>
      </c>
      <c r="CR24" s="349">
        <f t="shared" si="37"/>
        <v>-1976</v>
      </c>
      <c r="CS24" s="361" t="str">
        <f t="shared" si="38"/>
        <v>Nam dưới 35</v>
      </c>
      <c r="CT24" s="352"/>
      <c r="CU24" s="349"/>
      <c r="CV24" s="362" t="str">
        <f t="shared" si="39"/>
        <v>Đến 30</v>
      </c>
      <c r="CW24" s="431" t="str">
        <f t="shared" si="40"/>
        <v>--</v>
      </c>
      <c r="CX24" s="431"/>
      <c r="CY24" s="352"/>
      <c r="CZ24" s="432"/>
      <c r="DA24" s="350"/>
      <c r="DB24" s="357"/>
      <c r="DC24" s="357"/>
      <c r="DD24" s="357"/>
      <c r="DE24" s="357"/>
      <c r="DF24" s="357"/>
      <c r="DG24" s="357" t="s">
        <v>154</v>
      </c>
      <c r="DH24" s="357" t="s">
        <v>9</v>
      </c>
      <c r="DI24" s="357" t="s">
        <v>10</v>
      </c>
      <c r="DJ24" s="357" t="s">
        <v>95</v>
      </c>
      <c r="DK24" s="357" t="s">
        <v>10</v>
      </c>
      <c r="DL24" s="357">
        <v>2013</v>
      </c>
      <c r="DM24" s="138">
        <f t="shared" si="41"/>
        <v>0</v>
      </c>
      <c r="DN24" s="138" t="str">
        <f t="shared" si="42"/>
        <v>- - -</v>
      </c>
      <c r="DO24" s="138" t="s">
        <v>9</v>
      </c>
      <c r="DP24" s="138" t="s">
        <v>10</v>
      </c>
      <c r="DQ24" s="138" t="s">
        <v>95</v>
      </c>
      <c r="DR24" s="138" t="s">
        <v>10</v>
      </c>
      <c r="DS24" s="138">
        <v>2013</v>
      </c>
      <c r="DU24" s="138" t="str">
        <f t="shared" si="43"/>
        <v>- - -</v>
      </c>
      <c r="DV24" s="138" t="str">
        <f t="shared" si="44"/>
        <v>---</v>
      </c>
    </row>
    <row r="25" spans="1:126" s="422" customFormat="1" ht="33" customHeight="1" x14ac:dyDescent="0.25">
      <c r="A25" s="381">
        <v>337</v>
      </c>
      <c r="B25" s="445">
        <v>10</v>
      </c>
      <c r="C25" s="382" t="str">
        <f t="shared" si="0"/>
        <v>Ông</v>
      </c>
      <c r="D25" s="383" t="s">
        <v>156</v>
      </c>
      <c r="E25" s="382" t="s">
        <v>39</v>
      </c>
      <c r="F25" s="384" t="s">
        <v>122</v>
      </c>
      <c r="G25" s="385" t="s">
        <v>10</v>
      </c>
      <c r="H25" s="385" t="s">
        <v>107</v>
      </c>
      <c r="I25" s="385" t="s">
        <v>10</v>
      </c>
      <c r="J25" s="386" t="s">
        <v>126</v>
      </c>
      <c r="K25" s="387" t="e">
        <f>IF(AND((M25+0)&gt;0.3,(M25+0)&lt;1.5),"CVụ","- -")</f>
        <v>#VALUE!</v>
      </c>
      <c r="L25" s="387" t="s">
        <v>101</v>
      </c>
      <c r="M25" s="387" t="str">
        <f>VLOOKUP(L25,'[1]- DLiêu Gốc -'!$B$2:$G$121,2,0)</f>
        <v>0,8</v>
      </c>
      <c r="N25" s="388"/>
      <c r="O25" s="389" t="s">
        <v>102</v>
      </c>
      <c r="P25" s="390" t="str">
        <f>VLOOKUP(U25,'[1]- DLiêu Gốc -'!$B$2:$G$56,5,0)</f>
        <v>A3</v>
      </c>
      <c r="Q25" s="390" t="str">
        <f>VLOOKUP(U25,'[1]- DLiêu Gốc -'!$B$2:$G$56,6,0)</f>
        <v>A3.1</v>
      </c>
      <c r="R25" s="391" t="s">
        <v>41</v>
      </c>
      <c r="S25" s="392" t="str">
        <f t="shared" si="1"/>
        <v>Giảng viên cao cấp (hạng I)</v>
      </c>
      <c r="T25" s="393" t="str">
        <f t="shared" si="2"/>
        <v>V.07.01.01</v>
      </c>
      <c r="U25" s="394" t="s">
        <v>87</v>
      </c>
      <c r="V25" s="393" t="str">
        <f>VLOOKUP(U25,'[1]- DLiêu Gốc -'!$B$1:$G$121,2,0)</f>
        <v>V.07.01.01</v>
      </c>
      <c r="W25" s="395" t="str">
        <f t="shared" si="3"/>
        <v>Lương</v>
      </c>
      <c r="X25" s="396">
        <v>2</v>
      </c>
      <c r="Y25" s="397" t="str">
        <f t="shared" si="4"/>
        <v>/</v>
      </c>
      <c r="Z25" s="398">
        <f t="shared" si="5"/>
        <v>6</v>
      </c>
      <c r="AA25" s="399">
        <f t="shared" si="6"/>
        <v>6.5600000000000005</v>
      </c>
      <c r="AB25" s="400">
        <f t="shared" si="7"/>
        <v>3</v>
      </c>
      <c r="AC25" s="387" t="str">
        <f t="shared" si="8"/>
        <v>/</v>
      </c>
      <c r="AD25" s="398">
        <f t="shared" si="9"/>
        <v>6</v>
      </c>
      <c r="AE25" s="401">
        <f t="shared" si="10"/>
        <v>6.9200000000000008</v>
      </c>
      <c r="AF25" s="402" t="s">
        <v>9</v>
      </c>
      <c r="AG25" s="403" t="s">
        <v>10</v>
      </c>
      <c r="AH25" s="404">
        <v>5</v>
      </c>
      <c r="AI25" s="405" t="s">
        <v>10</v>
      </c>
      <c r="AJ25" s="406">
        <v>2016</v>
      </c>
      <c r="AK25" s="407"/>
      <c r="AL25" s="408">
        <v>5</v>
      </c>
      <c r="AM25" s="409">
        <f t="shared" si="11"/>
        <v>3</v>
      </c>
      <c r="AN25" s="409">
        <f t="shared" si="12"/>
        <v>-24197</v>
      </c>
      <c r="AO25" s="410"/>
      <c r="AP25" s="411"/>
      <c r="AQ25" s="412">
        <f>VLOOKUP(U25,'[1]- DLiêu Gốc -'!$B$1:$E$56,3,0)</f>
        <v>6.2</v>
      </c>
      <c r="AR25" s="413">
        <f>VLOOKUP(U25,'[1]- DLiêu Gốc -'!$B$1:$E$56,4,0)</f>
        <v>0.36</v>
      </c>
      <c r="AS25" s="414"/>
      <c r="AT25" s="415" t="str">
        <f t="shared" si="13"/>
        <v>PCTN</v>
      </c>
      <c r="AU25" s="416">
        <v>8</v>
      </c>
      <c r="AV25" s="416" t="s">
        <v>38</v>
      </c>
      <c r="AW25" s="413">
        <f t="shared" si="14"/>
        <v>9</v>
      </c>
      <c r="AX25" s="417" t="s">
        <v>38</v>
      </c>
      <c r="AY25" s="418" t="s">
        <v>30</v>
      </c>
      <c r="AZ25" s="419" t="s">
        <v>10</v>
      </c>
      <c r="BA25" s="419">
        <v>2015</v>
      </c>
      <c r="BB25" s="419"/>
      <c r="BC25" s="419"/>
      <c r="BD25" s="419"/>
      <c r="BE25" s="419">
        <v>8</v>
      </c>
      <c r="BF25" s="420">
        <f t="shared" si="15"/>
        <v>-24188</v>
      </c>
      <c r="BG25" s="421" t="str">
        <f t="shared" si="16"/>
        <v>- - -</v>
      </c>
      <c r="BH25" s="447" t="str">
        <f t="shared" si="17"/>
        <v>VC</v>
      </c>
      <c r="BI25" s="222"/>
      <c r="BJ25" s="209"/>
      <c r="BK25" s="210" t="s">
        <v>93</v>
      </c>
      <c r="BL25" s="211" t="str">
        <f t="shared" si="18"/>
        <v>A</v>
      </c>
      <c r="BM25" s="210" t="str">
        <f t="shared" si="19"/>
        <v>=&gt; s</v>
      </c>
      <c r="BN25" s="212">
        <f t="shared" si="20"/>
        <v>24221</v>
      </c>
      <c r="BO25" s="213" t="str">
        <f t="shared" si="21"/>
        <v>S</v>
      </c>
      <c r="BP25" s="214">
        <v>2013</v>
      </c>
      <c r="BQ25" s="215" t="s">
        <v>157</v>
      </c>
      <c r="BR25" s="215"/>
      <c r="BS25" s="215"/>
      <c r="BT25" s="214" t="str">
        <f t="shared" si="22"/>
        <v>- - -</v>
      </c>
      <c r="BU25" s="213" t="str">
        <f t="shared" si="23"/>
        <v>NN</v>
      </c>
      <c r="BV25" s="210">
        <v>1</v>
      </c>
      <c r="BW25" s="210" t="s">
        <v>108</v>
      </c>
      <c r="BX25" s="216"/>
      <c r="BY25" s="216"/>
      <c r="BZ25" s="216" t="str">
        <f t="shared" si="24"/>
        <v>- - -</v>
      </c>
      <c r="CA25" s="216"/>
      <c r="CB25" s="216"/>
      <c r="CC25" s="216"/>
      <c r="CD25" s="216"/>
      <c r="CE25" s="216" t="str">
        <f t="shared" si="25"/>
        <v>---</v>
      </c>
      <c r="CF25" s="216" t="str">
        <f t="shared" si="26"/>
        <v>/-/ /-/</v>
      </c>
      <c r="CG25" s="216">
        <f t="shared" si="27"/>
        <v>5</v>
      </c>
      <c r="CH25" s="216">
        <f t="shared" si="28"/>
        <v>2017</v>
      </c>
      <c r="CI25" s="216">
        <f t="shared" si="29"/>
        <v>2</v>
      </c>
      <c r="CJ25" s="216">
        <f t="shared" si="30"/>
        <v>2017</v>
      </c>
      <c r="CK25" s="216">
        <f t="shared" si="31"/>
        <v>11</v>
      </c>
      <c r="CL25" s="216">
        <f t="shared" si="32"/>
        <v>2016</v>
      </c>
      <c r="CM25" s="216" t="str">
        <f t="shared" si="33"/>
        <v>- - -</v>
      </c>
      <c r="CN25" s="217" t="str">
        <f t="shared" si="34"/>
        <v>. .</v>
      </c>
      <c r="CO25" s="214"/>
      <c r="CP25" s="218">
        <f t="shared" si="35"/>
        <v>720</v>
      </c>
      <c r="CQ25" s="219">
        <f t="shared" si="36"/>
        <v>-23476</v>
      </c>
      <c r="CR25" s="220">
        <f t="shared" si="37"/>
        <v>-1957</v>
      </c>
      <c r="CS25" s="221" t="str">
        <f t="shared" si="38"/>
        <v>Nam dưới 35</v>
      </c>
      <c r="CT25" s="222"/>
      <c r="CU25" s="220"/>
      <c r="CV25" s="223" t="str">
        <f t="shared" si="39"/>
        <v>Đến 30</v>
      </c>
      <c r="CW25" s="304" t="str">
        <f t="shared" si="40"/>
        <v>--</v>
      </c>
      <c r="CX25" s="304"/>
      <c r="CY25" s="222"/>
      <c r="CZ25" s="305"/>
      <c r="DA25" s="306"/>
      <c r="DB25" s="216"/>
      <c r="DC25" s="216"/>
      <c r="DD25" s="216"/>
      <c r="DE25" s="216"/>
      <c r="DF25" s="216"/>
      <c r="DG25" s="216"/>
      <c r="DH25" s="216" t="s">
        <v>9</v>
      </c>
      <c r="DI25" s="216" t="s">
        <v>10</v>
      </c>
      <c r="DJ25" s="216">
        <v>5</v>
      </c>
      <c r="DK25" s="216" t="s">
        <v>10</v>
      </c>
      <c r="DL25" s="216">
        <v>2013</v>
      </c>
      <c r="DM25" s="422">
        <f t="shared" si="41"/>
        <v>0</v>
      </c>
      <c r="DN25" s="422" t="str">
        <f t="shared" si="42"/>
        <v>- - -</v>
      </c>
      <c r="DO25" s="422" t="s">
        <v>9</v>
      </c>
      <c r="DP25" s="422" t="s">
        <v>10</v>
      </c>
      <c r="DQ25" s="422">
        <v>5</v>
      </c>
      <c r="DR25" s="422" t="s">
        <v>10</v>
      </c>
      <c r="DS25" s="422">
        <v>2013</v>
      </c>
      <c r="DT25" s="422">
        <v>6.1</v>
      </c>
      <c r="DU25" s="422" t="str">
        <f t="shared" si="43"/>
        <v>- - -</v>
      </c>
      <c r="DV25" s="422" t="str">
        <f t="shared" si="44"/>
        <v>---</v>
      </c>
    </row>
    <row r="26" spans="1:126" s="138" customFormat="1" ht="33" customHeight="1" x14ac:dyDescent="0.25">
      <c r="A26" s="152">
        <v>365</v>
      </c>
      <c r="B26" s="445">
        <v>11</v>
      </c>
      <c r="C26" s="142" t="str">
        <f t="shared" si="0"/>
        <v>Bà</v>
      </c>
      <c r="D26" s="153" t="s">
        <v>158</v>
      </c>
      <c r="E26" s="142" t="s">
        <v>32</v>
      </c>
      <c r="F26" s="154" t="s">
        <v>159</v>
      </c>
      <c r="G26" s="155" t="s">
        <v>10</v>
      </c>
      <c r="H26" s="155" t="s">
        <v>9</v>
      </c>
      <c r="I26" s="155" t="s">
        <v>10</v>
      </c>
      <c r="J26" s="156">
        <v>1972</v>
      </c>
      <c r="K26" s="313"/>
      <c r="L26" s="313"/>
      <c r="M26" s="313" t="e">
        <f>VLOOKUP(L26,'[1]- DLiêu Gốc -'!$B$2:$G$121,2,0)</f>
        <v>#N/A</v>
      </c>
      <c r="N26" s="314" t="s">
        <v>160</v>
      </c>
      <c r="O26" s="294" t="s">
        <v>33</v>
      </c>
      <c r="P26" s="157" t="str">
        <f>VLOOKUP(U26,'[1]- DLiêu Gốc -'!$B$2:$G$56,5,0)</f>
        <v>A1</v>
      </c>
      <c r="Q26" s="157" t="str">
        <f>VLOOKUP(U26,'[1]- DLiêu Gốc -'!$B$2:$G$56,6,0)</f>
        <v>- - -</v>
      </c>
      <c r="R26" s="158" t="s">
        <v>34</v>
      </c>
      <c r="S26" s="295" t="str">
        <f t="shared" si="1"/>
        <v>Giảng viên (hạng III)</v>
      </c>
      <c r="T26" s="159" t="str">
        <f t="shared" si="2"/>
        <v>V.07.01.03</v>
      </c>
      <c r="U26" s="160" t="s">
        <v>35</v>
      </c>
      <c r="V26" s="159" t="str">
        <f>VLOOKUP(U26,'[1]- DLiêu Gốc -'!$B$1:$G$121,2,0)</f>
        <v>V.07.01.03</v>
      </c>
      <c r="W26" s="161" t="str">
        <f t="shared" si="3"/>
        <v>Lương</v>
      </c>
      <c r="X26" s="162">
        <v>6</v>
      </c>
      <c r="Y26" s="163" t="str">
        <f t="shared" si="4"/>
        <v>/</v>
      </c>
      <c r="Z26" s="164">
        <f t="shared" si="5"/>
        <v>9</v>
      </c>
      <c r="AA26" s="165">
        <f t="shared" si="6"/>
        <v>3.99</v>
      </c>
      <c r="AB26" s="166">
        <f t="shared" si="7"/>
        <v>7</v>
      </c>
      <c r="AC26" s="313" t="str">
        <f t="shared" si="8"/>
        <v>/</v>
      </c>
      <c r="AD26" s="164">
        <f t="shared" si="9"/>
        <v>9</v>
      </c>
      <c r="AE26" s="315">
        <f t="shared" si="10"/>
        <v>4.32</v>
      </c>
      <c r="AF26" s="167" t="s">
        <v>9</v>
      </c>
      <c r="AG26" s="168" t="s">
        <v>10</v>
      </c>
      <c r="AH26" s="169" t="s">
        <v>95</v>
      </c>
      <c r="AI26" s="170" t="s">
        <v>10</v>
      </c>
      <c r="AJ26" s="171">
        <v>2016</v>
      </c>
      <c r="AK26" s="172"/>
      <c r="AL26" s="173">
        <v>5</v>
      </c>
      <c r="AM26" s="145">
        <f t="shared" si="11"/>
        <v>3</v>
      </c>
      <c r="AN26" s="145">
        <f t="shared" si="12"/>
        <v>-24197</v>
      </c>
      <c r="AO26" s="139"/>
      <c r="AP26" s="174"/>
      <c r="AQ26" s="147">
        <f>VLOOKUP(U26,'[1]- DLiêu Gốc -'!$B$1:$E$56,3,0)</f>
        <v>2.34</v>
      </c>
      <c r="AR26" s="141">
        <f>VLOOKUP(U26,'[1]- DLiêu Gốc -'!$B$1:$E$56,4,0)</f>
        <v>0.33</v>
      </c>
      <c r="AS26" s="175"/>
      <c r="AT26" s="176" t="str">
        <f t="shared" si="13"/>
        <v>PCTN</v>
      </c>
      <c r="AU26" s="177">
        <v>11</v>
      </c>
      <c r="AV26" s="177" t="s">
        <v>38</v>
      </c>
      <c r="AW26" s="141">
        <f t="shared" si="14"/>
        <v>12</v>
      </c>
      <c r="AX26" s="178" t="s">
        <v>38</v>
      </c>
      <c r="AY26" s="316">
        <v>5</v>
      </c>
      <c r="AZ26" s="144" t="s">
        <v>10</v>
      </c>
      <c r="BA26" s="144">
        <v>2015</v>
      </c>
      <c r="BB26" s="144"/>
      <c r="BC26" s="144"/>
      <c r="BD26" s="144"/>
      <c r="BE26" s="144">
        <v>5</v>
      </c>
      <c r="BF26" s="146">
        <f t="shared" si="15"/>
        <v>-24185</v>
      </c>
      <c r="BG26" s="179" t="str">
        <f t="shared" si="16"/>
        <v>- - -</v>
      </c>
      <c r="BH26" s="446" t="str">
        <f t="shared" si="17"/>
        <v>VC</v>
      </c>
      <c r="BI26" s="352"/>
      <c r="BJ26" s="351"/>
      <c r="BK26" s="347" t="s">
        <v>93</v>
      </c>
      <c r="BL26" s="353" t="str">
        <f t="shared" si="18"/>
        <v>A</v>
      </c>
      <c r="BM26" s="347" t="str">
        <f t="shared" si="19"/>
        <v>=&gt; s</v>
      </c>
      <c r="BN26" s="354">
        <f t="shared" si="20"/>
        <v>24221</v>
      </c>
      <c r="BO26" s="355" t="str">
        <f t="shared" si="21"/>
        <v>---</v>
      </c>
      <c r="BP26" s="348"/>
      <c r="BQ26" s="356"/>
      <c r="BR26" s="356"/>
      <c r="BS26" s="356"/>
      <c r="BT26" s="348" t="str">
        <f t="shared" si="22"/>
        <v>- - -</v>
      </c>
      <c r="BU26" s="355" t="str">
        <f t="shared" si="23"/>
        <v>- - -</v>
      </c>
      <c r="BV26" s="347"/>
      <c r="BW26" s="347"/>
      <c r="BX26" s="357"/>
      <c r="BY26" s="357"/>
      <c r="BZ26" s="357" t="str">
        <f t="shared" si="24"/>
        <v>- - -</v>
      </c>
      <c r="CA26" s="357"/>
      <c r="CB26" s="357"/>
      <c r="CC26" s="357"/>
      <c r="CD26" s="357"/>
      <c r="CE26" s="357" t="str">
        <f t="shared" si="25"/>
        <v>---</v>
      </c>
      <c r="CF26" s="357" t="str">
        <f t="shared" si="26"/>
        <v>/-/ /-/</v>
      </c>
      <c r="CG26" s="357">
        <f t="shared" si="27"/>
        <v>2</v>
      </c>
      <c r="CH26" s="357">
        <f t="shared" si="28"/>
        <v>2027</v>
      </c>
      <c r="CI26" s="357">
        <f t="shared" si="29"/>
        <v>11</v>
      </c>
      <c r="CJ26" s="357">
        <f t="shared" si="30"/>
        <v>2026</v>
      </c>
      <c r="CK26" s="357">
        <f t="shared" si="31"/>
        <v>8</v>
      </c>
      <c r="CL26" s="357">
        <f t="shared" si="32"/>
        <v>2026</v>
      </c>
      <c r="CM26" s="357" t="str">
        <f t="shared" si="33"/>
        <v>- - -</v>
      </c>
      <c r="CN26" s="358" t="str">
        <f t="shared" si="34"/>
        <v>. .</v>
      </c>
      <c r="CO26" s="348"/>
      <c r="CP26" s="359">
        <f t="shared" si="35"/>
        <v>660</v>
      </c>
      <c r="CQ26" s="360">
        <f t="shared" si="36"/>
        <v>-23653</v>
      </c>
      <c r="CR26" s="349">
        <f t="shared" si="37"/>
        <v>-1972</v>
      </c>
      <c r="CS26" s="361" t="str">
        <f t="shared" si="38"/>
        <v>Nữ dưới 30</v>
      </c>
      <c r="CT26" s="352"/>
      <c r="CU26" s="349"/>
      <c r="CV26" s="362" t="str">
        <f t="shared" si="39"/>
        <v>Đến 30</v>
      </c>
      <c r="CW26" s="431" t="str">
        <f t="shared" si="40"/>
        <v>TD</v>
      </c>
      <c r="CX26" s="431">
        <v>2008</v>
      </c>
      <c r="CY26" s="352"/>
      <c r="CZ26" s="432"/>
      <c r="DA26" s="350"/>
      <c r="DB26" s="357"/>
      <c r="DC26" s="357"/>
      <c r="DD26" s="357"/>
      <c r="DE26" s="357"/>
      <c r="DF26" s="357"/>
      <c r="DG26" s="357" t="s">
        <v>160</v>
      </c>
      <c r="DH26" s="357" t="s">
        <v>9</v>
      </c>
      <c r="DI26" s="357" t="s">
        <v>10</v>
      </c>
      <c r="DJ26" s="357" t="s">
        <v>95</v>
      </c>
      <c r="DK26" s="357" t="s">
        <v>10</v>
      </c>
      <c r="DL26" s="357">
        <v>2013</v>
      </c>
      <c r="DM26" s="138">
        <f t="shared" si="41"/>
        <v>0</v>
      </c>
      <c r="DN26" s="138" t="str">
        <f t="shared" si="42"/>
        <v>- - -</v>
      </c>
      <c r="DO26" s="138" t="s">
        <v>9</v>
      </c>
      <c r="DP26" s="138" t="s">
        <v>10</v>
      </c>
      <c r="DQ26" s="138" t="s">
        <v>95</v>
      </c>
      <c r="DR26" s="138" t="s">
        <v>10</v>
      </c>
      <c r="DS26" s="138">
        <v>2013</v>
      </c>
      <c r="DU26" s="138" t="str">
        <f t="shared" si="43"/>
        <v>- - -</v>
      </c>
      <c r="DV26" s="138" t="str">
        <f t="shared" si="44"/>
        <v>---</v>
      </c>
    </row>
    <row r="27" spans="1:126" s="422" customFormat="1" ht="33" customHeight="1" x14ac:dyDescent="0.25">
      <c r="A27" s="381">
        <v>395</v>
      </c>
      <c r="B27" s="445">
        <v>12</v>
      </c>
      <c r="C27" s="382" t="str">
        <f t="shared" si="0"/>
        <v>Ông</v>
      </c>
      <c r="D27" s="383" t="s">
        <v>161</v>
      </c>
      <c r="E27" s="382" t="s">
        <v>39</v>
      </c>
      <c r="F27" s="384" t="s">
        <v>118</v>
      </c>
      <c r="G27" s="385" t="s">
        <v>10</v>
      </c>
      <c r="H27" s="385" t="s">
        <v>91</v>
      </c>
      <c r="I27" s="385" t="s">
        <v>10</v>
      </c>
      <c r="J27" s="386">
        <v>1979</v>
      </c>
      <c r="K27" s="387"/>
      <c r="L27" s="387"/>
      <c r="M27" s="387" t="e">
        <f>VLOOKUP(L27,'[1]- DLiêu Gốc -'!$B$2:$G$121,2,0)</f>
        <v>#N/A</v>
      </c>
      <c r="N27" s="388"/>
      <c r="O27" s="389" t="s">
        <v>162</v>
      </c>
      <c r="P27" s="390" t="str">
        <f>VLOOKUP(U27,'[1]- DLiêu Gốc -'!$B$2:$G$56,5,0)</f>
        <v>A1</v>
      </c>
      <c r="Q27" s="390" t="str">
        <f>VLOOKUP(U27,'[1]- DLiêu Gốc -'!$B$2:$G$56,6,0)</f>
        <v>- - -</v>
      </c>
      <c r="R27" s="391" t="s">
        <v>41</v>
      </c>
      <c r="S27" s="392" t="str">
        <f t="shared" si="1"/>
        <v>Chuyên viên</v>
      </c>
      <c r="T27" s="393" t="str">
        <f t="shared" si="2"/>
        <v>01.003</v>
      </c>
      <c r="U27" s="394" t="s">
        <v>94</v>
      </c>
      <c r="V27" s="393" t="str">
        <f>VLOOKUP(U27,'[1]- DLiêu Gốc -'!$B$1:$G$121,2,0)</f>
        <v>01.003</v>
      </c>
      <c r="W27" s="395" t="str">
        <f t="shared" si="3"/>
        <v>Lương</v>
      </c>
      <c r="X27" s="396">
        <v>1</v>
      </c>
      <c r="Y27" s="397" t="str">
        <f t="shared" si="4"/>
        <v>/</v>
      </c>
      <c r="Z27" s="398">
        <f t="shared" si="5"/>
        <v>9</v>
      </c>
      <c r="AA27" s="399">
        <f t="shared" si="6"/>
        <v>2.34</v>
      </c>
      <c r="AB27" s="400">
        <f t="shared" si="7"/>
        <v>2</v>
      </c>
      <c r="AC27" s="387" t="str">
        <f t="shared" si="8"/>
        <v>/</v>
      </c>
      <c r="AD27" s="398">
        <f t="shared" si="9"/>
        <v>9</v>
      </c>
      <c r="AE27" s="401">
        <f t="shared" si="10"/>
        <v>2.67</v>
      </c>
      <c r="AF27" s="402" t="s">
        <v>9</v>
      </c>
      <c r="AG27" s="403" t="s">
        <v>10</v>
      </c>
      <c r="AH27" s="404" t="s">
        <v>95</v>
      </c>
      <c r="AI27" s="405" t="s">
        <v>10</v>
      </c>
      <c r="AJ27" s="406">
        <v>2016</v>
      </c>
      <c r="AK27" s="407"/>
      <c r="AL27" s="408">
        <v>5</v>
      </c>
      <c r="AM27" s="409">
        <f t="shared" si="11"/>
        <v>3</v>
      </c>
      <c r="AN27" s="409">
        <f t="shared" si="12"/>
        <v>-24197</v>
      </c>
      <c r="AO27" s="410"/>
      <c r="AP27" s="411"/>
      <c r="AQ27" s="412">
        <f>VLOOKUP(U27,'[1]- DLiêu Gốc -'!$B$1:$E$56,3,0)</f>
        <v>2.34</v>
      </c>
      <c r="AR27" s="413">
        <f>VLOOKUP(U27,'[1]- DLiêu Gốc -'!$B$1:$E$56,4,0)</f>
        <v>0.33</v>
      </c>
      <c r="AS27" s="414"/>
      <c r="AT27" s="415" t="str">
        <f t="shared" si="13"/>
        <v>o-o-o</v>
      </c>
      <c r="AU27" s="416"/>
      <c r="AV27" s="416"/>
      <c r="AW27" s="413">
        <f t="shared" si="14"/>
        <v>0</v>
      </c>
      <c r="AX27" s="417"/>
      <c r="AY27" s="418"/>
      <c r="AZ27" s="419"/>
      <c r="BA27" s="419"/>
      <c r="BB27" s="419"/>
      <c r="BC27" s="419"/>
      <c r="BD27" s="419"/>
      <c r="BE27" s="419"/>
      <c r="BF27" s="420" t="str">
        <f t="shared" si="15"/>
        <v>- - -</v>
      </c>
      <c r="BG27" s="421" t="str">
        <f t="shared" si="16"/>
        <v>- - -</v>
      </c>
      <c r="BH27" s="447" t="str">
        <f t="shared" si="17"/>
        <v>NLĐ</v>
      </c>
      <c r="BI27" s="222"/>
      <c r="BJ27" s="209"/>
      <c r="BK27" s="210" t="s">
        <v>43</v>
      </c>
      <c r="BL27" s="211" t="str">
        <f t="shared" si="18"/>
        <v>A</v>
      </c>
      <c r="BM27" s="210" t="str">
        <f t="shared" si="19"/>
        <v>=&gt; s</v>
      </c>
      <c r="BN27" s="212">
        <f t="shared" si="20"/>
        <v>24221</v>
      </c>
      <c r="BO27" s="213" t="str">
        <f t="shared" si="21"/>
        <v>---</v>
      </c>
      <c r="BP27" s="214"/>
      <c r="BQ27" s="215"/>
      <c r="BR27" s="215"/>
      <c r="BS27" s="215"/>
      <c r="BT27" s="214" t="str">
        <f t="shared" si="22"/>
        <v>- - -</v>
      </c>
      <c r="BU27" s="213" t="str">
        <f t="shared" si="23"/>
        <v>- - -</v>
      </c>
      <c r="BV27" s="210"/>
      <c r="BW27" s="210"/>
      <c r="BX27" s="216"/>
      <c r="BY27" s="216"/>
      <c r="BZ27" s="216" t="str">
        <f t="shared" si="24"/>
        <v>- - -</v>
      </c>
      <c r="CA27" s="216"/>
      <c r="CB27" s="216"/>
      <c r="CC27" s="216"/>
      <c r="CD27" s="216"/>
      <c r="CE27" s="216" t="str">
        <f t="shared" si="25"/>
        <v>---</v>
      </c>
      <c r="CF27" s="216" t="str">
        <f t="shared" si="26"/>
        <v>/-/ /-/</v>
      </c>
      <c r="CG27" s="216">
        <f t="shared" si="27"/>
        <v>10</v>
      </c>
      <c r="CH27" s="216">
        <f t="shared" si="28"/>
        <v>2039</v>
      </c>
      <c r="CI27" s="216">
        <f t="shared" si="29"/>
        <v>7</v>
      </c>
      <c r="CJ27" s="216">
        <f t="shared" si="30"/>
        <v>2039</v>
      </c>
      <c r="CK27" s="216">
        <f t="shared" si="31"/>
        <v>4</v>
      </c>
      <c r="CL27" s="216">
        <f t="shared" si="32"/>
        <v>2039</v>
      </c>
      <c r="CM27" s="216" t="str">
        <f t="shared" si="33"/>
        <v>- - -</v>
      </c>
      <c r="CN27" s="217" t="str">
        <f t="shared" si="34"/>
        <v>. .</v>
      </c>
      <c r="CO27" s="214"/>
      <c r="CP27" s="218">
        <f t="shared" si="35"/>
        <v>720</v>
      </c>
      <c r="CQ27" s="219">
        <f t="shared" si="36"/>
        <v>-23745</v>
      </c>
      <c r="CR27" s="220">
        <f t="shared" si="37"/>
        <v>-1979</v>
      </c>
      <c r="CS27" s="221" t="str">
        <f t="shared" si="38"/>
        <v>Nam dưới 35</v>
      </c>
      <c r="CT27" s="222"/>
      <c r="CU27" s="220"/>
      <c r="CV27" s="223" t="str">
        <f t="shared" si="39"/>
        <v>Đến 30</v>
      </c>
      <c r="CW27" s="304" t="str">
        <f t="shared" si="40"/>
        <v>--</v>
      </c>
      <c r="CX27" s="304"/>
      <c r="CY27" s="222"/>
      <c r="CZ27" s="305"/>
      <c r="DA27" s="306"/>
      <c r="DB27" s="216"/>
      <c r="DC27" s="216"/>
      <c r="DD27" s="216"/>
      <c r="DE27" s="216"/>
      <c r="DF27" s="216"/>
      <c r="DG27" s="216"/>
      <c r="DH27" s="216" t="s">
        <v>104</v>
      </c>
      <c r="DI27" s="216" t="s">
        <v>10</v>
      </c>
      <c r="DJ27" s="216" t="s">
        <v>95</v>
      </c>
      <c r="DK27" s="216" t="s">
        <v>10</v>
      </c>
      <c r="DL27" s="216">
        <v>2013</v>
      </c>
      <c r="DM27" s="422">
        <f t="shared" si="41"/>
        <v>2</v>
      </c>
      <c r="DN27" s="422" t="str">
        <f t="shared" si="42"/>
        <v>Sửa</v>
      </c>
      <c r="DO27" s="422" t="s">
        <v>9</v>
      </c>
      <c r="DP27" s="422" t="s">
        <v>10</v>
      </c>
      <c r="DQ27" s="422" t="s">
        <v>95</v>
      </c>
      <c r="DR27" s="422" t="s">
        <v>10</v>
      </c>
      <c r="DS27" s="422">
        <v>2013</v>
      </c>
      <c r="DU27" s="422" t="str">
        <f t="shared" si="43"/>
        <v>- - -</v>
      </c>
      <c r="DV27" s="422" t="str">
        <f t="shared" si="44"/>
        <v>---</v>
      </c>
    </row>
    <row r="28" spans="1:126" s="138" customFormat="1" ht="33" customHeight="1" thickBot="1" x14ac:dyDescent="0.3">
      <c r="A28" s="152">
        <v>420</v>
      </c>
      <c r="B28" s="448">
        <v>13</v>
      </c>
      <c r="C28" s="449" t="str">
        <f t="shared" si="0"/>
        <v>Bà</v>
      </c>
      <c r="D28" s="450" t="s">
        <v>163</v>
      </c>
      <c r="E28" s="449" t="s">
        <v>32</v>
      </c>
      <c r="F28" s="451" t="s">
        <v>164</v>
      </c>
      <c r="G28" s="452" t="s">
        <v>10</v>
      </c>
      <c r="H28" s="452" t="s">
        <v>95</v>
      </c>
      <c r="I28" s="452" t="s">
        <v>10</v>
      </c>
      <c r="J28" s="453" t="s">
        <v>165</v>
      </c>
      <c r="K28" s="454"/>
      <c r="L28" s="454"/>
      <c r="M28" s="454" t="e">
        <f>VLOOKUP(L28,'[1]- DLiêu Gốc -'!$B$2:$G$121,2,0)</f>
        <v>#N/A</v>
      </c>
      <c r="N28" s="455" t="s">
        <v>166</v>
      </c>
      <c r="O28" s="456" t="s">
        <v>121</v>
      </c>
      <c r="P28" s="457" t="str">
        <f>VLOOKUP(U28,'[1]- DLiêu Gốc -'!$B$2:$G$56,5,0)</f>
        <v>A0</v>
      </c>
      <c r="Q28" s="457" t="str">
        <f>VLOOKUP(U28,'[1]- DLiêu Gốc -'!$B$2:$G$56,6,0)</f>
        <v>- - -</v>
      </c>
      <c r="R28" s="458" t="s">
        <v>41</v>
      </c>
      <c r="S28" s="459" t="str">
        <f t="shared" si="1"/>
        <v>Chuyên viên (cao đẳng)</v>
      </c>
      <c r="T28" s="460" t="str">
        <f t="shared" si="2"/>
        <v>01a.003</v>
      </c>
      <c r="U28" s="461" t="s">
        <v>167</v>
      </c>
      <c r="V28" s="460" t="str">
        <f>VLOOKUP(U28,'[1]- DLiêu Gốc -'!$B$1:$G$121,2,0)</f>
        <v>01a.003</v>
      </c>
      <c r="W28" s="462" t="str">
        <f t="shared" si="3"/>
        <v>Lương</v>
      </c>
      <c r="X28" s="463">
        <v>4</v>
      </c>
      <c r="Y28" s="464" t="str">
        <f t="shared" si="4"/>
        <v>/</v>
      </c>
      <c r="Z28" s="465">
        <f t="shared" si="5"/>
        <v>10</v>
      </c>
      <c r="AA28" s="466">
        <f t="shared" si="6"/>
        <v>3.0300000000000002</v>
      </c>
      <c r="AB28" s="467">
        <f t="shared" si="7"/>
        <v>5</v>
      </c>
      <c r="AC28" s="454" t="str">
        <f t="shared" si="8"/>
        <v>/</v>
      </c>
      <c r="AD28" s="465">
        <f t="shared" si="9"/>
        <v>10</v>
      </c>
      <c r="AE28" s="468">
        <f t="shared" si="10"/>
        <v>3.3400000000000003</v>
      </c>
      <c r="AF28" s="469" t="s">
        <v>9</v>
      </c>
      <c r="AG28" s="470" t="s">
        <v>10</v>
      </c>
      <c r="AH28" s="471" t="s">
        <v>95</v>
      </c>
      <c r="AI28" s="472"/>
      <c r="AJ28" s="473">
        <v>2016</v>
      </c>
      <c r="AK28" s="474"/>
      <c r="AL28" s="475">
        <v>5</v>
      </c>
      <c r="AM28" s="476">
        <f t="shared" si="11"/>
        <v>3</v>
      </c>
      <c r="AN28" s="476">
        <f t="shared" si="12"/>
        <v>-24197</v>
      </c>
      <c r="AO28" s="477"/>
      <c r="AP28" s="478"/>
      <c r="AQ28" s="479">
        <f>VLOOKUP(U28,'[1]- DLiêu Gốc -'!$B$1:$E$56,3,0)</f>
        <v>2.1</v>
      </c>
      <c r="AR28" s="480">
        <f>VLOOKUP(U28,'[1]- DLiêu Gốc -'!$B$1:$E$56,4,0)</f>
        <v>0.31</v>
      </c>
      <c r="AS28" s="481"/>
      <c r="AT28" s="482" t="str">
        <f t="shared" si="13"/>
        <v>o-o-o</v>
      </c>
      <c r="AU28" s="483"/>
      <c r="AV28" s="483"/>
      <c r="AW28" s="480">
        <f t="shared" si="14"/>
        <v>0</v>
      </c>
      <c r="AX28" s="484"/>
      <c r="AY28" s="485"/>
      <c r="AZ28" s="486"/>
      <c r="BA28" s="486"/>
      <c r="BB28" s="486"/>
      <c r="BC28" s="486"/>
      <c r="BD28" s="486"/>
      <c r="BE28" s="486"/>
      <c r="BF28" s="487" t="str">
        <f t="shared" si="15"/>
        <v>- - -</v>
      </c>
      <c r="BG28" s="488" t="str">
        <f t="shared" si="16"/>
        <v>- - -</v>
      </c>
      <c r="BH28" s="489" t="str">
        <f t="shared" si="17"/>
        <v>NLĐ</v>
      </c>
      <c r="BI28" s="352"/>
      <c r="BJ28" s="351"/>
      <c r="BK28" s="347" t="s">
        <v>43</v>
      </c>
      <c r="BL28" s="353" t="str">
        <f t="shared" si="18"/>
        <v>A</v>
      </c>
      <c r="BM28" s="347" t="str">
        <f t="shared" si="19"/>
        <v>=&gt; s</v>
      </c>
      <c r="BN28" s="354">
        <f t="shared" si="20"/>
        <v>24221</v>
      </c>
      <c r="BO28" s="355" t="str">
        <f t="shared" si="21"/>
        <v>---</v>
      </c>
      <c r="BP28" s="348"/>
      <c r="BQ28" s="356"/>
      <c r="BR28" s="356"/>
      <c r="BS28" s="356"/>
      <c r="BT28" s="348" t="str">
        <f t="shared" si="22"/>
        <v>- - -</v>
      </c>
      <c r="BU28" s="355" t="str">
        <f t="shared" si="23"/>
        <v>- - -</v>
      </c>
      <c r="BV28" s="347"/>
      <c r="BW28" s="347"/>
      <c r="BX28" s="357"/>
      <c r="BY28" s="357"/>
      <c r="BZ28" s="357" t="str">
        <f t="shared" si="24"/>
        <v>- - -</v>
      </c>
      <c r="CA28" s="357"/>
      <c r="CB28" s="357"/>
      <c r="CC28" s="357"/>
      <c r="CD28" s="357"/>
      <c r="CE28" s="357" t="str">
        <f t="shared" si="25"/>
        <v>---</v>
      </c>
      <c r="CF28" s="357" t="str">
        <f t="shared" si="26"/>
        <v>/-/ /-/</v>
      </c>
      <c r="CG28" s="357">
        <f t="shared" si="27"/>
        <v>6</v>
      </c>
      <c r="CH28" s="357">
        <f t="shared" si="28"/>
        <v>2033</v>
      </c>
      <c r="CI28" s="357">
        <f t="shared" si="29"/>
        <v>3</v>
      </c>
      <c r="CJ28" s="357">
        <f t="shared" si="30"/>
        <v>2033</v>
      </c>
      <c r="CK28" s="357">
        <f t="shared" si="31"/>
        <v>12</v>
      </c>
      <c r="CL28" s="357">
        <f t="shared" si="32"/>
        <v>2032</v>
      </c>
      <c r="CM28" s="357" t="str">
        <f t="shared" si="33"/>
        <v>- - -</v>
      </c>
      <c r="CN28" s="358" t="str">
        <f t="shared" si="34"/>
        <v>. .</v>
      </c>
      <c r="CO28" s="348"/>
      <c r="CP28" s="359">
        <f t="shared" si="35"/>
        <v>660</v>
      </c>
      <c r="CQ28" s="360">
        <f t="shared" si="36"/>
        <v>-23729</v>
      </c>
      <c r="CR28" s="349">
        <f t="shared" si="37"/>
        <v>-1978</v>
      </c>
      <c r="CS28" s="361" t="str">
        <f t="shared" si="38"/>
        <v>Nữ dưới 30</v>
      </c>
      <c r="CT28" s="352"/>
      <c r="CU28" s="349"/>
      <c r="CV28" s="362" t="str">
        <f t="shared" si="39"/>
        <v>Đến 30</v>
      </c>
      <c r="CW28" s="431" t="str">
        <f t="shared" si="40"/>
        <v>--</v>
      </c>
      <c r="CX28" s="431"/>
      <c r="CY28" s="352"/>
      <c r="CZ28" s="432"/>
      <c r="DA28" s="350"/>
      <c r="DB28" s="357"/>
      <c r="DC28" s="357"/>
      <c r="DD28" s="357"/>
      <c r="DE28" s="357"/>
      <c r="DF28" s="357"/>
      <c r="DG28" s="357" t="s">
        <v>166</v>
      </c>
      <c r="DH28" s="357">
        <v>15</v>
      </c>
      <c r="DI28" s="357" t="s">
        <v>10</v>
      </c>
      <c r="DJ28" s="357" t="s">
        <v>95</v>
      </c>
      <c r="DK28" s="357" t="s">
        <v>10</v>
      </c>
      <c r="DL28" s="357">
        <v>2013</v>
      </c>
      <c r="DM28" s="138">
        <f t="shared" si="41"/>
        <v>14</v>
      </c>
      <c r="DN28" s="138" t="str">
        <f t="shared" si="42"/>
        <v>Sửa</v>
      </c>
      <c r="DO28" s="138" t="s">
        <v>9</v>
      </c>
      <c r="DP28" s="138" t="s">
        <v>10</v>
      </c>
      <c r="DQ28" s="138" t="s">
        <v>95</v>
      </c>
      <c r="DR28" s="138" t="s">
        <v>10</v>
      </c>
      <c r="DS28" s="138">
        <v>2013</v>
      </c>
      <c r="DU28" s="138" t="str">
        <f t="shared" si="43"/>
        <v>- - -</v>
      </c>
      <c r="DV28" s="138" t="str">
        <f t="shared" si="44"/>
        <v>---</v>
      </c>
    </row>
    <row r="29" spans="1:126" s="187" customFormat="1" ht="21" customHeight="1" x14ac:dyDescent="0.3">
      <c r="A29" s="181"/>
      <c r="B29" s="182" t="s">
        <v>47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4"/>
      <c r="Q29" s="184"/>
      <c r="R29" s="184"/>
      <c r="S29" s="185"/>
      <c r="T29" s="186"/>
      <c r="U29" s="185"/>
      <c r="V29" s="490"/>
      <c r="W29" s="490"/>
      <c r="X29" s="491" t="s">
        <v>48</v>
      </c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</row>
    <row r="30" spans="1:126" s="195" customFormat="1" ht="15.75" x14ac:dyDescent="0.25">
      <c r="A30" s="188"/>
      <c r="B30" s="197" t="s">
        <v>51</v>
      </c>
      <c r="C30" s="189"/>
      <c r="D30" s="187"/>
      <c r="E30" s="190"/>
      <c r="F30" s="189"/>
      <c r="G30" s="191"/>
      <c r="H30" s="187"/>
      <c r="I30" s="192"/>
      <c r="J30" s="192"/>
      <c r="K30" s="192"/>
      <c r="L30" s="192"/>
      <c r="M30" s="192"/>
      <c r="N30" s="193"/>
      <c r="O30" s="193"/>
      <c r="P30" s="192"/>
      <c r="Q30" s="192"/>
      <c r="R30" s="192"/>
      <c r="S30" s="193"/>
      <c r="T30" s="190"/>
      <c r="U30" s="193"/>
      <c r="V30" s="194"/>
      <c r="W30" s="194"/>
      <c r="X30" s="363" t="s">
        <v>50</v>
      </c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</row>
    <row r="31" spans="1:126" s="202" customFormat="1" ht="15.75" x14ac:dyDescent="0.25">
      <c r="A31" s="196">
        <v>690</v>
      </c>
      <c r="B31" s="197" t="s">
        <v>53</v>
      </c>
      <c r="C31" s="189"/>
      <c r="D31" s="187"/>
      <c r="E31" s="190"/>
      <c r="F31" s="189"/>
      <c r="G31" s="191"/>
      <c r="H31" s="187"/>
      <c r="I31" s="192"/>
      <c r="J31" s="192"/>
      <c r="K31" s="192"/>
      <c r="L31" s="192"/>
      <c r="M31" s="192"/>
      <c r="N31" s="193"/>
      <c r="O31" s="193"/>
      <c r="P31" s="192"/>
      <c r="Q31" s="192"/>
      <c r="R31" s="192"/>
      <c r="S31" s="193"/>
      <c r="T31" s="190"/>
      <c r="U31" s="193"/>
      <c r="V31" s="194"/>
      <c r="W31" s="194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9"/>
      <c r="AL31" s="200"/>
      <c r="AM31" s="200"/>
      <c r="AN31" s="200"/>
      <c r="AO31" s="200"/>
      <c r="AP31" s="200"/>
      <c r="AQ31" s="200"/>
      <c r="AR31" s="200"/>
      <c r="AS31" s="200"/>
      <c r="AT31" s="200"/>
      <c r="AU31" s="201"/>
      <c r="AV31" s="201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317"/>
      <c r="BJ31" s="225"/>
      <c r="BK31" s="226"/>
      <c r="BL31" s="227"/>
      <c r="BM31" s="226"/>
      <c r="BN31" s="320"/>
      <c r="BO31" s="321"/>
      <c r="BP31" s="322"/>
      <c r="BQ31" s="323"/>
      <c r="BR31" s="323"/>
      <c r="BS31" s="323"/>
      <c r="BT31" s="322"/>
      <c r="BU31" s="321"/>
      <c r="BV31" s="226"/>
      <c r="BW31" s="226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5"/>
      <c r="CO31" s="330"/>
      <c r="CP31" s="331"/>
      <c r="CQ31" s="332"/>
      <c r="CR31" s="333"/>
      <c r="CS31" s="334"/>
      <c r="CT31" s="317"/>
      <c r="CU31" s="333"/>
      <c r="CV31" s="335"/>
      <c r="CW31" s="336"/>
      <c r="CX31" s="336"/>
      <c r="CY31" s="317"/>
      <c r="CZ31" s="339"/>
      <c r="DA31" s="340"/>
      <c r="DB31" s="326"/>
      <c r="DC31" s="326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41"/>
    </row>
    <row r="32" spans="1:126" s="202" customFormat="1" ht="15.75" x14ac:dyDescent="0.25">
      <c r="A32" s="196">
        <v>721</v>
      </c>
      <c r="B32" s="197"/>
      <c r="C32" s="189"/>
      <c r="D32" s="187"/>
      <c r="E32" s="190"/>
      <c r="F32" s="189"/>
      <c r="G32" s="191"/>
      <c r="H32" s="187"/>
      <c r="I32" s="203"/>
      <c r="J32" s="203"/>
      <c r="K32" s="203"/>
      <c r="L32" s="203"/>
      <c r="M32" s="203"/>
      <c r="N32" s="204"/>
      <c r="O32" s="204"/>
      <c r="P32" s="203"/>
      <c r="Q32" s="203"/>
      <c r="R32" s="203"/>
      <c r="S32" s="204"/>
      <c r="T32" s="205"/>
      <c r="U32" s="204"/>
      <c r="V32" s="194"/>
      <c r="W32" s="194"/>
      <c r="X32" s="364" t="s">
        <v>52</v>
      </c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17"/>
      <c r="BJ32" s="225"/>
      <c r="BK32" s="226"/>
      <c r="BL32" s="227"/>
      <c r="BM32" s="226"/>
      <c r="BN32" s="320"/>
      <c r="BO32" s="321"/>
      <c r="BP32" s="322"/>
      <c r="BQ32" s="323"/>
      <c r="BR32" s="323"/>
      <c r="BS32" s="323"/>
      <c r="BT32" s="322"/>
      <c r="BU32" s="321"/>
      <c r="BV32" s="226"/>
      <c r="BW32" s="226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5"/>
      <c r="CO32" s="330"/>
      <c r="CP32" s="331"/>
      <c r="CQ32" s="332"/>
      <c r="CR32" s="333"/>
      <c r="CS32" s="334"/>
      <c r="CT32" s="317"/>
      <c r="CU32" s="333"/>
      <c r="CV32" s="335"/>
      <c r="CW32" s="336"/>
      <c r="CX32" s="336"/>
      <c r="CY32" s="317"/>
      <c r="CZ32" s="339"/>
      <c r="DA32" s="340"/>
      <c r="DB32" s="326"/>
      <c r="DC32" s="326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</row>
    <row r="33" spans="1:123" s="202" customFormat="1" ht="15.75" x14ac:dyDescent="0.25">
      <c r="A33" s="196">
        <v>746</v>
      </c>
      <c r="C33" s="189"/>
      <c r="D33" s="187"/>
      <c r="E33" s="190"/>
      <c r="F33" s="189"/>
      <c r="G33" s="191"/>
      <c r="H33" s="187"/>
      <c r="I33" s="203"/>
      <c r="J33" s="203"/>
      <c r="K33" s="203"/>
      <c r="L33" s="203"/>
      <c r="M33" s="203"/>
      <c r="N33" s="204"/>
      <c r="O33" s="204"/>
      <c r="P33" s="203"/>
      <c r="Q33" s="203"/>
      <c r="R33" s="203"/>
      <c r="S33" s="204"/>
      <c r="T33" s="205"/>
      <c r="U33" s="204"/>
      <c r="V33" s="194"/>
      <c r="W33" s="194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317"/>
      <c r="BJ33" s="225"/>
      <c r="BK33" s="226"/>
      <c r="BL33" s="227"/>
      <c r="BM33" s="226"/>
      <c r="BN33" s="320"/>
      <c r="BO33" s="321"/>
      <c r="BP33" s="322"/>
      <c r="BQ33" s="323"/>
      <c r="BR33" s="323"/>
      <c r="BS33" s="323"/>
      <c r="BT33" s="322"/>
      <c r="BU33" s="321"/>
      <c r="BV33" s="226"/>
      <c r="BW33" s="226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5"/>
      <c r="CO33" s="330"/>
      <c r="CP33" s="331"/>
      <c r="CQ33" s="332"/>
      <c r="CR33" s="333"/>
      <c r="CS33" s="334"/>
      <c r="CT33" s="317"/>
      <c r="CU33" s="333"/>
      <c r="CV33" s="335"/>
      <c r="CW33" s="336"/>
      <c r="CX33" s="336"/>
      <c r="CY33" s="317"/>
      <c r="CZ33" s="339"/>
      <c r="DA33" s="340"/>
      <c r="DB33" s="326"/>
      <c r="DC33" s="326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</row>
    <row r="34" spans="1:123" s="202" customFormat="1" ht="16.5" customHeight="1" x14ac:dyDescent="0.3">
      <c r="A34" s="196">
        <v>749</v>
      </c>
      <c r="B34" s="207"/>
      <c r="C34" s="189"/>
      <c r="D34" s="208"/>
      <c r="E34" s="190"/>
      <c r="F34" s="189"/>
      <c r="G34" s="191"/>
      <c r="H34" s="187"/>
      <c r="I34" s="203"/>
      <c r="J34" s="203"/>
      <c r="K34" s="203"/>
      <c r="L34" s="203"/>
      <c r="M34" s="203"/>
      <c r="N34" s="204"/>
      <c r="O34" s="204"/>
      <c r="P34" s="203"/>
      <c r="Q34" s="203"/>
      <c r="R34" s="203"/>
      <c r="S34" s="204"/>
      <c r="T34" s="205"/>
      <c r="U34" s="204"/>
      <c r="V34" s="194"/>
      <c r="W34" s="194"/>
      <c r="X34" s="365" t="s">
        <v>124</v>
      </c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42"/>
      <c r="BJ34" s="225"/>
      <c r="BK34" s="226"/>
      <c r="BL34" s="227"/>
      <c r="BM34" s="226"/>
      <c r="BN34" s="320"/>
      <c r="BO34" s="321"/>
      <c r="BP34" s="322"/>
      <c r="BQ34" s="323"/>
      <c r="BR34" s="323"/>
      <c r="BS34" s="323"/>
      <c r="BT34" s="322"/>
      <c r="BU34" s="321"/>
      <c r="BV34" s="226"/>
      <c r="BW34" s="226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5"/>
      <c r="CO34" s="330"/>
      <c r="CP34" s="331"/>
      <c r="CQ34" s="332"/>
      <c r="CR34" s="333"/>
      <c r="CS34" s="334"/>
      <c r="CT34" s="317"/>
      <c r="CU34" s="333"/>
      <c r="CV34" s="335"/>
      <c r="CW34" s="336"/>
      <c r="CX34" s="336"/>
      <c r="CY34" s="317"/>
      <c r="CZ34" s="339"/>
      <c r="DA34" s="340"/>
      <c r="DB34" s="326"/>
      <c r="DC34" s="326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</row>
  </sheetData>
  <mergeCells count="31">
    <mergeCell ref="A4:BH5"/>
    <mergeCell ref="B1:N1"/>
    <mergeCell ref="S1:AE1"/>
    <mergeCell ref="B2:N2"/>
    <mergeCell ref="S2:AE2"/>
    <mergeCell ref="S3:AE3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K13:AK14"/>
    <mergeCell ref="AM13:AM14"/>
    <mergeCell ref="AX13:AX14"/>
    <mergeCell ref="BH13:BH14"/>
    <mergeCell ref="X14:Z14"/>
    <mergeCell ref="AB14:AD14"/>
    <mergeCell ref="AF14:AJ14"/>
    <mergeCell ref="X29:BH29"/>
    <mergeCell ref="X30:BH30"/>
    <mergeCell ref="X32:BH32"/>
    <mergeCell ref="X34:BH34"/>
    <mergeCell ref="N15:O15"/>
    <mergeCell ref="S15:T15"/>
    <mergeCell ref="X15:Z15"/>
    <mergeCell ref="AB15:AD15"/>
    <mergeCell ref="AF15:AJ15"/>
  </mergeCells>
  <conditionalFormatting sqref="BI12:BI14">
    <cfRule type="expression" dxfId="336" priority="3771" stopIfTrue="1">
      <formula>IF(BJ12="Trên 45",1,0)</formula>
    </cfRule>
    <cfRule type="expression" dxfId="335" priority="3772" stopIfTrue="1">
      <formula>IF(BJ12="30 - 45",1,0)</formula>
    </cfRule>
    <cfRule type="expression" dxfId="334" priority="3773" stopIfTrue="1">
      <formula>IF(BJ12="Dưới 30",1,0)</formula>
    </cfRule>
  </conditionalFormatting>
  <conditionalFormatting sqref="CU12:CU14">
    <cfRule type="expression" dxfId="333" priority="3774" stopIfTrue="1">
      <formula>IF(CV12&gt;0,1,0)</formula>
    </cfRule>
    <cfRule type="expression" dxfId="332" priority="3775" stopIfTrue="1">
      <formula>IF(CV12=0,1,0)</formula>
    </cfRule>
  </conditionalFormatting>
  <conditionalFormatting sqref="CT12:CT14">
    <cfRule type="expression" dxfId="331" priority="3765" stopIfTrue="1">
      <formula>12*(#REF!-CM12)+(#REF!-CK12)</formula>
    </cfRule>
  </conditionalFormatting>
  <conditionalFormatting sqref="CY12:CY14">
    <cfRule type="expression" dxfId="330" priority="3766" stopIfTrue="1">
      <formula>12*(#REF!-CQ12)+(#REF!-CO12)</formula>
    </cfRule>
  </conditionalFormatting>
  <conditionalFormatting sqref="BJ10">
    <cfRule type="expression" dxfId="329" priority="3551" stopIfTrue="1">
      <formula>IF(BK10="Trên 45",1,0)</formula>
    </cfRule>
    <cfRule type="expression" dxfId="328" priority="3552" stopIfTrue="1">
      <formula>IF(BK10="30 - 45",1,0)</formula>
    </cfRule>
    <cfRule type="expression" dxfId="327" priority="3553" stopIfTrue="1">
      <formula>IF(BK10="Dưới 30",1,0)</formula>
    </cfRule>
  </conditionalFormatting>
  <conditionalFormatting sqref="CV10">
    <cfRule type="expression" dxfId="326" priority="3554" stopIfTrue="1">
      <formula>IF(CW10&gt;0,1,0)</formula>
    </cfRule>
    <cfRule type="expression" dxfId="325" priority="3555" stopIfTrue="1">
      <formula>IF(CW10=0,1,0)</formula>
    </cfRule>
  </conditionalFormatting>
  <conditionalFormatting sqref="BI10">
    <cfRule type="cellIs" dxfId="324" priority="3556" stopIfTrue="1" operator="between">
      <formula>"720"</formula>
      <formula>"720"</formula>
    </cfRule>
    <cfRule type="cellIs" dxfId="323" priority="3557" stopIfTrue="1" operator="between">
      <formula>"660"</formula>
      <formula>"660"</formula>
    </cfRule>
  </conditionalFormatting>
  <conditionalFormatting sqref="CY10">
    <cfRule type="expression" dxfId="322" priority="3563" stopIfTrue="1">
      <formula>IF(OR(CY10=0.36),1,0)</formula>
    </cfRule>
    <cfRule type="expression" dxfId="321" priority="3564" stopIfTrue="1">
      <formula>IF(CY10=0.34,1,0)</formula>
    </cfRule>
    <cfRule type="expression" dxfId="320" priority="3565" stopIfTrue="1">
      <formula>IF(CY10&lt;0.33,1,0)</formula>
    </cfRule>
  </conditionalFormatting>
  <conditionalFormatting sqref="DB10">
    <cfRule type="cellIs" dxfId="319" priority="3566" stopIfTrue="1" operator="between">
      <formula>"Hưu"</formula>
      <formula>"Hưu"</formula>
    </cfRule>
    <cfRule type="cellIs" dxfId="318" priority="3567" stopIfTrue="1" operator="between">
      <formula>"---"</formula>
      <formula>"---"</formula>
    </cfRule>
    <cfRule type="cellIs" dxfId="317" priority="3568" stopIfTrue="1" operator="between">
      <formula>"Quá"</formula>
      <formula>"Quá"</formula>
    </cfRule>
  </conditionalFormatting>
  <conditionalFormatting sqref="CX10">
    <cfRule type="expression" dxfId="316" priority="3569" stopIfTrue="1">
      <formula>IF(OR(CX10=5.57,CX10=6.2),1,0)</formula>
    </cfRule>
    <cfRule type="expression" dxfId="315" priority="3570" stopIfTrue="1">
      <formula>IF(OR(CX10=4,CX10=4.4),1,0)</formula>
    </cfRule>
    <cfRule type="expression" dxfId="314" priority="3571" stopIfTrue="1">
      <formula>IF(AND(CX10&gt;0.9,CX10&lt;2.34),1,0)</formula>
    </cfRule>
  </conditionalFormatting>
  <conditionalFormatting sqref="CT10">
    <cfRule type="cellIs" dxfId="313" priority="3572" stopIfTrue="1" operator="between">
      <formula>1</formula>
      <formula>1</formula>
    </cfRule>
    <cfRule type="cellIs" dxfId="312" priority="3573" stopIfTrue="1" operator="between">
      <formula>2</formula>
      <formula>2</formula>
    </cfRule>
    <cfRule type="cellIs" dxfId="311" priority="3574" stopIfTrue="1" operator="between">
      <formula>3</formula>
      <formula>3</formula>
    </cfRule>
  </conditionalFormatting>
  <conditionalFormatting sqref="CW10">
    <cfRule type="expression" dxfId="310" priority="3575" stopIfTrue="1">
      <formula>IF(CW10&gt;0,1,0)</formula>
    </cfRule>
    <cfRule type="expression" dxfId="309" priority="3576" stopIfTrue="1">
      <formula>IF(CW10&lt;1,1,0)</formula>
    </cfRule>
  </conditionalFormatting>
  <conditionalFormatting sqref="CS10">
    <cfRule type="cellIs" dxfId="308" priority="3577" stopIfTrue="1" operator="between">
      <formula>"Đến"</formula>
      <formula>"Đến"</formula>
    </cfRule>
    <cfRule type="cellIs" dxfId="307" priority="3578" stopIfTrue="1" operator="between">
      <formula>"Quá"</formula>
      <formula>"Quá"</formula>
    </cfRule>
    <cfRule type="expression" dxfId="306" priority="3579" stopIfTrue="1">
      <formula>IF(OR(CS10="Lương Sớm Hưu",CS10="Nâng Ngạch Hưu"),1,0)</formula>
    </cfRule>
  </conditionalFormatting>
  <conditionalFormatting sqref="DC10:DD10">
    <cfRule type="expression" dxfId="305" priority="3580" stopIfTrue="1">
      <formula>IF(DC10&gt;0,1,0)</formula>
    </cfRule>
  </conditionalFormatting>
  <conditionalFormatting sqref="CR10">
    <cfRule type="cellIs" dxfId="304" priority="3581" stopIfTrue="1" operator="between">
      <formula>"B"</formula>
      <formula>"B"</formula>
    </cfRule>
    <cfRule type="cellIs" dxfId="303" priority="3582" stopIfTrue="1" operator="between">
      <formula>"C"</formula>
      <formula>"C"</formula>
    </cfRule>
    <cfRule type="cellIs" dxfId="302" priority="3583" stopIfTrue="1" operator="between">
      <formula>"D"</formula>
      <formula>"D"</formula>
    </cfRule>
  </conditionalFormatting>
  <conditionalFormatting sqref="CQ10">
    <cfRule type="cellIs" dxfId="301" priority="3584" stopIfTrue="1" operator="between">
      <formula>"công chức, viên chức"</formula>
      <formula>"công chức, viên chức"</formula>
    </cfRule>
    <cfRule type="cellIs" dxfId="300" priority="3585" stopIfTrue="1" operator="between">
      <formula>"lao động hợp đồng"</formula>
      <formula>"lao động hợp đồng"</formula>
    </cfRule>
  </conditionalFormatting>
  <conditionalFormatting sqref="DA10">
    <cfRule type="expression" dxfId="299" priority="3586" stopIfTrue="1">
      <formula>IF(DA10="Nâg Ngạch sau TB",1,0)</formula>
    </cfRule>
    <cfRule type="expression" dxfId="298" priority="3587" stopIfTrue="1">
      <formula>IF(DA10="Nâg Lươg Sớm sau TB",1,0)</formula>
    </cfRule>
    <cfRule type="expression" dxfId="297" priority="3588" stopIfTrue="1">
      <formula>IF(DA10="Nâg PC TNVK cùng QĐ",1,0)</formula>
    </cfRule>
  </conditionalFormatting>
  <conditionalFormatting sqref="CP10">
    <cfRule type="expression" dxfId="296" priority="3589" stopIfTrue="1">
      <formula>IF(CP10=0,1,0)</formula>
    </cfRule>
    <cfRule type="expression" dxfId="295" priority="3590" stopIfTrue="1">
      <formula>IF(CP10&gt;0,1,0)</formula>
    </cfRule>
  </conditionalFormatting>
  <conditionalFormatting sqref="BK10">
    <cfRule type="expression" dxfId="294" priority="3558" stopIfTrue="1">
      <formula>IF(BK10="Trên 45",1,0)</formula>
    </cfRule>
    <cfRule type="expression" dxfId="293" priority="3559" stopIfTrue="1">
      <formula>IF(BK10="30 - 45",1,0)</formula>
    </cfRule>
    <cfRule type="expression" dxfId="292" priority="3560" stopIfTrue="1">
      <formula>IF(BK10="Dưới 30",1,0)</formula>
    </cfRule>
  </conditionalFormatting>
  <conditionalFormatting sqref="BM10">
    <cfRule type="cellIs" dxfId="291" priority="3561" stopIfTrue="1" operator="between">
      <formula>"Có hạn"</formula>
      <formula>"Có hạn"</formula>
    </cfRule>
    <cfRule type="cellIs" dxfId="290" priority="3562" stopIfTrue="1" operator="between">
      <formula>"Ko hạn"</formula>
      <formula>"Ko hạn"</formula>
    </cfRule>
  </conditionalFormatting>
  <conditionalFormatting sqref="CX12:CX14">
    <cfRule type="expression" dxfId="289" priority="3523" stopIfTrue="1">
      <formula>IF(OR(CX12=0.36),1,0)</formula>
    </cfRule>
    <cfRule type="expression" dxfId="288" priority="3524" stopIfTrue="1">
      <formula>IF(CX12=0.34,1,0)</formula>
    </cfRule>
    <cfRule type="expression" dxfId="287" priority="3525" stopIfTrue="1">
      <formula>IF(CX12&lt;0.33,1,0)</formula>
    </cfRule>
  </conditionalFormatting>
  <conditionalFormatting sqref="DA12:DA14">
    <cfRule type="cellIs" dxfId="286" priority="3526" stopIfTrue="1" operator="between">
      <formula>"Hưu"</formula>
      <formula>"Hưu"</formula>
    </cfRule>
    <cfRule type="cellIs" dxfId="285" priority="3527" stopIfTrue="1" operator="between">
      <formula>"---"</formula>
      <formula>"---"</formula>
    </cfRule>
    <cfRule type="cellIs" dxfId="284" priority="3528" stopIfTrue="1" operator="between">
      <formula>"Quá"</formula>
      <formula>"Quá"</formula>
    </cfRule>
  </conditionalFormatting>
  <conditionalFormatting sqref="CW12:CW14">
    <cfRule type="expression" dxfId="283" priority="3529" stopIfTrue="1">
      <formula>IF(OR(CW12=5.57,CW12=6.2),1,0)</formula>
    </cfRule>
    <cfRule type="expression" dxfId="282" priority="3530" stopIfTrue="1">
      <formula>IF(OR(CW12=4,CW12=4.4),1,0)</formula>
    </cfRule>
    <cfRule type="expression" dxfId="281" priority="3531" stopIfTrue="1">
      <formula>IF(AND(CW12&gt;0.9,CW12&lt;2.34),1,0)</formula>
    </cfRule>
  </conditionalFormatting>
  <conditionalFormatting sqref="CS12:CS14">
    <cfRule type="cellIs" dxfId="280" priority="3532" stopIfTrue="1" operator="between">
      <formula>1</formula>
      <formula>1</formula>
    </cfRule>
    <cfRule type="cellIs" dxfId="279" priority="3533" stopIfTrue="1" operator="between">
      <formula>2</formula>
      <formula>2</formula>
    </cfRule>
    <cfRule type="cellIs" dxfId="278" priority="3534" stopIfTrue="1" operator="between">
      <formula>3</formula>
      <formula>3</formula>
    </cfRule>
  </conditionalFormatting>
  <conditionalFormatting sqref="CV12:CV14">
    <cfRule type="expression" dxfId="277" priority="3535" stopIfTrue="1">
      <formula>IF(CV12&gt;0,1,0)</formula>
    </cfRule>
    <cfRule type="expression" dxfId="276" priority="3536" stopIfTrue="1">
      <formula>IF(CV12&lt;1,1,0)</formula>
    </cfRule>
  </conditionalFormatting>
  <conditionalFormatting sqref="CR12:CR14">
    <cfRule type="cellIs" dxfId="275" priority="3537" stopIfTrue="1" operator="between">
      <formula>"Đến"</formula>
      <formula>"Đến"</formula>
    </cfRule>
    <cfRule type="cellIs" dxfId="274" priority="3538" stopIfTrue="1" operator="between">
      <formula>"Quá"</formula>
      <formula>"Quá"</formula>
    </cfRule>
    <cfRule type="expression" dxfId="273" priority="3539" stopIfTrue="1">
      <formula>IF(OR(CR12="Lương Sớm Hưu",CR12="Nâng Ngạch Hưu"),1,0)</formula>
    </cfRule>
  </conditionalFormatting>
  <conditionalFormatting sqref="DB12:DC14">
    <cfRule type="expression" dxfId="272" priority="3540" stopIfTrue="1">
      <formula>IF(DB12&gt;0,1,0)</formula>
    </cfRule>
  </conditionalFormatting>
  <conditionalFormatting sqref="CQ12:CQ14">
    <cfRule type="cellIs" dxfId="271" priority="3541" stopIfTrue="1" operator="between">
      <formula>"B"</formula>
      <formula>"B"</formula>
    </cfRule>
    <cfRule type="cellIs" dxfId="270" priority="3542" stopIfTrue="1" operator="between">
      <formula>"C"</formula>
      <formula>"C"</formula>
    </cfRule>
    <cfRule type="cellIs" dxfId="269" priority="3543" stopIfTrue="1" operator="between">
      <formula>"D"</formula>
      <formula>"D"</formula>
    </cfRule>
  </conditionalFormatting>
  <conditionalFormatting sqref="CP12:CP14">
    <cfRule type="cellIs" dxfId="268" priority="3544" stopIfTrue="1" operator="between">
      <formula>"công chức, viên chức"</formula>
      <formula>"công chức, viên chức"</formula>
    </cfRule>
    <cfRule type="cellIs" dxfId="267" priority="3545" stopIfTrue="1" operator="between">
      <formula>"lao động hợp đồng"</formula>
      <formula>"lao động hợp đồng"</formula>
    </cfRule>
  </conditionalFormatting>
  <conditionalFormatting sqref="CZ12:CZ14">
    <cfRule type="expression" dxfId="266" priority="3546" stopIfTrue="1">
      <formula>IF(CZ12="Nâg Ngạch sau TB",1,0)</formula>
    </cfRule>
    <cfRule type="expression" dxfId="265" priority="3547" stopIfTrue="1">
      <formula>IF(CZ12="Nâg Lươg Sớm sau TB",1,0)</formula>
    </cfRule>
    <cfRule type="expression" dxfId="264" priority="3548" stopIfTrue="1">
      <formula>IF(CZ12="Nâg PC TNVK cùng QĐ",1,0)</formula>
    </cfRule>
  </conditionalFormatting>
  <conditionalFormatting sqref="CO12:CO14">
    <cfRule type="expression" dxfId="263" priority="3549" stopIfTrue="1">
      <formula>IF(CO12=0,1,0)</formula>
    </cfRule>
    <cfRule type="expression" dxfId="262" priority="3550" stopIfTrue="1">
      <formula>IF(CO12&gt;0,1,0)</formula>
    </cfRule>
  </conditionalFormatting>
  <conditionalFormatting sqref="BJ12:BJ14">
    <cfRule type="expression" dxfId="261" priority="3518" stopIfTrue="1">
      <formula>IF(BJ12="Trên 45",1,0)</formula>
    </cfRule>
    <cfRule type="expression" dxfId="260" priority="3519" stopIfTrue="1">
      <formula>IF(BJ12="30 - 45",1,0)</formula>
    </cfRule>
    <cfRule type="expression" dxfId="259" priority="3520" stopIfTrue="1">
      <formula>IF(BJ12="Dưới 30",1,0)</formula>
    </cfRule>
  </conditionalFormatting>
  <conditionalFormatting sqref="BL12:BL14">
    <cfRule type="cellIs" dxfId="258" priority="3521" stopIfTrue="1" operator="between">
      <formula>"Có hạn"</formula>
      <formula>"Có hạn"</formula>
    </cfRule>
    <cfRule type="cellIs" dxfId="257" priority="3522" stopIfTrue="1" operator="between">
      <formula>"Ko hạn"</formula>
      <formula>"Ko hạn"</formula>
    </cfRule>
  </conditionalFormatting>
  <conditionalFormatting sqref="CZ10">
    <cfRule type="expression" dxfId="256" priority="3821" stopIfTrue="1">
      <formula>12*(#REF!-CR10)+(#REF!-CP10)</formula>
    </cfRule>
  </conditionalFormatting>
  <conditionalFormatting sqref="CU10">
    <cfRule type="expression" dxfId="255" priority="3822" stopIfTrue="1">
      <formula>12*(#REF!-CN10)+(#REF!-CL10)</formula>
    </cfRule>
  </conditionalFormatting>
  <conditionalFormatting sqref="BI31:BI33">
    <cfRule type="expression" dxfId="254" priority="3474" stopIfTrue="1">
      <formula>IF(BJ31="Trên 45",1,0)</formula>
    </cfRule>
    <cfRule type="expression" dxfId="253" priority="3475" stopIfTrue="1">
      <formula>IF(BJ31="30 - 45",1,0)</formula>
    </cfRule>
    <cfRule type="expression" dxfId="252" priority="3476" stopIfTrue="1">
      <formula>IF(BJ31="Dưới 30",1,0)</formula>
    </cfRule>
  </conditionalFormatting>
  <conditionalFormatting sqref="CU31:CU34">
    <cfRule type="expression" dxfId="251" priority="3477" stopIfTrue="1">
      <formula>IF(CV31&gt;0,1,0)</formula>
    </cfRule>
    <cfRule type="expression" dxfId="250" priority="3478" stopIfTrue="1">
      <formula>IF(CV31=0,1,0)</formula>
    </cfRule>
  </conditionalFormatting>
  <conditionalFormatting sqref="CT31:CT34">
    <cfRule type="expression" dxfId="249" priority="3479" stopIfTrue="1">
      <formula>12*(#REF!-CM31)+(#REF!-CK31)</formula>
    </cfRule>
  </conditionalFormatting>
  <conditionalFormatting sqref="CY31:CY34">
    <cfRule type="expression" dxfId="248" priority="3480" stopIfTrue="1">
      <formula>12*(#REF!-CQ31)+(#REF!-CO31)</formula>
    </cfRule>
  </conditionalFormatting>
  <conditionalFormatting sqref="AV31 CX31:CX34">
    <cfRule type="expression" dxfId="247" priority="3486" stopIfTrue="1">
      <formula>IF(OR(AV31=0.36),1,0)</formula>
    </cfRule>
    <cfRule type="expression" dxfId="246" priority="3487" stopIfTrue="1">
      <formula>IF(AV31=0.34,1,0)</formula>
    </cfRule>
    <cfRule type="expression" dxfId="245" priority="3488" stopIfTrue="1">
      <formula>IF(AV31&lt;0.33,1,0)</formula>
    </cfRule>
  </conditionalFormatting>
  <conditionalFormatting sqref="DA31:DA34">
    <cfRule type="cellIs" dxfId="244" priority="3489" stopIfTrue="1" operator="between">
      <formula>"Hưu"</formula>
      <formula>"Hưu"</formula>
    </cfRule>
    <cfRule type="cellIs" dxfId="243" priority="3490" stopIfTrue="1" operator="between">
      <formula>"---"</formula>
      <formula>"---"</formula>
    </cfRule>
    <cfRule type="cellIs" dxfId="242" priority="3491" stopIfTrue="1" operator="between">
      <formula>"Quá"</formula>
      <formula>"Quá"</formula>
    </cfRule>
  </conditionalFormatting>
  <conditionalFormatting sqref="AU31 CW31:CW34">
    <cfRule type="expression" dxfId="241" priority="3492" stopIfTrue="1">
      <formula>IF(OR(AU31=5.57,AU31=6.2),1,0)</formula>
    </cfRule>
    <cfRule type="expression" dxfId="240" priority="3493" stopIfTrue="1">
      <formula>IF(OR(AU31=4,AU31=4.4),1,0)</formula>
    </cfRule>
    <cfRule type="expression" dxfId="239" priority="3494" stopIfTrue="1">
      <formula>IF(AND(AU31&gt;0.9,AU31&lt;2.34),1,0)</formula>
    </cfRule>
  </conditionalFormatting>
  <conditionalFormatting sqref="CS31:CS34">
    <cfRule type="cellIs" dxfId="238" priority="3495" stopIfTrue="1" operator="between">
      <formula>1</formula>
      <formula>1</formula>
    </cfRule>
    <cfRule type="cellIs" dxfId="237" priority="3496" stopIfTrue="1" operator="between">
      <formula>2</formula>
      <formula>2</formula>
    </cfRule>
    <cfRule type="cellIs" dxfId="236" priority="3497" stopIfTrue="1" operator="between">
      <formula>3</formula>
      <formula>3</formula>
    </cfRule>
  </conditionalFormatting>
  <conditionalFormatting sqref="CV31:CV34">
    <cfRule type="expression" dxfId="235" priority="3498" stopIfTrue="1">
      <formula>IF(CV31&gt;0,1,0)</formula>
    </cfRule>
    <cfRule type="expression" dxfId="234" priority="3499" stopIfTrue="1">
      <formula>IF(CV31&lt;1,1,0)</formula>
    </cfRule>
  </conditionalFormatting>
  <conditionalFormatting sqref="CR31:CR34">
    <cfRule type="cellIs" dxfId="233" priority="3500" stopIfTrue="1" operator="between">
      <formula>"Đến"</formula>
      <formula>"Đến"</formula>
    </cfRule>
    <cfRule type="cellIs" dxfId="232" priority="3501" stopIfTrue="1" operator="between">
      <formula>"Quá"</formula>
      <formula>"Quá"</formula>
    </cfRule>
    <cfRule type="expression" dxfId="231" priority="3502" stopIfTrue="1">
      <formula>IF(OR(CR31="Lương Sớm Hưu",CR31="Nâng Ngạch Hưu"),1,0)</formula>
    </cfRule>
  </conditionalFormatting>
  <conditionalFormatting sqref="DB31:DC34">
    <cfRule type="expression" dxfId="230" priority="3503" stopIfTrue="1">
      <formula>IF(DB31&gt;0,1,0)</formula>
    </cfRule>
  </conditionalFormatting>
  <conditionalFormatting sqref="CQ31:CQ34">
    <cfRule type="cellIs" dxfId="229" priority="3504" stopIfTrue="1" operator="between">
      <formula>"B"</formula>
      <formula>"B"</formula>
    </cfRule>
    <cfRule type="cellIs" dxfId="228" priority="3505" stopIfTrue="1" operator="between">
      <formula>"C"</formula>
      <formula>"C"</formula>
    </cfRule>
    <cfRule type="cellIs" dxfId="227" priority="3506" stopIfTrue="1" operator="between">
      <formula>"D"</formula>
      <formula>"D"</formula>
    </cfRule>
  </conditionalFormatting>
  <conditionalFormatting sqref="CP31:CP34">
    <cfRule type="cellIs" dxfId="226" priority="3507" stopIfTrue="1" operator="between">
      <formula>"công chức, viên chức"</formula>
      <formula>"công chức, viên chức"</formula>
    </cfRule>
    <cfRule type="cellIs" dxfId="225" priority="3508" stopIfTrue="1" operator="between">
      <formula>"lao động hợp đồng"</formula>
      <formula>"lao động hợp đồng"</formula>
    </cfRule>
  </conditionalFormatting>
  <conditionalFormatting sqref="CZ31:CZ34">
    <cfRule type="expression" dxfId="224" priority="3509" stopIfTrue="1">
      <formula>IF(CZ31="Nâg Ngạch sau TB",1,0)</formula>
    </cfRule>
    <cfRule type="expression" dxfId="223" priority="3510" stopIfTrue="1">
      <formula>IF(CZ31="Nâg Lươg Sớm sau TB",1,0)</formula>
    </cfRule>
    <cfRule type="expression" dxfId="222" priority="3511" stopIfTrue="1">
      <formula>IF(CZ31="Nâg PC TNVK cùng QĐ",1,0)</formula>
    </cfRule>
  </conditionalFormatting>
  <conditionalFormatting sqref="CO31:CO34">
    <cfRule type="expression" dxfId="221" priority="3512" stopIfTrue="1">
      <formula>IF(CO31=0,1,0)</formula>
    </cfRule>
    <cfRule type="expression" dxfId="220" priority="3513" stopIfTrue="1">
      <formula>IF(CO31&gt;0,1,0)</formula>
    </cfRule>
  </conditionalFormatting>
  <conditionalFormatting sqref="BJ31:BJ34">
    <cfRule type="expression" dxfId="219" priority="3481" stopIfTrue="1">
      <formula>IF(BJ31="Trên 45",1,0)</formula>
    </cfRule>
    <cfRule type="expression" dxfId="218" priority="3482" stopIfTrue="1">
      <formula>IF(BJ31="30 - 45",1,0)</formula>
    </cfRule>
    <cfRule type="expression" dxfId="217" priority="3483" stopIfTrue="1">
      <formula>IF(BJ31="Dưới 30",1,0)</formula>
    </cfRule>
  </conditionalFormatting>
  <conditionalFormatting sqref="BL31:BL34">
    <cfRule type="cellIs" dxfId="216" priority="3484" stopIfTrue="1" operator="between">
      <formula>"Có hạn"</formula>
      <formula>"Có hạn"</formula>
    </cfRule>
    <cfRule type="cellIs" dxfId="215" priority="3485" stopIfTrue="1" operator="between">
      <formula>"Ko hạn"</formula>
      <formula>"Ko hạn"</formula>
    </cfRule>
  </conditionalFormatting>
  <conditionalFormatting sqref="A32:A34">
    <cfRule type="expression" dxfId="214" priority="3514" stopIfTrue="1">
      <formula>IF(#REF!="Hưu",1,0)</formula>
    </cfRule>
    <cfRule type="expression" dxfId="213" priority="3515" stopIfTrue="1">
      <formula>IF(#REF!="Quá",1,0)</formula>
    </cfRule>
  </conditionalFormatting>
  <conditionalFormatting sqref="A31">
    <cfRule type="expression" dxfId="212" priority="3516" stopIfTrue="1">
      <formula>IF(#REF!="Hưu",1,0)</formula>
    </cfRule>
    <cfRule type="expression" dxfId="211" priority="3517" stopIfTrue="1">
      <formula>IF(#REF!="Quá",1,0)</formula>
    </cfRule>
  </conditionalFormatting>
  <conditionalFormatting sqref="BD15">
    <cfRule type="expression" dxfId="210" priority="3429" stopIfTrue="1">
      <formula>IF(BA15&gt;6,BB15,IF(BA15&lt;7,BB15-1))</formula>
    </cfRule>
  </conditionalFormatting>
  <conditionalFormatting sqref="AT15">
    <cfRule type="expression" dxfId="209" priority="3430" stopIfTrue="1">
      <formula>IF(AU15&gt;0,1,0)</formula>
    </cfRule>
    <cfRule type="expression" dxfId="208" priority="3431" stopIfTrue="1">
      <formula>IF(AU15=0,1,0)</formula>
    </cfRule>
  </conditionalFormatting>
  <conditionalFormatting sqref="BF15">
    <cfRule type="expression" dxfId="207" priority="3432" stopIfTrue="1">
      <formula>IF(BC15&gt;6,BD15,IF(BC15&lt;7,BD15-1))</formula>
    </cfRule>
  </conditionalFormatting>
  <conditionalFormatting sqref="AW15">
    <cfRule type="expression" dxfId="206" priority="3433" stopIfTrue="1">
      <formula>IF(OR(AW15=0.36),1,0)</formula>
    </cfRule>
    <cfRule type="expression" dxfId="205" priority="3434" stopIfTrue="1">
      <formula>IF(AW15=0.34,1,0)</formula>
    </cfRule>
    <cfRule type="expression" dxfId="204" priority="3435" stopIfTrue="1">
      <formula>IF(AW15&lt;0.33,1,0)</formula>
    </cfRule>
  </conditionalFormatting>
  <conditionalFormatting sqref="AZ15">
    <cfRule type="cellIs" dxfId="203" priority="3436" stopIfTrue="1" operator="between">
      <formula>"Hưu"</formula>
      <formula>"Hưu"</formula>
    </cfRule>
    <cfRule type="cellIs" dxfId="202" priority="3437" stopIfTrue="1" operator="between">
      <formula>"---"</formula>
      <formula>"---"</formula>
    </cfRule>
    <cfRule type="cellIs" dxfId="201" priority="3438" stopIfTrue="1" operator="between">
      <formula>"Quá"</formula>
      <formula>"Quá"</formula>
    </cfRule>
  </conditionalFormatting>
  <conditionalFormatting sqref="AV15">
    <cfRule type="expression" dxfId="200" priority="3439" stopIfTrue="1">
      <formula>IF(OR(AV15=5.57,AV15=6.2),1,0)</formula>
    </cfRule>
    <cfRule type="expression" dxfId="199" priority="3440" stopIfTrue="1">
      <formula>IF(OR(AV15=4,AV15=4.4),1,0)</formula>
    </cfRule>
    <cfRule type="expression" dxfId="198" priority="3441" stopIfTrue="1">
      <formula>IF(AND(AV15&gt;0.9,AV15&lt;2.34),1,0)</formula>
    </cfRule>
  </conditionalFormatting>
  <conditionalFormatting sqref="AR15">
    <cfRule type="cellIs" dxfId="197" priority="3442" stopIfTrue="1" operator="between">
      <formula>1</formula>
      <formula>1</formula>
    </cfRule>
    <cfRule type="cellIs" dxfId="196" priority="3443" stopIfTrue="1" operator="between">
      <formula>2</formula>
      <formula>2</formula>
    </cfRule>
    <cfRule type="cellIs" dxfId="195" priority="3444" stopIfTrue="1" operator="between">
      <formula>3</formula>
      <formula>3</formula>
    </cfRule>
  </conditionalFormatting>
  <conditionalFormatting sqref="AU15">
    <cfRule type="expression" dxfId="194" priority="3445" stopIfTrue="1">
      <formula>IF(AU15&gt;0,1,0)</formula>
    </cfRule>
    <cfRule type="expression" dxfId="193" priority="3446" stopIfTrue="1">
      <formula>IF(AU15&lt;1,1,0)</formula>
    </cfRule>
  </conditionalFormatting>
  <conditionalFormatting sqref="AQ15">
    <cfRule type="cellIs" dxfId="192" priority="3447" stopIfTrue="1" operator="between">
      <formula>"Đến"</formula>
      <formula>"Đến"</formula>
    </cfRule>
    <cfRule type="cellIs" dxfId="191" priority="3448" stopIfTrue="1" operator="between">
      <formula>"Quá"</formula>
      <formula>"Quá"</formula>
    </cfRule>
    <cfRule type="expression" dxfId="190" priority="3449" stopIfTrue="1">
      <formula>IF(OR(AQ15="Lương Sớm Hưu",AQ15="Nâng Ngạch Hưu"),1,0)</formula>
    </cfRule>
  </conditionalFormatting>
  <conditionalFormatting sqref="BA15:BB15 G15">
    <cfRule type="expression" dxfId="189" priority="3450" stopIfTrue="1">
      <formula>IF(G15&gt;0,1,0)</formula>
    </cfRule>
  </conditionalFormatting>
  <conditionalFormatting sqref="AP15">
    <cfRule type="cellIs" dxfId="188" priority="3451" stopIfTrue="1" operator="between">
      <formula>"B"</formula>
      <formula>"B"</formula>
    </cfRule>
    <cfRule type="cellIs" dxfId="187" priority="3452" stopIfTrue="1" operator="between">
      <formula>"C"</formula>
      <formula>"C"</formula>
    </cfRule>
    <cfRule type="cellIs" dxfId="186" priority="3453" stopIfTrue="1" operator="between">
      <formula>"D"</formula>
      <formula>"D"</formula>
    </cfRule>
  </conditionalFormatting>
  <conditionalFormatting sqref="AO15">
    <cfRule type="cellIs" dxfId="185" priority="3454" stopIfTrue="1" operator="between">
      <formula>"công chức, viên chức"</formula>
      <formula>"công chức, viên chức"</formula>
    </cfRule>
    <cfRule type="cellIs" dxfId="184" priority="3455" stopIfTrue="1" operator="between">
      <formula>"lao động hợp đồng"</formula>
      <formula>"lao động hợp đồng"</formula>
    </cfRule>
  </conditionalFormatting>
  <conditionalFormatting sqref="AY15">
    <cfRule type="expression" dxfId="183" priority="3456" stopIfTrue="1">
      <formula>IF(AY15="Nâg Ngạch sau TB",1,0)</formula>
    </cfRule>
    <cfRule type="expression" dxfId="182" priority="3457" stopIfTrue="1">
      <formula>IF(AY15="Nâg Lươg Sớm sau TB",1,0)</formula>
    </cfRule>
    <cfRule type="expression" dxfId="181" priority="3458" stopIfTrue="1">
      <formula>IF(AY15="Nâg PC TNVK cùng QĐ",1,0)</formula>
    </cfRule>
  </conditionalFormatting>
  <conditionalFormatting sqref="AN15">
    <cfRule type="expression" dxfId="180" priority="3459" stopIfTrue="1">
      <formula>IF(AN15=0,1,0)</formula>
    </cfRule>
    <cfRule type="expression" dxfId="179" priority="3460" stopIfTrue="1">
      <formula>IF(AN15&gt;0,1,0)</formula>
    </cfRule>
  </conditionalFormatting>
  <conditionalFormatting sqref="BE15">
    <cfRule type="expression" dxfId="178" priority="3461" stopIfTrue="1">
      <formula>IF(#REF!&gt;6,#REF!-6,IF(#REF!=6,12,IF(#REF!&lt;6,#REF!+6)))</formula>
    </cfRule>
  </conditionalFormatting>
  <conditionalFormatting sqref="BG15">
    <cfRule type="cellIs" dxfId="177" priority="3462" stopIfTrue="1" operator="between">
      <formula>"-"</formula>
      <formula>"-"</formula>
    </cfRule>
    <cfRule type="cellIs" dxfId="176" priority="3463" stopIfTrue="1" operator="between">
      <formula>1</formula>
      <formula>40</formula>
    </cfRule>
  </conditionalFormatting>
  <conditionalFormatting sqref="U15">
    <cfRule type="expression" dxfId="175" priority="3464" stopIfTrue="1">
      <formula>IF(U15="A0-CĐ",1,0)</formula>
    </cfRule>
    <cfRule type="expression" dxfId="174" priority="3465" stopIfTrue="1">
      <formula>IF(U15="B-TC",1,0)</formula>
    </cfRule>
    <cfRule type="expression" dxfId="173" priority="3466" stopIfTrue="1">
      <formula>IF(U15="C-NV",1,0)</formula>
    </cfRule>
  </conditionalFormatting>
  <conditionalFormatting sqref="F15">
    <cfRule type="cellIs" dxfId="172" priority="3467" stopIfTrue="1" operator="between">
      <formula>"Nam"</formula>
      <formula>"Nam"</formula>
    </cfRule>
    <cfRule type="cellIs" dxfId="171" priority="3468" stopIfTrue="1" operator="between">
      <formula>"Nữ"</formula>
      <formula>"Nữ"</formula>
    </cfRule>
  </conditionalFormatting>
  <conditionalFormatting sqref="BC15">
    <cfRule type="expression" dxfId="170" priority="3469" stopIfTrue="1">
      <formula>IF(#REF!&gt;6,#REF!-6,IF(#REF!=6,12,IF(#REF!&lt;6,#REF!+6)))</formula>
    </cfRule>
  </conditionalFormatting>
  <conditionalFormatting sqref="BI15">
    <cfRule type="expression" dxfId="169" priority="3389" stopIfTrue="1">
      <formula>IF(BJ15="Trên 45",1,0)</formula>
    </cfRule>
    <cfRule type="expression" dxfId="168" priority="3390" stopIfTrue="1">
      <formula>IF(BJ15="30 - 45",1,0)</formula>
    </cfRule>
    <cfRule type="expression" dxfId="167" priority="3391" stopIfTrue="1">
      <formula>IF(BJ15="Dưới 30",1,0)</formula>
    </cfRule>
  </conditionalFormatting>
  <conditionalFormatting sqref="CU15">
    <cfRule type="expression" dxfId="166" priority="3392" stopIfTrue="1">
      <formula>IF(CV15&gt;0,1,0)</formula>
    </cfRule>
    <cfRule type="expression" dxfId="165" priority="3393" stopIfTrue="1">
      <formula>IF(CV15=0,1,0)</formula>
    </cfRule>
  </conditionalFormatting>
  <conditionalFormatting sqref="CT15">
    <cfRule type="expression" dxfId="164" priority="3394" stopIfTrue="1">
      <formula>12*(#REF!-CM15)+(#REF!-CK15)</formula>
    </cfRule>
  </conditionalFormatting>
  <conditionalFormatting sqref="CY15">
    <cfRule type="expression" dxfId="163" priority="3395" stopIfTrue="1">
      <formula>12*(#REF!-CQ15)+(#REF!-CO15)</formula>
    </cfRule>
  </conditionalFormatting>
  <conditionalFormatting sqref="CX15">
    <cfRule type="expression" dxfId="162" priority="3401" stopIfTrue="1">
      <formula>IF(OR(CX15=0.36),1,0)</formula>
    </cfRule>
    <cfRule type="expression" dxfId="161" priority="3402" stopIfTrue="1">
      <formula>IF(CX15=0.34,1,0)</formula>
    </cfRule>
    <cfRule type="expression" dxfId="160" priority="3403" stopIfTrue="1">
      <formula>IF(CX15&lt;0.33,1,0)</formula>
    </cfRule>
  </conditionalFormatting>
  <conditionalFormatting sqref="DA15">
    <cfRule type="cellIs" dxfId="159" priority="3404" stopIfTrue="1" operator="between">
      <formula>"Hưu"</formula>
      <formula>"Hưu"</formula>
    </cfRule>
    <cfRule type="cellIs" dxfId="158" priority="3405" stopIfTrue="1" operator="between">
      <formula>"---"</formula>
      <formula>"---"</formula>
    </cfRule>
    <cfRule type="cellIs" dxfId="157" priority="3406" stopIfTrue="1" operator="between">
      <formula>"Quá"</formula>
      <formula>"Quá"</formula>
    </cfRule>
  </conditionalFormatting>
  <conditionalFormatting sqref="CW15">
    <cfRule type="expression" dxfId="156" priority="3407" stopIfTrue="1">
      <formula>IF(OR(CW15=5.57,CW15=6.2),1,0)</formula>
    </cfRule>
    <cfRule type="expression" dxfId="155" priority="3408" stopIfTrue="1">
      <formula>IF(OR(CW15=4,CW15=4.4),1,0)</formula>
    </cfRule>
    <cfRule type="expression" dxfId="154" priority="3409" stopIfTrue="1">
      <formula>IF(AND(CW15&gt;0.9,CW15&lt;2.34),1,0)</formula>
    </cfRule>
  </conditionalFormatting>
  <conditionalFormatting sqref="CS15">
    <cfRule type="cellIs" dxfId="153" priority="3410" stopIfTrue="1" operator="between">
      <formula>1</formula>
      <formula>1</formula>
    </cfRule>
    <cfRule type="cellIs" dxfId="152" priority="3411" stopIfTrue="1" operator="between">
      <formula>2</formula>
      <formula>2</formula>
    </cfRule>
    <cfRule type="cellIs" dxfId="151" priority="3412" stopIfTrue="1" operator="between">
      <formula>3</formula>
      <formula>3</formula>
    </cfRule>
  </conditionalFormatting>
  <conditionalFormatting sqref="CV15">
    <cfRule type="expression" dxfId="150" priority="3413" stopIfTrue="1">
      <formula>IF(CV15&gt;0,1,0)</formula>
    </cfRule>
    <cfRule type="expression" dxfId="149" priority="3414" stopIfTrue="1">
      <formula>IF(CV15&lt;1,1,0)</formula>
    </cfRule>
  </conditionalFormatting>
  <conditionalFormatting sqref="CR15">
    <cfRule type="cellIs" dxfId="148" priority="3415" stopIfTrue="1" operator="between">
      <formula>"Đến"</formula>
      <formula>"Đến"</formula>
    </cfRule>
    <cfRule type="cellIs" dxfId="147" priority="3416" stopIfTrue="1" operator="between">
      <formula>"Quá"</formula>
      <formula>"Quá"</formula>
    </cfRule>
    <cfRule type="expression" dxfId="146" priority="3417" stopIfTrue="1">
      <formula>IF(OR(CR15="Lương Sớm Hưu",CR15="Nâng Ngạch Hưu"),1,0)</formula>
    </cfRule>
  </conditionalFormatting>
  <conditionalFormatting sqref="DB15:DC15">
    <cfRule type="expression" dxfId="145" priority="3418" stopIfTrue="1">
      <formula>IF(DB15&gt;0,1,0)</formula>
    </cfRule>
  </conditionalFormatting>
  <conditionalFormatting sqref="CQ15">
    <cfRule type="cellIs" dxfId="144" priority="3419" stopIfTrue="1" operator="between">
      <formula>"B"</formula>
      <formula>"B"</formula>
    </cfRule>
    <cfRule type="cellIs" dxfId="143" priority="3420" stopIfTrue="1" operator="between">
      <formula>"C"</formula>
      <formula>"C"</formula>
    </cfRule>
    <cfRule type="cellIs" dxfId="142" priority="3421" stopIfTrue="1" operator="between">
      <formula>"D"</formula>
      <formula>"D"</formula>
    </cfRule>
  </conditionalFormatting>
  <conditionalFormatting sqref="CP15">
    <cfRule type="cellIs" dxfId="141" priority="3422" stopIfTrue="1" operator="between">
      <formula>"công chức, viên chức"</formula>
      <formula>"công chức, viên chức"</formula>
    </cfRule>
    <cfRule type="cellIs" dxfId="140" priority="3423" stopIfTrue="1" operator="between">
      <formula>"lao động hợp đồng"</formula>
      <formula>"lao động hợp đồng"</formula>
    </cfRule>
  </conditionalFormatting>
  <conditionalFormatting sqref="CZ15">
    <cfRule type="expression" dxfId="139" priority="3424" stopIfTrue="1">
      <formula>IF(CZ15="Nâg Ngạch sau TB",1,0)</formula>
    </cfRule>
    <cfRule type="expression" dxfId="138" priority="3425" stopIfTrue="1">
      <formula>IF(CZ15="Nâg Lươg Sớm sau TB",1,0)</formula>
    </cfRule>
    <cfRule type="expression" dxfId="137" priority="3426" stopIfTrue="1">
      <formula>IF(CZ15="Nâg PC TNVK cùng QĐ",1,0)</formula>
    </cfRule>
  </conditionalFormatting>
  <conditionalFormatting sqref="CO15">
    <cfRule type="expression" dxfId="136" priority="3427" stopIfTrue="1">
      <formula>IF(CO15=0,1,0)</formula>
    </cfRule>
    <cfRule type="expression" dxfId="135" priority="3428" stopIfTrue="1">
      <formula>IF(CO15&gt;0,1,0)</formula>
    </cfRule>
  </conditionalFormatting>
  <conditionalFormatting sqref="BJ15">
    <cfRule type="expression" dxfId="134" priority="3396" stopIfTrue="1">
      <formula>IF(BJ15="Trên 45",1,0)</formula>
    </cfRule>
    <cfRule type="expression" dxfId="133" priority="3397" stopIfTrue="1">
      <formula>IF(BJ15="30 - 45",1,0)</formula>
    </cfRule>
    <cfRule type="expression" dxfId="132" priority="3398" stopIfTrue="1">
      <formula>IF(BJ15="Dưới 30",1,0)</formula>
    </cfRule>
  </conditionalFormatting>
  <conditionalFormatting sqref="BL15">
    <cfRule type="cellIs" dxfId="131" priority="3399" stopIfTrue="1" operator="between">
      <formula>"Có hạn"</formula>
      <formula>"Có hạn"</formula>
    </cfRule>
    <cfRule type="cellIs" dxfId="130" priority="3400" stopIfTrue="1" operator="between">
      <formula>"Ko hạn"</formula>
      <formula>"Ko hạn"</formula>
    </cfRule>
  </conditionalFormatting>
  <conditionalFormatting sqref="A15">
    <cfRule type="expression" dxfId="129" priority="3470" stopIfTrue="1">
      <formula>IF(#REF!="Hưu",1,0)</formula>
    </cfRule>
    <cfRule type="expression" dxfId="128" priority="3471" stopIfTrue="1">
      <formula>IF(#REF!="Quá",1,0)</formula>
    </cfRule>
  </conditionalFormatting>
  <conditionalFormatting sqref="AX15">
    <cfRule type="expression" dxfId="127" priority="3472" stopIfTrue="1">
      <formula>12*(#REF!-AP15)+(#REF!-AN15)</formula>
    </cfRule>
  </conditionalFormatting>
  <conditionalFormatting sqref="AS15">
    <cfRule type="expression" dxfId="126" priority="3473" stopIfTrue="1">
      <formula>12*(#REF!-AK15)+(#REF!-#REF!)</formula>
    </cfRule>
  </conditionalFormatting>
  <conditionalFormatting sqref="A10">
    <cfRule type="expression" dxfId="125" priority="3825" stopIfTrue="1">
      <formula>IF(#REF!="Hưu",1,0)</formula>
    </cfRule>
    <cfRule type="expression" dxfId="124" priority="3826" stopIfTrue="1">
      <formula>IF(#REF!="Quá",1,0)</formula>
    </cfRule>
  </conditionalFormatting>
  <conditionalFormatting sqref="A12:A14">
    <cfRule type="expression" dxfId="123" priority="3829" stopIfTrue="1">
      <formula>IF(#REF!="Hưu",1,0)</formula>
    </cfRule>
    <cfRule type="expression" dxfId="122" priority="3830" stopIfTrue="1">
      <formula>IF(#REF!="Quá",1,0)</formula>
    </cfRule>
  </conditionalFormatting>
  <conditionalFormatting sqref="BI16:BI28">
    <cfRule type="expression" dxfId="61" priority="58" stopIfTrue="1">
      <formula>IF(BJ16="Trên 45",1,0)</formula>
    </cfRule>
    <cfRule type="expression" dxfId="60" priority="59" stopIfTrue="1">
      <formula>IF(BJ16="30 - 45",1,0)</formula>
    </cfRule>
    <cfRule type="expression" dxfId="59" priority="60" stopIfTrue="1">
      <formula>IF(BJ16="Dưới 30",1,0)</formula>
    </cfRule>
  </conditionalFormatting>
  <conditionalFormatting sqref="AS16:AS28 CU16:CU28">
    <cfRule type="expression" dxfId="58" priority="56" stopIfTrue="1">
      <formula>IF(AT16&gt;0,1,0)</formula>
    </cfRule>
    <cfRule type="expression" dxfId="57" priority="57" stopIfTrue="1">
      <formula>IF(AT16=0,1,0)</formula>
    </cfRule>
  </conditionalFormatting>
  <conditionalFormatting sqref="AV16:AV28 CX16:CX28">
    <cfRule type="expression" dxfId="56" priority="53" stopIfTrue="1">
      <formula>IF(OR(AV16=0.36),1,0)</formula>
    </cfRule>
    <cfRule type="expression" dxfId="55" priority="54" stopIfTrue="1">
      <formula>IF(AV16=0.34,1,0)</formula>
    </cfRule>
    <cfRule type="expression" dxfId="54" priority="55" stopIfTrue="1">
      <formula>IF(AV16&lt;0.33,1,0)</formula>
    </cfRule>
  </conditionalFormatting>
  <conditionalFormatting sqref="AU16:AU28 CW16:CW28">
    <cfRule type="expression" dxfId="53" priority="50" stopIfTrue="1">
      <formula>IF(OR(AU16=5.57,AU16=6.2),1,0)</formula>
    </cfRule>
    <cfRule type="expression" dxfId="52" priority="51" stopIfTrue="1">
      <formula>IF(OR(AU16=4,AU16=4.4),1,0)</formula>
    </cfRule>
    <cfRule type="expression" dxfId="51" priority="52" stopIfTrue="1">
      <formula>IF(AND(AU16&gt;0.9,AU16&lt;2.34),1,0)</formula>
    </cfRule>
  </conditionalFormatting>
  <conditionalFormatting sqref="AM16:AM28">
    <cfRule type="cellIs" dxfId="50" priority="48" stopIfTrue="1" operator="between">
      <formula>"CC,VC"</formula>
      <formula>"CC,VC"</formula>
    </cfRule>
    <cfRule type="cellIs" dxfId="49" priority="49" stopIfTrue="1" operator="between">
      <formula>"LĐHĐ"</formula>
      <formula>"LĐHĐ"</formula>
    </cfRule>
  </conditionalFormatting>
  <conditionalFormatting sqref="BC16:BC28">
    <cfRule type="expression" dxfId="48" priority="47" stopIfTrue="1">
      <formula>IF(AZ16&gt;6,BA16,IF(AZ16&lt;7,BA16-1))</formula>
    </cfRule>
  </conditionalFormatting>
  <conditionalFormatting sqref="BE16:BE28">
    <cfRule type="expression" dxfId="47" priority="46" stopIfTrue="1">
      <formula>IF(BB16&gt;6,BC16,IF(BB16&lt;7,BC16-1))</formula>
    </cfRule>
  </conditionalFormatting>
  <conditionalFormatting sqref="AY16:AY28 DA16:DA28">
    <cfRule type="cellIs" dxfId="46" priority="43" stopIfTrue="1" operator="between">
      <formula>"Hưu"</formula>
      <formula>"Hưu"</formula>
    </cfRule>
    <cfRule type="cellIs" dxfId="45" priority="44" stopIfTrue="1" operator="between">
      <formula>"---"</formula>
      <formula>"---"</formula>
    </cfRule>
    <cfRule type="cellIs" dxfId="44" priority="45" stopIfTrue="1" operator="between">
      <formula>"Quá"</formula>
      <formula>"Quá"</formula>
    </cfRule>
  </conditionalFormatting>
  <conditionalFormatting sqref="AQ16:AQ28 CS16:CS28">
    <cfRule type="cellIs" dxfId="43" priority="40" stopIfTrue="1" operator="between">
      <formula>1</formula>
      <formula>1</formula>
    </cfRule>
    <cfRule type="cellIs" dxfId="42" priority="41" stopIfTrue="1" operator="between">
      <formula>2</formula>
      <formula>2</formula>
    </cfRule>
    <cfRule type="cellIs" dxfId="41" priority="42" stopIfTrue="1" operator="between">
      <formula>3</formula>
      <formula>3</formula>
    </cfRule>
  </conditionalFormatting>
  <conditionalFormatting sqref="AT16:AT28 CV16:CV28">
    <cfRule type="expression" dxfId="40" priority="38" stopIfTrue="1">
      <formula>IF(AT16&gt;0,1,0)</formula>
    </cfRule>
    <cfRule type="expression" dxfId="39" priority="39" stopIfTrue="1">
      <formula>IF(AT16&lt;1,1,0)</formula>
    </cfRule>
  </conditionalFormatting>
  <conditionalFormatting sqref="AP16:AP28 CR16:CR28">
    <cfRule type="cellIs" dxfId="38" priority="35" stopIfTrue="1" operator="between">
      <formula>"Đến"</formula>
      <formula>"Đến"</formula>
    </cfRule>
    <cfRule type="cellIs" dxfId="37" priority="36" stopIfTrue="1" operator="between">
      <formula>"Quá"</formula>
      <formula>"Quá"</formula>
    </cfRule>
    <cfRule type="expression" dxfId="36" priority="37" stopIfTrue="1">
      <formula>IF(OR(AP16="Lương Sớm Hưu",AP16="Nâng Ngạch Hưu"),1,0)</formula>
    </cfRule>
  </conditionalFormatting>
  <conditionalFormatting sqref="AZ16:BA28 J16:M28 F16:F28 DB16:DC28">
    <cfRule type="expression" dxfId="35" priority="34" stopIfTrue="1">
      <formula>IF(F16&gt;0,1,0)</formula>
    </cfRule>
  </conditionalFormatting>
  <conditionalFormatting sqref="AO16:AO28 CQ16:CQ28">
    <cfRule type="cellIs" dxfId="34" priority="31" stopIfTrue="1" operator="between">
      <formula>"B"</formula>
      <formula>"B"</formula>
    </cfRule>
    <cfRule type="cellIs" dxfId="33" priority="32" stopIfTrue="1" operator="between">
      <formula>"C"</formula>
      <formula>"C"</formula>
    </cfRule>
    <cfRule type="cellIs" dxfId="32" priority="33" stopIfTrue="1" operator="between">
      <formula>"D"</formula>
      <formula>"D"</formula>
    </cfRule>
  </conditionalFormatting>
  <conditionalFormatting sqref="AN16:AN28 CP16:CP28">
    <cfRule type="cellIs" dxfId="31" priority="29" stopIfTrue="1" operator="between">
      <formula>"công chức, viên chức"</formula>
      <formula>"công chức, viên chức"</formula>
    </cfRule>
    <cfRule type="cellIs" dxfId="30" priority="30" stopIfTrue="1" operator="between">
      <formula>"lao động hợp đồng"</formula>
      <formula>"lao động hợp đồng"</formula>
    </cfRule>
  </conditionalFormatting>
  <conditionalFormatting sqref="AX16:AX28 CZ16:CZ28">
    <cfRule type="expression" dxfId="29" priority="26" stopIfTrue="1">
      <formula>IF(AX16="Nâg Ngạch sau TB",1,0)</formula>
    </cfRule>
    <cfRule type="expression" dxfId="28" priority="27" stopIfTrue="1">
      <formula>IF(AX16="Nâg Lươg Sớm sau TB",1,0)</formula>
    </cfRule>
    <cfRule type="expression" dxfId="27" priority="28" stopIfTrue="1">
      <formula>IF(AX16="Nâg PC TNVK cùng QĐ",1,0)</formula>
    </cfRule>
  </conditionalFormatting>
  <conditionalFormatting sqref="AL16:AL28 CO16:CO28">
    <cfRule type="expression" dxfId="26" priority="24" stopIfTrue="1">
      <formula>IF(AL16=0,1,0)</formula>
    </cfRule>
    <cfRule type="expression" dxfId="25" priority="25" stopIfTrue="1">
      <formula>IF(AL16&gt;0,1,0)</formula>
    </cfRule>
  </conditionalFormatting>
  <conditionalFormatting sqref="BF16:BF28">
    <cfRule type="cellIs" dxfId="24" priority="22" stopIfTrue="1" operator="between">
      <formula>"-"</formula>
      <formula>"-"</formula>
    </cfRule>
    <cfRule type="cellIs" dxfId="23" priority="23" stopIfTrue="1" operator="between">
      <formula>1</formula>
      <formula>40</formula>
    </cfRule>
  </conditionalFormatting>
  <conditionalFormatting sqref="P16:T28">
    <cfRule type="expression" dxfId="22" priority="19" stopIfTrue="1">
      <formula>IF(P16="A0-CĐ",1,0)</formula>
    </cfRule>
    <cfRule type="expression" dxfId="21" priority="20" stopIfTrue="1">
      <formula>IF(P16="B-TC",1,0)</formula>
    </cfRule>
    <cfRule type="expression" dxfId="20" priority="21" stopIfTrue="1">
      <formula>IF(P16="C-NV",1,0)</formula>
    </cfRule>
  </conditionalFormatting>
  <conditionalFormatting sqref="BJ16:BJ28">
    <cfRule type="expression" dxfId="19" priority="16" stopIfTrue="1">
      <formula>IF(BJ16="Trên 45",1,0)</formula>
    </cfRule>
    <cfRule type="expression" dxfId="18" priority="17" stopIfTrue="1">
      <formula>IF(BJ16="30 - 45",1,0)</formula>
    </cfRule>
    <cfRule type="expression" dxfId="17" priority="18" stopIfTrue="1">
      <formula>IF(BJ16="Dưới 30",1,0)</formula>
    </cfRule>
  </conditionalFormatting>
  <conditionalFormatting sqref="BL16:BL28">
    <cfRule type="cellIs" dxfId="16" priority="14" stopIfTrue="1" operator="between">
      <formula>"Có hạn"</formula>
      <formula>"Có hạn"</formula>
    </cfRule>
    <cfRule type="cellIs" dxfId="15" priority="15" stopIfTrue="1" operator="between">
      <formula>"Ko hạn"</formula>
      <formula>"Ko hạn"</formula>
    </cfRule>
  </conditionalFormatting>
  <conditionalFormatting sqref="A16:A25">
    <cfRule type="expression" dxfId="14" priority="12" stopIfTrue="1">
      <formula>IF(AY19="Hưu",1,0)</formula>
    </cfRule>
    <cfRule type="expression" dxfId="13" priority="13" stopIfTrue="1">
      <formula>IF(AY19="Quá",1,0)</formula>
    </cfRule>
  </conditionalFormatting>
  <conditionalFormatting sqref="BD16:BD28">
    <cfRule type="expression" dxfId="12" priority="11" stopIfTrue="1">
      <formula>IF(#REF!&gt;6,#REF!-6,IF(#REF!=6,12,IF(#REF!&lt;6,#REF!+6)))</formula>
    </cfRule>
  </conditionalFormatting>
  <conditionalFormatting sqref="AW16:AW28">
    <cfRule type="expression" dxfId="11" priority="10" stopIfTrue="1">
      <formula>12*(#REF!-AO16)+(#REF!-AL16)</formula>
    </cfRule>
  </conditionalFormatting>
  <conditionalFormatting sqref="CT16:CT28">
    <cfRule type="expression" dxfId="10" priority="9" stopIfTrue="1">
      <formula>12*(#REF!-CM16)+(#REF!-CK16)</formula>
    </cfRule>
  </conditionalFormatting>
  <conditionalFormatting sqref="CY16:CY28">
    <cfRule type="expression" dxfId="9" priority="8" stopIfTrue="1">
      <formula>12*(#REF!-CQ16)+(#REF!-CO16)</formula>
    </cfRule>
  </conditionalFormatting>
  <conditionalFormatting sqref="BG16:BG28">
    <cfRule type="expression" dxfId="8" priority="5" stopIfTrue="1">
      <formula>IF(AND(#REF!&gt;0,#REF!&lt;5),1,0)</formula>
    </cfRule>
    <cfRule type="expression" dxfId="7" priority="6" stopIfTrue="1">
      <formula>IF(#REF!=5,1,0)</formula>
    </cfRule>
    <cfRule type="expression" dxfId="6" priority="7" stopIfTrue="1">
      <formula>IF(#REF!&gt;5,1,0)</formula>
    </cfRule>
  </conditionalFormatting>
  <conditionalFormatting sqref="BB16:BB28">
    <cfRule type="expression" dxfId="5" priority="4" stopIfTrue="1">
      <formula>IF(#REF!&gt;6,#REF!-6,IF(#REF!=6,12,IF(#REF!&lt;6,#REF!+6)))</formula>
    </cfRule>
  </conditionalFormatting>
  <conditionalFormatting sqref="AR16:AR28">
    <cfRule type="expression" dxfId="4" priority="3" stopIfTrue="1">
      <formula>12*(#REF!-#REF!)+(#REF!-#REF!)</formula>
    </cfRule>
  </conditionalFormatting>
  <conditionalFormatting sqref="A26:A28">
    <cfRule type="expression" dxfId="3" priority="1" stopIfTrue="1">
      <formula>IF(AY76="Hưu",1,0)</formula>
    </cfRule>
    <cfRule type="expression" dxfId="2" priority="2" stopIfTrue="1">
      <formula>IF(AY76="Quá",1,0)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6"/>
  <sheetViews>
    <sheetView tabSelected="1" topLeftCell="B31" workbookViewId="0">
      <selection activeCell="N20" sqref="N20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12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9.5703125" customWidth="1"/>
  </cols>
  <sheetData>
    <row r="1" spans="1:115" s="228" customFormat="1" ht="15.75" customHeight="1" x14ac:dyDescent="0.25">
      <c r="B1" s="379" t="s">
        <v>0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 t="s">
        <v>1</v>
      </c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</row>
    <row r="2" spans="1:115" s="228" customFormat="1" ht="17.25" customHeight="1" x14ac:dyDescent="0.25">
      <c r="B2" s="379" t="s">
        <v>2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7" t="s">
        <v>3</v>
      </c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</row>
    <row r="3" spans="1:115" s="235" customFormat="1" ht="22.5" customHeight="1" x14ac:dyDescent="0.25">
      <c r="A3" s="229"/>
      <c r="B3" s="230"/>
      <c r="C3" s="229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3"/>
      <c r="O3" s="376" t="s">
        <v>170</v>
      </c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234"/>
      <c r="BC3" s="234"/>
      <c r="BD3" s="234"/>
      <c r="BE3" s="234"/>
      <c r="BF3" s="234"/>
      <c r="BG3" s="234"/>
      <c r="BH3" s="234"/>
    </row>
    <row r="4" spans="1:115" s="236" customFormat="1" ht="24" customHeight="1" x14ac:dyDescent="0.25">
      <c r="A4" s="231" t="s">
        <v>55</v>
      </c>
      <c r="B4" s="377" t="s">
        <v>171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</row>
    <row r="5" spans="1:115" s="239" customFormat="1" ht="15" hidden="1" customHeight="1" x14ac:dyDescent="0.25">
      <c r="A5" s="230"/>
      <c r="B5" s="230"/>
      <c r="C5" s="230"/>
      <c r="D5" s="237" t="s">
        <v>56</v>
      </c>
      <c r="E5" s="238" t="e">
        <f>#REF!</f>
        <v>#REF!</v>
      </c>
      <c r="G5" s="240"/>
      <c r="H5" s="241"/>
      <c r="I5" s="242"/>
      <c r="J5" s="240"/>
      <c r="K5" s="240"/>
      <c r="L5" s="240"/>
      <c r="M5" s="240"/>
      <c r="N5" s="243" t="s">
        <v>57</v>
      </c>
      <c r="O5" s="244"/>
      <c r="P5" s="244"/>
      <c r="Q5" s="244"/>
      <c r="R5" s="244"/>
      <c r="S5" s="236"/>
      <c r="T5" s="245"/>
      <c r="U5" s="246"/>
      <c r="V5" s="246"/>
      <c r="W5" s="240"/>
      <c r="X5" s="242"/>
      <c r="Y5" s="240"/>
      <c r="Z5" s="242"/>
      <c r="AA5" s="240"/>
      <c r="AB5" s="241"/>
      <c r="AC5" s="241"/>
      <c r="AD5" s="247"/>
      <c r="AE5" s="240"/>
      <c r="AF5" s="248"/>
      <c r="AG5" s="249"/>
      <c r="AH5" s="236" t="s">
        <v>58</v>
      </c>
      <c r="AI5" s="236"/>
      <c r="AU5" s="236"/>
      <c r="AV5" s="250"/>
      <c r="AX5" s="236"/>
      <c r="BA5" s="250"/>
    </row>
    <row r="6" spans="1:115" s="236" customFormat="1" ht="1.5" hidden="1" customHeight="1" x14ac:dyDescent="0.25">
      <c r="B6" s="251" t="s">
        <v>6</v>
      </c>
      <c r="D6" s="243"/>
      <c r="N6" s="243"/>
      <c r="O6" s="243"/>
      <c r="T6" s="251"/>
    </row>
    <row r="7" spans="1:115" s="236" customFormat="1" ht="16.5" x14ac:dyDescent="0.25">
      <c r="A7" s="138"/>
      <c r="B7" s="251"/>
      <c r="D7" s="236" t="s">
        <v>59</v>
      </c>
      <c r="G7" s="252"/>
      <c r="H7" s="253"/>
      <c r="I7" s="253"/>
      <c r="J7" s="253"/>
      <c r="K7" s="253"/>
      <c r="L7" s="253"/>
      <c r="M7" s="253"/>
      <c r="N7" s="243"/>
      <c r="O7" s="254"/>
      <c r="P7" s="255"/>
      <c r="Q7" s="255"/>
      <c r="R7" s="255"/>
      <c r="T7" s="256"/>
      <c r="AF7" s="257"/>
      <c r="BA7" s="258"/>
      <c r="BB7" s="259"/>
      <c r="BH7" s="260"/>
      <c r="BJ7" s="261"/>
      <c r="BK7" s="261"/>
      <c r="BR7" s="251"/>
      <c r="BS7" s="251"/>
      <c r="BT7" s="251"/>
      <c r="BU7" s="251"/>
      <c r="BW7" s="257"/>
      <c r="BX7" s="262"/>
      <c r="BY7" s="138"/>
    </row>
    <row r="8" spans="1:115" s="236" customFormat="1" ht="16.5" x14ac:dyDescent="0.25">
      <c r="A8" s="138"/>
      <c r="B8" s="251"/>
      <c r="D8" s="250" t="s">
        <v>60</v>
      </c>
      <c r="E8" s="250"/>
      <c r="F8" s="250"/>
      <c r="G8" s="250"/>
      <c r="H8" s="250"/>
      <c r="I8" s="250"/>
      <c r="J8" s="250"/>
      <c r="K8" s="250"/>
      <c r="L8" s="250"/>
      <c r="M8" s="250"/>
      <c r="N8" s="243"/>
      <c r="O8" s="244"/>
      <c r="P8" s="250"/>
      <c r="Q8" s="250"/>
      <c r="R8" s="250"/>
      <c r="T8" s="263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V8" s="250"/>
      <c r="BA8" s="258"/>
      <c r="BB8" s="259"/>
      <c r="BH8" s="260"/>
      <c r="BJ8" s="261"/>
      <c r="BK8" s="261" t="s">
        <v>55</v>
      </c>
      <c r="BR8" s="251"/>
      <c r="BS8" s="251"/>
      <c r="BT8" s="251"/>
      <c r="BU8" s="251"/>
      <c r="BW8" s="257"/>
      <c r="BX8" s="262"/>
      <c r="BY8" s="138"/>
    </row>
    <row r="9" spans="1:115" s="236" customFormat="1" ht="15" customHeight="1" x14ac:dyDescent="0.25">
      <c r="A9" s="138"/>
      <c r="B9" s="251" t="s">
        <v>6</v>
      </c>
      <c r="D9" s="250" t="s">
        <v>172</v>
      </c>
      <c r="E9" s="250"/>
      <c r="F9" s="250"/>
      <c r="G9" s="250"/>
      <c r="H9" s="250"/>
      <c r="I9" s="250"/>
      <c r="J9" s="250"/>
      <c r="K9" s="250"/>
      <c r="L9" s="250"/>
      <c r="M9" s="250"/>
      <c r="N9" s="243"/>
      <c r="O9" s="244"/>
      <c r="P9" s="250"/>
      <c r="Q9" s="250"/>
      <c r="R9" s="250"/>
      <c r="T9" s="263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V9" s="250"/>
      <c r="BA9" s="258"/>
      <c r="BB9" s="259"/>
      <c r="BH9" s="260"/>
      <c r="BJ9" s="261"/>
      <c r="BK9" s="261"/>
      <c r="BR9" s="251"/>
      <c r="BS9" s="251"/>
      <c r="BT9" s="251"/>
      <c r="BU9" s="251"/>
      <c r="BW9" s="257"/>
      <c r="BX9" s="262"/>
      <c r="BY9" s="138"/>
    </row>
    <row r="10" spans="1:115" s="239" customFormat="1" ht="16.5" x14ac:dyDescent="0.25">
      <c r="A10" s="229"/>
      <c r="B10" s="230"/>
      <c r="C10" s="229"/>
      <c r="D10" s="250" t="s">
        <v>130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43"/>
      <c r="O10" s="244"/>
      <c r="P10" s="250"/>
      <c r="Q10" s="250"/>
      <c r="R10" s="250"/>
      <c r="S10" s="236"/>
      <c r="T10" s="263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36"/>
      <c r="AV10" s="250"/>
      <c r="AW10" s="236"/>
      <c r="AX10" s="236"/>
      <c r="BA10" s="250"/>
    </row>
    <row r="11" spans="1:115" s="242" customFormat="1" ht="12.75" customHeight="1" x14ac:dyDescent="0.25">
      <c r="A11" s="229"/>
      <c r="B11" s="230"/>
      <c r="C11" s="229"/>
      <c r="D11" s="264" t="s">
        <v>61</v>
      </c>
      <c r="E11" s="265">
        <v>35</v>
      </c>
      <c r="I11" s="266"/>
      <c r="J11" s="267"/>
      <c r="K11" s="267"/>
      <c r="L11" s="267"/>
      <c r="M11" s="267"/>
      <c r="N11" s="243"/>
      <c r="O11" s="268"/>
      <c r="P11" s="241"/>
      <c r="Q11" s="241"/>
      <c r="R11" s="241"/>
      <c r="S11" s="236"/>
      <c r="T11" s="240"/>
      <c r="W11" s="241"/>
      <c r="Y11" s="241"/>
      <c r="AA11" s="241"/>
      <c r="AB11" s="241"/>
      <c r="AC11" s="241"/>
      <c r="AD11" s="269"/>
      <c r="AE11" s="240"/>
      <c r="AF11" s="228"/>
      <c r="AH11" s="228"/>
      <c r="AI11" s="228"/>
      <c r="AJ11" s="267"/>
      <c r="AK11" s="267"/>
      <c r="AU11" s="236"/>
      <c r="AV11" s="241"/>
      <c r="AX11" s="232"/>
      <c r="BA11" s="241"/>
    </row>
    <row r="12" spans="1:115" s="239" customFormat="1" ht="6.75" hidden="1" customHeight="1" x14ac:dyDescent="0.25">
      <c r="A12" s="229"/>
      <c r="B12" s="230"/>
      <c r="C12" s="229"/>
      <c r="D12" s="243"/>
      <c r="E12" s="240"/>
      <c r="F12" s="242"/>
      <c r="G12" s="242"/>
      <c r="H12" s="242"/>
      <c r="I12" s="266"/>
      <c r="J12" s="267"/>
      <c r="K12" s="267"/>
      <c r="L12" s="267"/>
      <c r="M12" s="267"/>
      <c r="N12" s="243"/>
      <c r="O12" s="268"/>
      <c r="P12" s="241"/>
      <c r="Q12" s="241"/>
      <c r="R12" s="241"/>
      <c r="S12" s="236"/>
      <c r="T12" s="240"/>
      <c r="U12" s="242"/>
      <c r="V12" s="242"/>
      <c r="W12" s="241"/>
      <c r="X12" s="242"/>
      <c r="Y12" s="241"/>
      <c r="Z12" s="242"/>
      <c r="AA12" s="241"/>
      <c r="AB12" s="241"/>
      <c r="AC12" s="241"/>
      <c r="AD12" s="269"/>
      <c r="AE12" s="240"/>
      <c r="AF12" s="236"/>
      <c r="AH12" s="236"/>
      <c r="AI12" s="236"/>
      <c r="AJ12" s="267"/>
      <c r="AK12" s="267"/>
      <c r="AU12" s="236"/>
      <c r="AV12" s="250"/>
      <c r="AX12" s="236"/>
      <c r="BA12" s="250"/>
    </row>
    <row r="13" spans="1:115" s="271" customFormat="1" ht="33" customHeight="1" x14ac:dyDescent="0.25">
      <c r="A13" s="236" t="s">
        <v>12</v>
      </c>
      <c r="B13" s="380" t="s">
        <v>12</v>
      </c>
      <c r="C13" s="346"/>
      <c r="D13" s="380" t="s">
        <v>62</v>
      </c>
      <c r="E13" s="380" t="s">
        <v>92</v>
      </c>
      <c r="F13" s="346" t="s">
        <v>63</v>
      </c>
      <c r="G13" s="346"/>
      <c r="H13" s="346"/>
      <c r="I13" s="346"/>
      <c r="J13" s="346"/>
      <c r="K13" s="346"/>
      <c r="L13" s="346"/>
      <c r="M13" s="346"/>
      <c r="N13" s="380" t="s">
        <v>64</v>
      </c>
      <c r="O13" s="380"/>
      <c r="P13" s="346"/>
      <c r="Q13" s="346"/>
      <c r="R13" s="380" t="s">
        <v>65</v>
      </c>
      <c r="S13" s="380"/>
      <c r="T13" s="380"/>
      <c r="U13" s="380" t="s">
        <v>18</v>
      </c>
      <c r="V13" s="270"/>
      <c r="W13" s="270"/>
      <c r="X13" s="346" t="s">
        <v>66</v>
      </c>
      <c r="Y13" s="346"/>
      <c r="Z13" s="346"/>
      <c r="AA13" s="346"/>
      <c r="AB13" s="346"/>
      <c r="AC13" s="346"/>
      <c r="AD13" s="346"/>
      <c r="AE13" s="346" t="s">
        <v>20</v>
      </c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80" t="s">
        <v>67</v>
      </c>
      <c r="AV13" s="380"/>
      <c r="AW13" s="380"/>
      <c r="AX13" s="380"/>
      <c r="AY13" s="380"/>
      <c r="AZ13" s="380"/>
      <c r="BA13" s="380"/>
      <c r="BB13" s="346"/>
      <c r="BC13" s="380" t="s">
        <v>68</v>
      </c>
      <c r="BD13" s="380" t="s">
        <v>20</v>
      </c>
      <c r="BE13" s="346"/>
      <c r="BF13" s="346"/>
      <c r="BG13" s="346"/>
      <c r="BH13" s="380" t="s">
        <v>68</v>
      </c>
      <c r="BI13" s="380" t="s">
        <v>68</v>
      </c>
    </row>
    <row r="14" spans="1:115" s="236" customFormat="1" ht="33" customHeight="1" x14ac:dyDescent="0.25">
      <c r="B14" s="380"/>
      <c r="C14" s="346"/>
      <c r="D14" s="380"/>
      <c r="E14" s="380"/>
      <c r="F14" s="346"/>
      <c r="G14" s="346"/>
      <c r="H14" s="346"/>
      <c r="I14" s="346"/>
      <c r="J14" s="346"/>
      <c r="K14" s="346"/>
      <c r="L14" s="346"/>
      <c r="M14" s="346"/>
      <c r="N14" s="380"/>
      <c r="O14" s="380"/>
      <c r="P14" s="346"/>
      <c r="Q14" s="346"/>
      <c r="R14" s="380"/>
      <c r="S14" s="380"/>
      <c r="T14" s="380"/>
      <c r="U14" s="380"/>
      <c r="V14" s="346"/>
      <c r="W14" s="346"/>
      <c r="X14" s="346" t="s">
        <v>69</v>
      </c>
      <c r="Y14" s="346"/>
      <c r="Z14" s="346" t="s">
        <v>70</v>
      </c>
      <c r="AA14" s="346"/>
      <c r="AB14" s="346" t="s">
        <v>71</v>
      </c>
      <c r="AC14" s="346"/>
      <c r="AD14" s="346"/>
      <c r="AE14" s="346"/>
      <c r="AF14" s="346" t="s">
        <v>72</v>
      </c>
      <c r="AG14" s="346" t="s">
        <v>73</v>
      </c>
      <c r="AH14" s="272" t="s">
        <v>74</v>
      </c>
      <c r="AI14" s="346"/>
      <c r="AJ14" s="346"/>
      <c r="AK14" s="270"/>
      <c r="AL14" s="270"/>
      <c r="AM14" s="270"/>
      <c r="AN14" s="270"/>
      <c r="AO14" s="270"/>
      <c r="AP14" s="270"/>
      <c r="AQ14" s="346"/>
      <c r="AR14" s="346"/>
      <c r="AS14" s="346"/>
      <c r="AT14" s="346"/>
      <c r="AU14" s="380" t="s">
        <v>69</v>
      </c>
      <c r="AV14" s="380"/>
      <c r="AW14" s="380" t="s">
        <v>70</v>
      </c>
      <c r="AX14" s="380"/>
      <c r="AY14" s="380" t="s">
        <v>75</v>
      </c>
      <c r="AZ14" s="380"/>
      <c r="BA14" s="380"/>
      <c r="BB14" s="346"/>
      <c r="BC14" s="380"/>
      <c r="BD14" s="380"/>
      <c r="BE14" s="346"/>
      <c r="BF14" s="346"/>
      <c r="BG14" s="346"/>
      <c r="BH14" s="380"/>
      <c r="BI14" s="380"/>
    </row>
    <row r="15" spans="1:115" s="236" customFormat="1" ht="30.75" hidden="1" customHeight="1" x14ac:dyDescent="0.25">
      <c r="A15" s="236" t="s">
        <v>76</v>
      </c>
      <c r="B15" s="273"/>
      <c r="C15" s="274"/>
      <c r="D15" s="275" t="s">
        <v>77</v>
      </c>
      <c r="E15" s="274" t="s">
        <v>78</v>
      </c>
      <c r="F15" s="274"/>
      <c r="G15" s="274"/>
      <c r="H15" s="274"/>
      <c r="I15" s="274"/>
      <c r="J15" s="274"/>
      <c r="K15" s="274"/>
      <c r="L15" s="274"/>
      <c r="M15" s="274"/>
      <c r="N15" s="275" t="s">
        <v>79</v>
      </c>
      <c r="O15" s="275" t="s">
        <v>80</v>
      </c>
      <c r="P15" s="274"/>
      <c r="Q15" s="274"/>
      <c r="R15" s="274"/>
      <c r="S15" s="274"/>
      <c r="T15" s="273"/>
      <c r="U15" s="274" t="s">
        <v>81</v>
      </c>
      <c r="V15" s="274" t="s">
        <v>82</v>
      </c>
      <c r="W15" s="274"/>
      <c r="X15" s="274" t="s">
        <v>83</v>
      </c>
      <c r="Y15" s="274"/>
      <c r="Z15" s="274" t="s">
        <v>84</v>
      </c>
      <c r="AA15" s="274"/>
      <c r="AB15" s="274" t="s">
        <v>85</v>
      </c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 t="s">
        <v>82</v>
      </c>
      <c r="AV15" s="274"/>
      <c r="AW15" s="274" t="s">
        <v>83</v>
      </c>
      <c r="AX15" s="274"/>
      <c r="AY15" s="274" t="s">
        <v>84</v>
      </c>
      <c r="AZ15" s="147"/>
      <c r="BA15" s="274" t="s">
        <v>85</v>
      </c>
      <c r="BB15" s="274"/>
      <c r="BC15" s="274"/>
      <c r="BD15" s="274"/>
      <c r="BE15" s="274"/>
      <c r="BF15" s="274"/>
      <c r="BG15" s="274"/>
      <c r="BH15" s="274"/>
      <c r="BI15" s="274"/>
    </row>
    <row r="16" spans="1:115" x14ac:dyDescent="0.25">
      <c r="A16" t="s">
        <v>86</v>
      </c>
      <c r="B16" s="345">
        <v>1</v>
      </c>
      <c r="C16" s="345"/>
      <c r="D16" s="345">
        <v>2</v>
      </c>
      <c r="E16" s="345">
        <v>3</v>
      </c>
      <c r="F16" s="345"/>
      <c r="G16" s="345"/>
      <c r="H16" s="345"/>
      <c r="I16" s="345"/>
      <c r="J16" s="345"/>
      <c r="K16" s="345"/>
      <c r="L16" s="345"/>
      <c r="M16" s="345"/>
      <c r="N16" s="366">
        <v>4</v>
      </c>
      <c r="O16" s="366"/>
      <c r="P16" s="345"/>
      <c r="Q16" s="345"/>
      <c r="R16" s="366">
        <v>5</v>
      </c>
      <c r="S16" s="366"/>
      <c r="T16" s="366"/>
      <c r="U16" s="345">
        <v>6</v>
      </c>
      <c r="V16" s="345">
        <v>7</v>
      </c>
      <c r="W16" s="345"/>
      <c r="X16" s="345">
        <v>8</v>
      </c>
      <c r="Y16" s="345"/>
      <c r="Z16" s="345"/>
      <c r="AA16" s="345"/>
      <c r="AB16" s="345">
        <v>9</v>
      </c>
      <c r="AC16" s="345">
        <v>10</v>
      </c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66">
        <v>6</v>
      </c>
      <c r="AV16" s="366"/>
      <c r="AW16" s="366">
        <v>7</v>
      </c>
      <c r="AX16" s="366"/>
      <c r="AY16" s="366">
        <v>8</v>
      </c>
      <c r="AZ16" s="366"/>
      <c r="BA16" s="366"/>
      <c r="BB16" s="345"/>
      <c r="BC16" s="345">
        <v>10</v>
      </c>
      <c r="BD16" s="345"/>
      <c r="BE16" s="345"/>
      <c r="BF16" s="345"/>
      <c r="BG16" s="345"/>
      <c r="BH16" s="345">
        <v>10</v>
      </c>
      <c r="BI16" s="345">
        <v>9</v>
      </c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</row>
    <row r="17" spans="1:126" s="142" customFormat="1" ht="21.75" customHeight="1" x14ac:dyDescent="0.25">
      <c r="A17" s="139">
        <v>104</v>
      </c>
      <c r="B17" s="273">
        <v>1</v>
      </c>
      <c r="C17" s="139" t="str">
        <f t="shared" ref="C17:C49" si="0">IF(E17="Nam","Ông","Bà")</f>
        <v>Ông</v>
      </c>
      <c r="D17" s="328" t="s">
        <v>173</v>
      </c>
      <c r="E17" s="139" t="s">
        <v>39</v>
      </c>
      <c r="F17" s="276" t="s">
        <v>174</v>
      </c>
      <c r="G17" s="276" t="s">
        <v>10</v>
      </c>
      <c r="H17" s="276">
        <v>8</v>
      </c>
      <c r="I17" s="276" t="s">
        <v>10</v>
      </c>
      <c r="J17" s="139">
        <v>1974</v>
      </c>
      <c r="K17" s="139"/>
      <c r="L17" s="139"/>
      <c r="M17" s="143" t="e">
        <f>VLOOKUP(L17,'[1]- DLiêu Gốc -'!$B$2:$G$121,2,0)</f>
        <v>#N/A</v>
      </c>
      <c r="N17" s="299"/>
      <c r="O17" s="292" t="s">
        <v>136</v>
      </c>
      <c r="P17" s="165" t="str">
        <f>VLOOKUP(U17,'[1]- DLiêu Gốc -'!$B$2:$G$56,5,0)</f>
        <v>A1</v>
      </c>
      <c r="Q17" s="165" t="str">
        <f>VLOOKUP(U17,'[1]- DLiêu Gốc -'!$B$2:$G$56,6,0)</f>
        <v>- - -</v>
      </c>
      <c r="R17" s="139" t="s">
        <v>34</v>
      </c>
      <c r="S17" s="277" t="str">
        <f t="shared" ref="S17:S49" si="1">IF(OR(U17="Kỹ thuật viên đánh máy",U17="Nhân viên đánh máy",U17="Nhân viên kỹ thuật",U17="Nhân viên văn thư",U17="Nhân viên phục vụ",U17="Lái xe cơ quan",U17="Nhân viên bảo vệ"),"Nhân viên",U17)</f>
        <v>Giảng viên (hạng III)</v>
      </c>
      <c r="T17" s="278" t="str">
        <f t="shared" ref="T17:T49" si="2">IF(S17="Nhân viên","01.005",V17)</f>
        <v>V.07.01.03</v>
      </c>
      <c r="U17" s="180" t="s">
        <v>35</v>
      </c>
      <c r="V17" s="141" t="str">
        <f>VLOOKUP(U17,'[1]- DLiêu Gốc -'!$B$1:$G$121,2,0)</f>
        <v>V.07.01.03</v>
      </c>
      <c r="W17" s="274" t="str">
        <f t="shared" ref="W17:W49" si="3">IF(OR(AND(AN17=36,AM17=3),AND(AN17=24,AM17=2),AND(AN17=12,AM17=1)),"Đến $",IF(OR(AND(AN17&gt;36,AM17=3),AND(AN17&gt;24,AM17=2),AND(AN17&gt;12,AM17=1)),"Dừng $","Lương"))</f>
        <v>Lương</v>
      </c>
      <c r="X17" s="274">
        <v>5</v>
      </c>
      <c r="Y17" s="274" t="str">
        <f t="shared" ref="Y17:Y49" si="4">IF(Z17&gt;0,"/")</f>
        <v>/</v>
      </c>
      <c r="Z17" s="274">
        <f t="shared" ref="Z17:Z49" si="5">IF(OR(AR17=0.18,AR17=0.2),12,IF(AR17=0.31,10,IF(AR17=0.33,9,IF(AR17=0.34,8,IF(AR17=0.36,6)))))</f>
        <v>9</v>
      </c>
      <c r="AA17" s="274">
        <f t="shared" ref="AA17:AA49" si="6">AQ17+(X17-1)*AR17</f>
        <v>3.66</v>
      </c>
      <c r="AB17" s="274">
        <f t="shared" ref="AB17:AB45" si="7">X17+1</f>
        <v>6</v>
      </c>
      <c r="AC17" s="274" t="str">
        <f t="shared" ref="AC17:AC49" si="8">IF(Z17=X17,"%",IF(Z17&gt;X17,"/"))</f>
        <v>/</v>
      </c>
      <c r="AD17" s="274">
        <f t="shared" ref="AD17:AD49" si="9">IF(AND(Z17=X17,AB17=4),5,IF(AND(Z17=X17,AB17&gt;4),AB17+1,IF(Z17&gt;X17,Z17)))</f>
        <v>9</v>
      </c>
      <c r="AE17" s="274">
        <f t="shared" ref="AE17:AE49" si="10">IF(Z17=X17,"%",IF(Z17&gt;X17,AA17+AR17))</f>
        <v>3.99</v>
      </c>
      <c r="AF17" s="274" t="s">
        <v>9</v>
      </c>
      <c r="AG17" s="274" t="s">
        <v>10</v>
      </c>
      <c r="AH17" s="274" t="s">
        <v>11</v>
      </c>
      <c r="AI17" s="274" t="s">
        <v>10</v>
      </c>
      <c r="AJ17" s="274">
        <v>2014</v>
      </c>
      <c r="AK17" s="147"/>
      <c r="AL17" s="141"/>
      <c r="AM17" s="274">
        <f t="shared" ref="AM17:AM49" si="11">IF(AND(Z17&gt;X17,OR(AR17=0.18,AR17=0.2)),2,IF(AND(Z17&gt;X17,OR(AR17=0.31,AR17=0.33,AR17=0.34,AR17=0.36)),3,IF(Z17=X17,1)))</f>
        <v>3</v>
      </c>
      <c r="AN17" s="274">
        <f t="shared" ref="AN17:AN49" si="12">12*($W$2-AJ17)+($W$4-AH17)-AO17</f>
        <v>-24175</v>
      </c>
      <c r="AO17" s="180"/>
      <c r="AP17" s="180"/>
      <c r="AQ17" s="274">
        <f>VLOOKUP(U17,'[1]- DLiêu Gốc -'!$B$1:$E$56,3,0)</f>
        <v>2.34</v>
      </c>
      <c r="AR17" s="274">
        <f>VLOOKUP(U17,'[1]- DLiêu Gốc -'!$B$1:$E$56,4,0)</f>
        <v>0.33</v>
      </c>
      <c r="AT17" s="274" t="str">
        <f t="shared" ref="AT17:AT49" si="13">IF(AND(AU17&gt;3,BF17=12),"Đến %",IF(AND(AU17&gt;3,BF17&gt;12,BF17&lt;120),"Dừng %",IF(AND(AU17&gt;3,BF17&lt;12),"PCTN","o-o-o")))</f>
        <v>PCTN</v>
      </c>
      <c r="AU17" s="279">
        <v>12</v>
      </c>
      <c r="AV17" s="280" t="s">
        <v>38</v>
      </c>
      <c r="AW17" s="279">
        <f t="shared" ref="AW17:AW49" si="14">IF(AU17&gt;3,AU17+1,0)</f>
        <v>13</v>
      </c>
      <c r="AX17" s="281" t="s">
        <v>38</v>
      </c>
      <c r="AY17" s="282">
        <v>5</v>
      </c>
      <c r="AZ17" s="169" t="s">
        <v>10</v>
      </c>
      <c r="BA17" s="283">
        <v>2016</v>
      </c>
      <c r="BB17" s="253"/>
      <c r="BC17" s="253"/>
      <c r="BD17" s="180"/>
      <c r="BE17" s="253">
        <v>5</v>
      </c>
      <c r="BF17" s="180">
        <f t="shared" ref="BF17:BF49" si="15">IF(AU17&gt;3,(($AT$2-BA17)*12+($AT$4-AY17)-BC17),"- - -")</f>
        <v>-24197</v>
      </c>
      <c r="BG17" s="140" t="str">
        <f t="shared" ref="BG17:BG49" si="16">IF(AND(CF17="Hưu",AU17&gt;3),12-(12*(CL17-BA17)+(CK17-AY17))-BC17,"- - -")</f>
        <v>- - -</v>
      </c>
      <c r="BH17" s="253" t="str">
        <f t="shared" ref="BH17:BH49" si="17">IF(BK17="công chức","CC",IF(BK17="viên chức","VC",IF(BK17="người lao động","NLĐ","- - -")))</f>
        <v>VC</v>
      </c>
      <c r="BI17" s="139"/>
      <c r="BJ17" s="347"/>
      <c r="BK17" s="347" t="s">
        <v>93</v>
      </c>
      <c r="BL17" s="327" t="str">
        <f t="shared" ref="BL17:BL49" si="18">IF(O17="Cơ sở Học viện Hành chính khu vực miền Trung","B",IF(O17="Phân viện Khu vực Tây Nguyên","C",IF(O17="Cơ sở Học viện Hành chính tại thành phố Hồ Chí Minh","D","A")))</f>
        <v>A</v>
      </c>
      <c r="BM17" s="348" t="str">
        <f t="shared" ref="BM17:BM49" si="19">IF(AND(AB17&gt;0,X17&lt;(Z17-1),BN17&gt;0,BN17&lt;13,OR(AND(BT17="Cùg Ng",($BM$2-BP17)&gt;AM17),BT17="- - -")),"Sớm TT","=&gt; s")</f>
        <v>=&gt; s</v>
      </c>
      <c r="BN17" s="327">
        <f t="shared" ref="BN17:BN49" si="20">IF(AM17=3,36-(12*($BM$2-AJ17)+(12-AH17)-AO17),IF(AM17=2,24-(12*($BM$2-AJ17)+(12-AH17)-AO17),"---"))</f>
        <v>24199</v>
      </c>
      <c r="BO17" s="347" t="str">
        <f t="shared" ref="BO17:BO49" si="21">IF(BP17&gt;1,"S","---")</f>
        <v>---</v>
      </c>
      <c r="BP17" s="327"/>
      <c r="BQ17" s="349"/>
      <c r="BR17" s="349"/>
      <c r="BS17" s="350"/>
      <c r="BT17" s="351" t="str">
        <f t="shared" ref="BT17:BT49" si="22">IF(T17=BQ17,"Cùg Ng","- - -")</f>
        <v>- - -</v>
      </c>
      <c r="BU17" s="351" t="str">
        <f t="shared" ref="BU17:BU49" si="23">IF(BW17&gt;2000,"NN","- - -")</f>
        <v>- - -</v>
      </c>
      <c r="BV17" s="351"/>
      <c r="BW17" s="351"/>
      <c r="BX17" s="351"/>
      <c r="BY17" s="351"/>
      <c r="BZ17" s="349" t="str">
        <f t="shared" ref="BZ17:BZ49" si="24">IF(CB17&gt;2000,"CN","- - -")</f>
        <v>- - -</v>
      </c>
      <c r="CA17" s="327"/>
      <c r="CB17" s="327"/>
      <c r="CC17" s="352"/>
      <c r="CD17" s="352"/>
      <c r="CE17" s="351" t="str">
        <f t="shared" ref="CE17:CE49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327" t="str">
        <f t="shared" ref="CF17:CF49" si="26">IF(AND(CQ17&gt;CP17,CQ17&lt;(CP17+13)),"Hưu",IF(AND(CQ17&gt;(CP17+12),CQ17&lt;1000),"Quá","/-/ /-/"))</f>
        <v>/-/ /-/</v>
      </c>
      <c r="CG17" s="327">
        <f t="shared" ref="CG17:CG49" si="27">IF((H17+0)&lt;12,(H17+0)+1,IF((H17+0)=12,1,IF((H17+0)&gt;12,(H17+0)-12)))</f>
        <v>9</v>
      </c>
      <c r="CH17" s="327">
        <f t="shared" ref="CH17:CH49" si="28">IF(OR((H17+0)=12,(H17+0)&gt;12),J17+CP17/12+1,IF(AND((H17+0)&gt;0,(H17+0)&lt;12),J17+CP17/12,"---"))</f>
        <v>2034</v>
      </c>
      <c r="CI17" s="351">
        <f t="shared" ref="CI17:CI49" si="29">IF(AND(CG17&gt;3,CG17&lt;13),CG17-3,IF(CG17&lt;4,CG17-3+12))</f>
        <v>6</v>
      </c>
      <c r="CJ17" s="351">
        <f t="shared" ref="CJ17:CJ49" si="30">IF(CI17&lt;CG17,CH17,IF(CI17&gt;CG17,CH17-1))</f>
        <v>2034</v>
      </c>
      <c r="CK17" s="347">
        <f t="shared" ref="CK17:CK49" si="31">IF(CG17&gt;6,CG17-6,IF(CG17=6,12,IF(CG17&lt;6,CG17+6)))</f>
        <v>3</v>
      </c>
      <c r="CL17" s="327">
        <f t="shared" ref="CL17:CL49" si="32">IF(CG17&gt;6,CH17,IF(CG17&lt;7,CH17-1))</f>
        <v>2034</v>
      </c>
      <c r="CM17" s="327" t="str">
        <f t="shared" ref="CM17:CM49" si="33">IF(AND(CF17="Hưu",AM17=3),36+AO17-(12*(CL17-AJ17)+(CK17-AH17)),IF(AND(CF17="Hưu",AM17=2),24+AO17-(12*(CL17-AJ17)+(CK17-AH17)),IF(AND(CF17="Hưu",AM17=1),12+AO17-(12*(CL17-AJ17)+(CK17-AH17)),"- - -")))</f>
        <v>- - -</v>
      </c>
      <c r="CN17" s="327" t="str">
        <f t="shared" ref="CN17:CN49" si="34">IF(CO17&gt;0,"K.Dài",". .")</f>
        <v>. .</v>
      </c>
      <c r="CO17" s="327"/>
      <c r="CP17" s="348">
        <f t="shared" ref="CP17:CP49" si="35">IF(E17="Nam",(60+CO17)*12,IF(E17="Nữ",(55+CO17)*12,))</f>
        <v>720</v>
      </c>
      <c r="CQ17" s="348">
        <f t="shared" ref="CQ17:CQ49" si="36">12*($CF$4-J17)+(12-H17)</f>
        <v>-23684</v>
      </c>
      <c r="CR17" s="327">
        <f t="shared" ref="CR17:CR49" si="37">$CV$4-J17</f>
        <v>-1974</v>
      </c>
      <c r="CS17" s="348" t="str">
        <f t="shared" ref="CS17:CS49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Nam dưới 35</v>
      </c>
      <c r="CT17" s="351"/>
      <c r="CU17" s="351"/>
      <c r="CV17" s="351" t="str">
        <f t="shared" ref="CV17:CV49" si="39">IF(CR17&lt;31,"Đến 30",IF(AND(CR17&gt;30,CR17&lt;46),"31 - 45",IF(AND(CR17&gt;45,CR17&lt;70),"Trên 45")))</f>
        <v>Đến 30</v>
      </c>
      <c r="CW17" s="351" t="str">
        <f t="shared" ref="CW17:CW49" si="40">IF(CX17&gt;0,"TD","--")</f>
        <v>TD</v>
      </c>
      <c r="CX17" s="351">
        <v>2009</v>
      </c>
      <c r="CY17" s="351"/>
      <c r="CZ17" s="351"/>
      <c r="DA17" s="351"/>
      <c r="DB17" s="351"/>
      <c r="DC17" s="351"/>
      <c r="DD17" s="351"/>
      <c r="DE17" s="351"/>
      <c r="DF17" s="351"/>
      <c r="DG17" s="351"/>
      <c r="DH17" s="351" t="s">
        <v>9</v>
      </c>
      <c r="DI17" s="351" t="s">
        <v>10</v>
      </c>
      <c r="DJ17" s="351" t="s">
        <v>11</v>
      </c>
      <c r="DK17" s="351" t="s">
        <v>10</v>
      </c>
      <c r="DL17" s="423" t="s">
        <v>31</v>
      </c>
      <c r="DM17" s="142">
        <f t="shared" ref="DM17:DM49" si="41">(DH17+0)-(DO17+0)</f>
        <v>0</v>
      </c>
      <c r="DN17" s="142" t="str">
        <f t="shared" ref="DN17:DN49" si="42">IF(DM17&gt;0,"Sửa","- - -")</f>
        <v>- - -</v>
      </c>
      <c r="DO17" s="142" t="s">
        <v>9</v>
      </c>
      <c r="DP17" s="142" t="s">
        <v>10</v>
      </c>
      <c r="DQ17" s="142" t="s">
        <v>11</v>
      </c>
      <c r="DR17" s="142" t="s">
        <v>10</v>
      </c>
      <c r="DS17" s="142" t="s">
        <v>31</v>
      </c>
      <c r="DU17" s="142" t="str">
        <f t="shared" ref="DU17:DU49" si="43">IF(AND(AR17&gt;0.34,AB17=1,OR(AQ17=6.2,AQ17=5.75)),((AQ17-DT17)-2*0.34),IF(AND(AR17&gt;0.33,AB17=1,OR(AQ17=4.4,AQ17=4)),((AQ17-DT17)-2*0.33),"- - -"))</f>
        <v>- - -</v>
      </c>
      <c r="DV17" s="142" t="str">
        <f t="shared" ref="DV17:DV49" si="44">IF(CF17="Hưu",12*(CL17-AJ17)+(CK17-AH17),"---")</f>
        <v>---</v>
      </c>
    </row>
    <row r="18" spans="1:126" s="142" customFormat="1" ht="21.75" customHeight="1" x14ac:dyDescent="0.25">
      <c r="A18" s="139">
        <v>108</v>
      </c>
      <c r="B18" s="273">
        <v>2</v>
      </c>
      <c r="C18" s="139" t="str">
        <f t="shared" si="0"/>
        <v>Bà</v>
      </c>
      <c r="D18" s="328" t="s">
        <v>175</v>
      </c>
      <c r="E18" s="139" t="s">
        <v>32</v>
      </c>
      <c r="F18" s="276" t="s">
        <v>118</v>
      </c>
      <c r="G18" s="276" t="s">
        <v>10</v>
      </c>
      <c r="H18" s="276" t="s">
        <v>40</v>
      </c>
      <c r="I18" s="276" t="s">
        <v>10</v>
      </c>
      <c r="J18" s="139" t="s">
        <v>139</v>
      </c>
      <c r="K18" s="139"/>
      <c r="L18" s="139"/>
      <c r="M18" s="143" t="e">
        <f>VLOOKUP(L18,'[1]- DLiêu Gốc -'!$B$2:$G$121,2,0)</f>
        <v>#N/A</v>
      </c>
      <c r="N18" s="299"/>
      <c r="O18" s="292" t="s">
        <v>136</v>
      </c>
      <c r="P18" s="165" t="str">
        <f>VLOOKUP(U18,'[1]- DLiêu Gốc -'!$B$2:$G$56,5,0)</f>
        <v>A1</v>
      </c>
      <c r="Q18" s="165" t="str">
        <f>VLOOKUP(U18,'[1]- DLiêu Gốc -'!$B$2:$G$56,6,0)</f>
        <v>- - -</v>
      </c>
      <c r="R18" s="139" t="s">
        <v>34</v>
      </c>
      <c r="S18" s="277" t="str">
        <f t="shared" si="1"/>
        <v>Giảng viên (hạng III)</v>
      </c>
      <c r="T18" s="278" t="str">
        <f t="shared" si="2"/>
        <v>V.07.01.03</v>
      </c>
      <c r="U18" s="180" t="s">
        <v>35</v>
      </c>
      <c r="V18" s="141" t="str">
        <f>VLOOKUP(U18,'[1]- DLiêu Gốc -'!$B$1:$G$121,2,0)</f>
        <v>V.07.01.03</v>
      </c>
      <c r="W18" s="274" t="str">
        <f t="shared" si="3"/>
        <v>Lương</v>
      </c>
      <c r="X18" s="274">
        <v>4</v>
      </c>
      <c r="Y18" s="274" t="str">
        <f t="shared" si="4"/>
        <v>/</v>
      </c>
      <c r="Z18" s="274">
        <f t="shared" si="5"/>
        <v>9</v>
      </c>
      <c r="AA18" s="274">
        <f t="shared" si="6"/>
        <v>3.33</v>
      </c>
      <c r="AB18" s="274">
        <f t="shared" si="7"/>
        <v>5</v>
      </c>
      <c r="AC18" s="274" t="str">
        <f t="shared" si="8"/>
        <v>/</v>
      </c>
      <c r="AD18" s="274">
        <f t="shared" si="9"/>
        <v>9</v>
      </c>
      <c r="AE18" s="274">
        <f t="shared" si="10"/>
        <v>3.66</v>
      </c>
      <c r="AF18" s="274" t="s">
        <v>9</v>
      </c>
      <c r="AG18" s="274" t="s">
        <v>10</v>
      </c>
      <c r="AH18" s="274" t="s">
        <v>109</v>
      </c>
      <c r="AI18" s="274" t="s">
        <v>10</v>
      </c>
      <c r="AJ18" s="274">
        <v>2013</v>
      </c>
      <c r="AK18" s="147"/>
      <c r="AL18" s="141"/>
      <c r="AM18" s="274">
        <f t="shared" si="11"/>
        <v>3</v>
      </c>
      <c r="AN18" s="274">
        <f t="shared" si="12"/>
        <v>-24162</v>
      </c>
      <c r="AO18" s="180"/>
      <c r="AP18" s="180"/>
      <c r="AQ18" s="274">
        <f>VLOOKUP(U18,'[1]- DLiêu Gốc -'!$B$1:$E$56,3,0)</f>
        <v>2.34</v>
      </c>
      <c r="AR18" s="274">
        <f>VLOOKUP(U18,'[1]- DLiêu Gốc -'!$B$1:$E$56,4,0)</f>
        <v>0.33</v>
      </c>
      <c r="AT18" s="274" t="str">
        <f t="shared" si="13"/>
        <v>PCTN</v>
      </c>
      <c r="AU18" s="279">
        <v>12</v>
      </c>
      <c r="AV18" s="280" t="s">
        <v>38</v>
      </c>
      <c r="AW18" s="279">
        <f t="shared" si="14"/>
        <v>13</v>
      </c>
      <c r="AX18" s="281" t="s">
        <v>38</v>
      </c>
      <c r="AY18" s="282">
        <v>5</v>
      </c>
      <c r="AZ18" s="169" t="s">
        <v>10</v>
      </c>
      <c r="BA18" s="283">
        <v>2016</v>
      </c>
      <c r="BB18" s="253"/>
      <c r="BC18" s="253"/>
      <c r="BD18" s="180"/>
      <c r="BE18" s="253">
        <v>5</v>
      </c>
      <c r="BF18" s="180">
        <f t="shared" si="15"/>
        <v>-24197</v>
      </c>
      <c r="BG18" s="140" t="str">
        <f t="shared" si="16"/>
        <v>- - -</v>
      </c>
      <c r="BH18" s="253" t="str">
        <f t="shared" si="17"/>
        <v>VC</v>
      </c>
      <c r="BI18" s="139"/>
      <c r="BJ18" s="347"/>
      <c r="BK18" s="347" t="s">
        <v>93</v>
      </c>
      <c r="BL18" s="327" t="str">
        <f t="shared" si="18"/>
        <v>A</v>
      </c>
      <c r="BM18" s="348" t="str">
        <f t="shared" si="19"/>
        <v>=&gt; s</v>
      </c>
      <c r="BN18" s="327">
        <f t="shared" si="20"/>
        <v>24186</v>
      </c>
      <c r="BO18" s="347" t="str">
        <f t="shared" si="21"/>
        <v>---</v>
      </c>
      <c r="BP18" s="327"/>
      <c r="BQ18" s="349"/>
      <c r="BR18" s="349"/>
      <c r="BS18" s="350"/>
      <c r="BT18" s="351" t="str">
        <f t="shared" si="22"/>
        <v>- - -</v>
      </c>
      <c r="BU18" s="351" t="str">
        <f t="shared" si="23"/>
        <v>- - -</v>
      </c>
      <c r="BV18" s="351"/>
      <c r="BW18" s="351"/>
      <c r="BX18" s="351"/>
      <c r="BY18" s="351"/>
      <c r="BZ18" s="349" t="str">
        <f t="shared" si="24"/>
        <v>- - -</v>
      </c>
      <c r="CA18" s="327"/>
      <c r="CB18" s="327"/>
      <c r="CC18" s="352"/>
      <c r="CD18" s="352"/>
      <c r="CE18" s="351" t="str">
        <f t="shared" si="25"/>
        <v>---</v>
      </c>
      <c r="CF18" s="327" t="str">
        <f t="shared" si="26"/>
        <v>/-/ /-/</v>
      </c>
      <c r="CG18" s="327">
        <f t="shared" si="27"/>
        <v>12</v>
      </c>
      <c r="CH18" s="327">
        <f t="shared" si="28"/>
        <v>2032</v>
      </c>
      <c r="CI18" s="351">
        <f t="shared" si="29"/>
        <v>9</v>
      </c>
      <c r="CJ18" s="351">
        <f t="shared" si="30"/>
        <v>2032</v>
      </c>
      <c r="CK18" s="347">
        <f t="shared" si="31"/>
        <v>6</v>
      </c>
      <c r="CL18" s="327">
        <f t="shared" si="32"/>
        <v>2032</v>
      </c>
      <c r="CM18" s="327" t="str">
        <f t="shared" si="33"/>
        <v>- - -</v>
      </c>
      <c r="CN18" s="327" t="str">
        <f t="shared" si="34"/>
        <v>. .</v>
      </c>
      <c r="CO18" s="327"/>
      <c r="CP18" s="348">
        <f t="shared" si="35"/>
        <v>660</v>
      </c>
      <c r="CQ18" s="348">
        <f t="shared" si="36"/>
        <v>-23723</v>
      </c>
      <c r="CR18" s="327">
        <f t="shared" si="37"/>
        <v>-1977</v>
      </c>
      <c r="CS18" s="348" t="str">
        <f t="shared" si="38"/>
        <v>Nữ dưới 30</v>
      </c>
      <c r="CT18" s="351"/>
      <c r="CU18" s="351"/>
      <c r="CV18" s="351" t="str">
        <f t="shared" si="39"/>
        <v>Đến 30</v>
      </c>
      <c r="CW18" s="351" t="str">
        <f t="shared" si="40"/>
        <v>TD</v>
      </c>
      <c r="CX18" s="351">
        <v>2008</v>
      </c>
      <c r="CY18" s="351"/>
      <c r="CZ18" s="351"/>
      <c r="DA18" s="351"/>
      <c r="DB18" s="351"/>
      <c r="DC18" s="351"/>
      <c r="DD18" s="351"/>
      <c r="DE18" s="351"/>
      <c r="DF18" s="351"/>
      <c r="DG18" s="351"/>
      <c r="DH18" s="351" t="s">
        <v>9</v>
      </c>
      <c r="DI18" s="351" t="s">
        <v>10</v>
      </c>
      <c r="DJ18" s="351" t="s">
        <v>109</v>
      </c>
      <c r="DK18" s="351" t="s">
        <v>10</v>
      </c>
      <c r="DL18" s="423">
        <v>2013</v>
      </c>
      <c r="DM18" s="142">
        <f t="shared" si="41"/>
        <v>0</v>
      </c>
      <c r="DN18" s="142" t="str">
        <f t="shared" si="42"/>
        <v>- - -</v>
      </c>
      <c r="DO18" s="142" t="s">
        <v>9</v>
      </c>
      <c r="DP18" s="142" t="s">
        <v>10</v>
      </c>
      <c r="DQ18" s="142" t="s">
        <v>109</v>
      </c>
      <c r="DR18" s="142" t="s">
        <v>10</v>
      </c>
      <c r="DS18" s="142">
        <v>2013</v>
      </c>
      <c r="DU18" s="142" t="str">
        <f t="shared" si="43"/>
        <v>- - -</v>
      </c>
      <c r="DV18" s="142" t="str">
        <f t="shared" si="44"/>
        <v>---</v>
      </c>
    </row>
    <row r="19" spans="1:126" s="142" customFormat="1" ht="21.75" customHeight="1" x14ac:dyDescent="0.25">
      <c r="A19" s="139">
        <v>155</v>
      </c>
      <c r="B19" s="273">
        <v>3</v>
      </c>
      <c r="C19" s="139" t="str">
        <f t="shared" si="0"/>
        <v>Ông</v>
      </c>
      <c r="D19" s="328" t="s">
        <v>176</v>
      </c>
      <c r="E19" s="139" t="s">
        <v>39</v>
      </c>
      <c r="F19" s="276" t="s">
        <v>177</v>
      </c>
      <c r="G19" s="276" t="s">
        <v>10</v>
      </c>
      <c r="H19" s="276">
        <v>5</v>
      </c>
      <c r="I19" s="276" t="s">
        <v>10</v>
      </c>
      <c r="J19" s="139">
        <v>1978</v>
      </c>
      <c r="K19" s="139"/>
      <c r="L19" s="139"/>
      <c r="M19" s="143" t="e">
        <f>VLOOKUP(L19,'[1]- DLiêu Gốc -'!$B$2:$G$121,2,0)</f>
        <v>#N/A</v>
      </c>
      <c r="N19" s="299" t="s">
        <v>29</v>
      </c>
      <c r="O19" s="292" t="s">
        <v>98</v>
      </c>
      <c r="P19" s="165" t="str">
        <f>VLOOKUP(U19,'[1]- DLiêu Gốc -'!$B$2:$G$56,5,0)</f>
        <v>A1</v>
      </c>
      <c r="Q19" s="165" t="str">
        <f>VLOOKUP(U19,'[1]- DLiêu Gốc -'!$B$2:$G$56,6,0)</f>
        <v>- - -</v>
      </c>
      <c r="R19" s="139" t="s">
        <v>34</v>
      </c>
      <c r="S19" s="277" t="str">
        <f t="shared" si="1"/>
        <v>Giảng viên (hạng III)</v>
      </c>
      <c r="T19" s="278" t="str">
        <f t="shared" si="2"/>
        <v>V.07.01.03</v>
      </c>
      <c r="U19" s="180" t="s">
        <v>35</v>
      </c>
      <c r="V19" s="141" t="str">
        <f>VLOOKUP(U19,'[1]- DLiêu Gốc -'!$B$1:$G$121,2,0)</f>
        <v>V.07.01.03</v>
      </c>
      <c r="W19" s="274" t="str">
        <f t="shared" si="3"/>
        <v>Lương</v>
      </c>
      <c r="X19" s="274">
        <v>4</v>
      </c>
      <c r="Y19" s="274" t="str">
        <f t="shared" si="4"/>
        <v>/</v>
      </c>
      <c r="Z19" s="274">
        <f t="shared" si="5"/>
        <v>9</v>
      </c>
      <c r="AA19" s="274">
        <f t="shared" si="6"/>
        <v>3.33</v>
      </c>
      <c r="AB19" s="274">
        <f t="shared" si="7"/>
        <v>5</v>
      </c>
      <c r="AC19" s="274" t="str">
        <f t="shared" si="8"/>
        <v>/</v>
      </c>
      <c r="AD19" s="274">
        <f t="shared" si="9"/>
        <v>9</v>
      </c>
      <c r="AE19" s="274">
        <f t="shared" si="10"/>
        <v>3.66</v>
      </c>
      <c r="AF19" s="274" t="s">
        <v>9</v>
      </c>
      <c r="AG19" s="274" t="s">
        <v>10</v>
      </c>
      <c r="AH19" s="274">
        <v>3</v>
      </c>
      <c r="AI19" s="274" t="s">
        <v>10</v>
      </c>
      <c r="AJ19" s="274">
        <v>2014</v>
      </c>
      <c r="AK19" s="147"/>
      <c r="AL19" s="141"/>
      <c r="AM19" s="274">
        <f t="shared" si="11"/>
        <v>3</v>
      </c>
      <c r="AN19" s="274">
        <f t="shared" si="12"/>
        <v>-24171</v>
      </c>
      <c r="AO19" s="180"/>
      <c r="AP19" s="180"/>
      <c r="AQ19" s="274">
        <f>VLOOKUP(U19,'[1]- DLiêu Gốc -'!$B$1:$E$56,3,0)</f>
        <v>2.34</v>
      </c>
      <c r="AR19" s="274">
        <f>VLOOKUP(U19,'[1]- DLiêu Gốc -'!$B$1:$E$56,4,0)</f>
        <v>0.33</v>
      </c>
      <c r="AT19" s="274" t="str">
        <f t="shared" si="13"/>
        <v>PCTN</v>
      </c>
      <c r="AU19" s="279">
        <v>12</v>
      </c>
      <c r="AV19" s="280" t="s">
        <v>38</v>
      </c>
      <c r="AW19" s="279">
        <f t="shared" si="14"/>
        <v>13</v>
      </c>
      <c r="AX19" s="281" t="s">
        <v>38</v>
      </c>
      <c r="AY19" s="282">
        <v>5</v>
      </c>
      <c r="AZ19" s="169" t="s">
        <v>10</v>
      </c>
      <c r="BA19" s="283">
        <v>2016</v>
      </c>
      <c r="BB19" s="253"/>
      <c r="BC19" s="253"/>
      <c r="BD19" s="180"/>
      <c r="BE19" s="253">
        <v>5</v>
      </c>
      <c r="BF19" s="180">
        <f t="shared" si="15"/>
        <v>-24197</v>
      </c>
      <c r="BG19" s="140" t="str">
        <f t="shared" si="16"/>
        <v>- - -</v>
      </c>
      <c r="BH19" s="253" t="str">
        <f t="shared" si="17"/>
        <v>VC</v>
      </c>
      <c r="BI19" s="139"/>
      <c r="BJ19" s="347"/>
      <c r="BK19" s="347" t="s">
        <v>93</v>
      </c>
      <c r="BL19" s="327" t="str">
        <f t="shared" si="18"/>
        <v>A</v>
      </c>
      <c r="BM19" s="348" t="str">
        <f t="shared" si="19"/>
        <v>=&gt; s</v>
      </c>
      <c r="BN19" s="327">
        <f t="shared" si="20"/>
        <v>24195</v>
      </c>
      <c r="BO19" s="347" t="str">
        <f t="shared" si="21"/>
        <v>S</v>
      </c>
      <c r="BP19" s="327">
        <v>2013</v>
      </c>
      <c r="BQ19" s="349" t="s">
        <v>36</v>
      </c>
      <c r="BR19" s="349"/>
      <c r="BS19" s="350"/>
      <c r="BT19" s="351" t="str">
        <f t="shared" si="22"/>
        <v>Cùg Ng</v>
      </c>
      <c r="BU19" s="351" t="str">
        <f t="shared" si="23"/>
        <v>- - -</v>
      </c>
      <c r="BV19" s="351"/>
      <c r="BW19" s="351"/>
      <c r="BX19" s="351"/>
      <c r="BY19" s="351"/>
      <c r="BZ19" s="349" t="str">
        <f t="shared" si="24"/>
        <v>- - -</v>
      </c>
      <c r="CA19" s="327"/>
      <c r="CB19" s="327"/>
      <c r="CC19" s="352"/>
      <c r="CD19" s="352"/>
      <c r="CE19" s="351" t="str">
        <f t="shared" si="25"/>
        <v>---</v>
      </c>
      <c r="CF19" s="327" t="str">
        <f t="shared" si="26"/>
        <v>/-/ /-/</v>
      </c>
      <c r="CG19" s="327">
        <f t="shared" si="27"/>
        <v>6</v>
      </c>
      <c r="CH19" s="327">
        <f t="shared" si="28"/>
        <v>2038</v>
      </c>
      <c r="CI19" s="351">
        <f t="shared" si="29"/>
        <v>3</v>
      </c>
      <c r="CJ19" s="351">
        <f t="shared" si="30"/>
        <v>2038</v>
      </c>
      <c r="CK19" s="347">
        <f t="shared" si="31"/>
        <v>12</v>
      </c>
      <c r="CL19" s="327">
        <f t="shared" si="32"/>
        <v>2037</v>
      </c>
      <c r="CM19" s="327" t="str">
        <f t="shared" si="33"/>
        <v>- - -</v>
      </c>
      <c r="CN19" s="327" t="str">
        <f t="shared" si="34"/>
        <v>. .</v>
      </c>
      <c r="CO19" s="327"/>
      <c r="CP19" s="348">
        <f t="shared" si="35"/>
        <v>720</v>
      </c>
      <c r="CQ19" s="348">
        <f t="shared" si="36"/>
        <v>-23729</v>
      </c>
      <c r="CR19" s="327">
        <f t="shared" si="37"/>
        <v>-1978</v>
      </c>
      <c r="CS19" s="348" t="str">
        <f t="shared" si="38"/>
        <v>Nam dưới 35</v>
      </c>
      <c r="CT19" s="351"/>
      <c r="CU19" s="351"/>
      <c r="CV19" s="351" t="str">
        <f t="shared" si="39"/>
        <v>Đến 30</v>
      </c>
      <c r="CW19" s="351" t="str">
        <f t="shared" si="40"/>
        <v>--</v>
      </c>
      <c r="CX19" s="351"/>
      <c r="CY19" s="351"/>
      <c r="CZ19" s="351"/>
      <c r="DA19" s="351"/>
      <c r="DB19" s="351"/>
      <c r="DC19" s="351"/>
      <c r="DD19" s="351"/>
      <c r="DE19" s="351"/>
      <c r="DF19" s="351"/>
      <c r="DG19" s="351" t="s">
        <v>29</v>
      </c>
      <c r="DH19" s="351" t="s">
        <v>9</v>
      </c>
      <c r="DI19" s="351" t="s">
        <v>10</v>
      </c>
      <c r="DJ19" s="351">
        <v>3</v>
      </c>
      <c r="DK19" s="351" t="s">
        <v>10</v>
      </c>
      <c r="DL19" s="423">
        <v>2014</v>
      </c>
      <c r="DM19" s="142">
        <f t="shared" si="41"/>
        <v>0</v>
      </c>
      <c r="DN19" s="142" t="str">
        <f t="shared" si="42"/>
        <v>- - -</v>
      </c>
      <c r="DO19" s="142" t="s">
        <v>9</v>
      </c>
      <c r="DP19" s="142" t="s">
        <v>10</v>
      </c>
      <c r="DQ19" s="142">
        <v>3</v>
      </c>
      <c r="DR19" s="142" t="s">
        <v>10</v>
      </c>
      <c r="DS19" s="142">
        <v>2014</v>
      </c>
      <c r="DU19" s="142" t="str">
        <f t="shared" si="43"/>
        <v>- - -</v>
      </c>
      <c r="DV19" s="142" t="str">
        <f t="shared" si="44"/>
        <v>---</v>
      </c>
    </row>
    <row r="20" spans="1:126" s="142" customFormat="1" ht="21.75" customHeight="1" x14ac:dyDescent="0.25">
      <c r="A20" s="139">
        <v>179</v>
      </c>
      <c r="B20" s="273">
        <v>4</v>
      </c>
      <c r="C20" s="139" t="str">
        <f t="shared" si="0"/>
        <v>Ông</v>
      </c>
      <c r="D20" s="328" t="s">
        <v>178</v>
      </c>
      <c r="E20" s="139" t="s">
        <v>39</v>
      </c>
      <c r="F20" s="276" t="s">
        <v>37</v>
      </c>
      <c r="G20" s="276" t="s">
        <v>10</v>
      </c>
      <c r="H20" s="276">
        <v>6</v>
      </c>
      <c r="I20" s="276" t="s">
        <v>10</v>
      </c>
      <c r="J20" s="139">
        <v>1962</v>
      </c>
      <c r="K20" s="139"/>
      <c r="L20" s="139"/>
      <c r="M20" s="143" t="e">
        <f>VLOOKUP(L20,'[1]- DLiêu Gốc -'!$B$2:$G$121,2,0)</f>
        <v>#N/A</v>
      </c>
      <c r="N20" s="299" t="s">
        <v>179</v>
      </c>
      <c r="O20" s="292" t="s">
        <v>180</v>
      </c>
      <c r="P20" s="165" t="str">
        <f>VLOOKUP(U20,'[1]- DLiêu Gốc -'!$B$2:$G$56,5,0)</f>
        <v>A1</v>
      </c>
      <c r="Q20" s="165" t="str">
        <f>VLOOKUP(U20,'[1]- DLiêu Gốc -'!$B$2:$G$56,6,0)</f>
        <v>- - -</v>
      </c>
      <c r="R20" s="139" t="s">
        <v>34</v>
      </c>
      <c r="S20" s="277" t="str">
        <f t="shared" si="1"/>
        <v>Giảng viên (hạng III)</v>
      </c>
      <c r="T20" s="278" t="str">
        <f t="shared" si="2"/>
        <v>V.07.01.03</v>
      </c>
      <c r="U20" s="180" t="s">
        <v>35</v>
      </c>
      <c r="V20" s="141" t="str">
        <f>VLOOKUP(U20,'[1]- DLiêu Gốc -'!$B$1:$G$121,2,0)</f>
        <v>V.07.01.03</v>
      </c>
      <c r="W20" s="274" t="str">
        <f t="shared" si="3"/>
        <v>Lương</v>
      </c>
      <c r="X20" s="274">
        <v>5</v>
      </c>
      <c r="Y20" s="274" t="str">
        <f t="shared" si="4"/>
        <v>/</v>
      </c>
      <c r="Z20" s="274">
        <f t="shared" si="5"/>
        <v>9</v>
      </c>
      <c r="AA20" s="274">
        <f t="shared" si="6"/>
        <v>3.66</v>
      </c>
      <c r="AB20" s="274">
        <f t="shared" si="7"/>
        <v>6</v>
      </c>
      <c r="AC20" s="274" t="str">
        <f t="shared" si="8"/>
        <v>/</v>
      </c>
      <c r="AD20" s="274">
        <f t="shared" si="9"/>
        <v>9</v>
      </c>
      <c r="AE20" s="274">
        <f t="shared" si="10"/>
        <v>3.99</v>
      </c>
      <c r="AF20" s="274" t="s">
        <v>9</v>
      </c>
      <c r="AG20" s="274" t="s">
        <v>10</v>
      </c>
      <c r="AH20" s="274" t="s">
        <v>88</v>
      </c>
      <c r="AI20" s="274" t="s">
        <v>10</v>
      </c>
      <c r="AJ20" s="274">
        <v>2016</v>
      </c>
      <c r="AK20" s="147"/>
      <c r="AL20" s="141"/>
      <c r="AM20" s="274">
        <f t="shared" si="11"/>
        <v>3</v>
      </c>
      <c r="AN20" s="274">
        <f t="shared" si="12"/>
        <v>-24195</v>
      </c>
      <c r="AO20" s="180"/>
      <c r="AP20" s="180"/>
      <c r="AQ20" s="274">
        <f>VLOOKUP(U20,'[1]- DLiêu Gốc -'!$B$1:$E$56,3,0)</f>
        <v>2.34</v>
      </c>
      <c r="AR20" s="274">
        <f>VLOOKUP(U20,'[1]- DLiêu Gốc -'!$B$1:$E$56,4,0)</f>
        <v>0.33</v>
      </c>
      <c r="AT20" s="274" t="str">
        <f t="shared" si="13"/>
        <v>PCTN</v>
      </c>
      <c r="AU20" s="279">
        <v>12</v>
      </c>
      <c r="AV20" s="280" t="s">
        <v>38</v>
      </c>
      <c r="AW20" s="279">
        <f t="shared" si="14"/>
        <v>13</v>
      </c>
      <c r="AX20" s="281" t="s">
        <v>38</v>
      </c>
      <c r="AY20" s="282">
        <v>5</v>
      </c>
      <c r="AZ20" s="169" t="s">
        <v>10</v>
      </c>
      <c r="BA20" s="283">
        <v>2016</v>
      </c>
      <c r="BB20" s="253"/>
      <c r="BC20" s="253"/>
      <c r="BD20" s="180"/>
      <c r="BE20" s="253">
        <v>5</v>
      </c>
      <c r="BF20" s="180">
        <f t="shared" si="15"/>
        <v>-24197</v>
      </c>
      <c r="BG20" s="140" t="str">
        <f t="shared" si="16"/>
        <v>- - -</v>
      </c>
      <c r="BH20" s="253" t="str">
        <f t="shared" si="17"/>
        <v>VC</v>
      </c>
      <c r="BI20" s="139"/>
      <c r="BJ20" s="347"/>
      <c r="BK20" s="347" t="s">
        <v>93</v>
      </c>
      <c r="BL20" s="327" t="str">
        <f t="shared" si="18"/>
        <v>A</v>
      </c>
      <c r="BM20" s="348" t="str">
        <f t="shared" si="19"/>
        <v>=&gt; s</v>
      </c>
      <c r="BN20" s="327">
        <f t="shared" si="20"/>
        <v>24219</v>
      </c>
      <c r="BO20" s="347" t="str">
        <f t="shared" si="21"/>
        <v>S</v>
      </c>
      <c r="BP20" s="327">
        <v>2010</v>
      </c>
      <c r="BQ20" s="349" t="s">
        <v>36</v>
      </c>
      <c r="BR20" s="349"/>
      <c r="BS20" s="350"/>
      <c r="BT20" s="351" t="str">
        <f t="shared" si="22"/>
        <v>Cùg Ng</v>
      </c>
      <c r="BU20" s="351" t="str">
        <f t="shared" si="23"/>
        <v>- - -</v>
      </c>
      <c r="BV20" s="351"/>
      <c r="BW20" s="351"/>
      <c r="BX20" s="351"/>
      <c r="BY20" s="351"/>
      <c r="BZ20" s="349" t="str">
        <f t="shared" si="24"/>
        <v>- - -</v>
      </c>
      <c r="CA20" s="327"/>
      <c r="CB20" s="327"/>
      <c r="CC20" s="352"/>
      <c r="CD20" s="352"/>
      <c r="CE20" s="351" t="str">
        <f t="shared" si="25"/>
        <v>---</v>
      </c>
      <c r="CF20" s="327" t="str">
        <f t="shared" si="26"/>
        <v>/-/ /-/</v>
      </c>
      <c r="CG20" s="327">
        <f t="shared" si="27"/>
        <v>7</v>
      </c>
      <c r="CH20" s="327">
        <f t="shared" si="28"/>
        <v>2022</v>
      </c>
      <c r="CI20" s="351">
        <f t="shared" si="29"/>
        <v>4</v>
      </c>
      <c r="CJ20" s="351">
        <f t="shared" si="30"/>
        <v>2022</v>
      </c>
      <c r="CK20" s="347">
        <f t="shared" si="31"/>
        <v>1</v>
      </c>
      <c r="CL20" s="327">
        <f t="shared" si="32"/>
        <v>2022</v>
      </c>
      <c r="CM20" s="327" t="str">
        <f t="shared" si="33"/>
        <v>- - -</v>
      </c>
      <c r="CN20" s="327" t="str">
        <f t="shared" si="34"/>
        <v>. .</v>
      </c>
      <c r="CO20" s="327"/>
      <c r="CP20" s="348">
        <f t="shared" si="35"/>
        <v>720</v>
      </c>
      <c r="CQ20" s="348">
        <f t="shared" si="36"/>
        <v>-23538</v>
      </c>
      <c r="CR20" s="327">
        <f t="shared" si="37"/>
        <v>-1962</v>
      </c>
      <c r="CS20" s="348" t="str">
        <f t="shared" si="38"/>
        <v>Nam dưới 35</v>
      </c>
      <c r="CT20" s="351"/>
      <c r="CU20" s="351"/>
      <c r="CV20" s="351" t="str">
        <f t="shared" si="39"/>
        <v>Đến 30</v>
      </c>
      <c r="CW20" s="351" t="str">
        <f t="shared" si="40"/>
        <v>TD</v>
      </c>
      <c r="CX20" s="351">
        <v>2009</v>
      </c>
      <c r="CY20" s="351"/>
      <c r="CZ20" s="351"/>
      <c r="DA20" s="351"/>
      <c r="DB20" s="351"/>
      <c r="DC20" s="351"/>
      <c r="DD20" s="351"/>
      <c r="DE20" s="351"/>
      <c r="DF20" s="351"/>
      <c r="DG20" s="351" t="s">
        <v>179</v>
      </c>
      <c r="DH20" s="351" t="s">
        <v>9</v>
      </c>
      <c r="DI20" s="351" t="s">
        <v>10</v>
      </c>
      <c r="DJ20" s="351" t="s">
        <v>88</v>
      </c>
      <c r="DK20" s="351" t="s">
        <v>10</v>
      </c>
      <c r="DL20" s="423">
        <v>2013</v>
      </c>
      <c r="DM20" s="142">
        <f t="shared" si="41"/>
        <v>0</v>
      </c>
      <c r="DN20" s="142" t="str">
        <f t="shared" si="42"/>
        <v>- - -</v>
      </c>
      <c r="DO20" s="142" t="s">
        <v>9</v>
      </c>
      <c r="DP20" s="142" t="s">
        <v>10</v>
      </c>
      <c r="DQ20" s="142" t="s">
        <v>88</v>
      </c>
      <c r="DR20" s="142" t="s">
        <v>10</v>
      </c>
      <c r="DS20" s="142">
        <v>2013</v>
      </c>
      <c r="DU20" s="142" t="str">
        <f t="shared" si="43"/>
        <v>- - -</v>
      </c>
      <c r="DV20" s="142" t="str">
        <f t="shared" si="44"/>
        <v>---</v>
      </c>
    </row>
    <row r="21" spans="1:126" s="142" customFormat="1" ht="21.75" customHeight="1" x14ac:dyDescent="0.25">
      <c r="A21" s="139">
        <v>189</v>
      </c>
      <c r="B21" s="273">
        <v>5</v>
      </c>
      <c r="C21" s="139" t="str">
        <f t="shared" si="0"/>
        <v>Bà</v>
      </c>
      <c r="D21" s="328" t="s">
        <v>181</v>
      </c>
      <c r="E21" s="139" t="s">
        <v>32</v>
      </c>
      <c r="F21" s="276" t="s">
        <v>151</v>
      </c>
      <c r="G21" s="276" t="s">
        <v>10</v>
      </c>
      <c r="H21" s="276" t="s">
        <v>88</v>
      </c>
      <c r="I21" s="276" t="s">
        <v>10</v>
      </c>
      <c r="J21" s="139">
        <v>1976</v>
      </c>
      <c r="K21" s="139"/>
      <c r="L21" s="139"/>
      <c r="M21" s="143" t="e">
        <f>VLOOKUP(L21,'[1]- DLiêu Gốc -'!$B$2:$G$121,2,0)</f>
        <v>#N/A</v>
      </c>
      <c r="N21" s="299" t="s">
        <v>182</v>
      </c>
      <c r="O21" s="292" t="s">
        <v>180</v>
      </c>
      <c r="P21" s="165" t="str">
        <f>VLOOKUP(U21,'[1]- DLiêu Gốc -'!$B$2:$G$56,5,0)</f>
        <v>A1</v>
      </c>
      <c r="Q21" s="165" t="str">
        <f>VLOOKUP(U21,'[1]- DLiêu Gốc -'!$B$2:$G$56,6,0)</f>
        <v>- - -</v>
      </c>
      <c r="R21" s="139" t="s">
        <v>34</v>
      </c>
      <c r="S21" s="277" t="str">
        <f t="shared" si="1"/>
        <v>Giảng viên (hạng III)</v>
      </c>
      <c r="T21" s="278" t="str">
        <f t="shared" si="2"/>
        <v>V.07.01.03</v>
      </c>
      <c r="U21" s="180" t="s">
        <v>35</v>
      </c>
      <c r="V21" s="141" t="str">
        <f>VLOOKUP(U21,'[1]- DLiêu Gốc -'!$B$1:$G$121,2,0)</f>
        <v>V.07.01.03</v>
      </c>
      <c r="W21" s="274" t="str">
        <f t="shared" si="3"/>
        <v>Lương</v>
      </c>
      <c r="X21" s="274">
        <v>4</v>
      </c>
      <c r="Y21" s="274" t="str">
        <f t="shared" si="4"/>
        <v>/</v>
      </c>
      <c r="Z21" s="274">
        <f t="shared" si="5"/>
        <v>9</v>
      </c>
      <c r="AA21" s="274">
        <f t="shared" si="6"/>
        <v>3.33</v>
      </c>
      <c r="AB21" s="274">
        <f t="shared" si="7"/>
        <v>5</v>
      </c>
      <c r="AC21" s="274" t="str">
        <f t="shared" si="8"/>
        <v>/</v>
      </c>
      <c r="AD21" s="274">
        <f t="shared" si="9"/>
        <v>9</v>
      </c>
      <c r="AE21" s="274">
        <f t="shared" si="10"/>
        <v>3.66</v>
      </c>
      <c r="AF21" s="274" t="s">
        <v>9</v>
      </c>
      <c r="AG21" s="274" t="s">
        <v>10</v>
      </c>
      <c r="AH21" s="274">
        <v>5</v>
      </c>
      <c r="AI21" s="274" t="s">
        <v>10</v>
      </c>
      <c r="AJ21" s="274">
        <v>2014</v>
      </c>
      <c r="AK21" s="147"/>
      <c r="AL21" s="141"/>
      <c r="AM21" s="274">
        <f t="shared" si="11"/>
        <v>3</v>
      </c>
      <c r="AN21" s="274">
        <f t="shared" si="12"/>
        <v>-24173</v>
      </c>
      <c r="AO21" s="180"/>
      <c r="AP21" s="180"/>
      <c r="AQ21" s="274">
        <f>VLOOKUP(U21,'[1]- DLiêu Gốc -'!$B$1:$E$56,3,0)</f>
        <v>2.34</v>
      </c>
      <c r="AR21" s="274">
        <f>VLOOKUP(U21,'[1]- DLiêu Gốc -'!$B$1:$E$56,4,0)</f>
        <v>0.33</v>
      </c>
      <c r="AT21" s="274" t="str">
        <f t="shared" si="13"/>
        <v>PCTN</v>
      </c>
      <c r="AU21" s="279">
        <v>12</v>
      </c>
      <c r="AV21" s="280" t="s">
        <v>38</v>
      </c>
      <c r="AW21" s="279">
        <f t="shared" si="14"/>
        <v>13</v>
      </c>
      <c r="AX21" s="281" t="s">
        <v>38</v>
      </c>
      <c r="AY21" s="282">
        <v>5</v>
      </c>
      <c r="AZ21" s="169" t="s">
        <v>10</v>
      </c>
      <c r="BA21" s="283">
        <v>2016</v>
      </c>
      <c r="BB21" s="253"/>
      <c r="BC21" s="253"/>
      <c r="BD21" s="180"/>
      <c r="BE21" s="253">
        <v>5</v>
      </c>
      <c r="BF21" s="180">
        <f t="shared" si="15"/>
        <v>-24197</v>
      </c>
      <c r="BG21" s="140" t="str">
        <f t="shared" si="16"/>
        <v>- - -</v>
      </c>
      <c r="BH21" s="253" t="str">
        <f t="shared" si="17"/>
        <v>VC</v>
      </c>
      <c r="BI21" s="139"/>
      <c r="BJ21" s="347"/>
      <c r="BK21" s="347" t="s">
        <v>93</v>
      </c>
      <c r="BL21" s="327" t="str">
        <f t="shared" si="18"/>
        <v>A</v>
      </c>
      <c r="BM21" s="348" t="str">
        <f t="shared" si="19"/>
        <v>=&gt; s</v>
      </c>
      <c r="BN21" s="327">
        <f t="shared" si="20"/>
        <v>24197</v>
      </c>
      <c r="BO21" s="347" t="str">
        <f t="shared" si="21"/>
        <v>S</v>
      </c>
      <c r="BP21" s="327">
        <v>2013</v>
      </c>
      <c r="BQ21" s="349" t="s">
        <v>36</v>
      </c>
      <c r="BR21" s="349"/>
      <c r="BS21" s="350"/>
      <c r="BT21" s="351" t="str">
        <f t="shared" si="22"/>
        <v>Cùg Ng</v>
      </c>
      <c r="BU21" s="351" t="str">
        <f t="shared" si="23"/>
        <v>- - -</v>
      </c>
      <c r="BV21" s="351"/>
      <c r="BW21" s="351"/>
      <c r="BX21" s="351"/>
      <c r="BY21" s="351"/>
      <c r="BZ21" s="349" t="str">
        <f t="shared" si="24"/>
        <v>- - -</v>
      </c>
      <c r="CA21" s="327"/>
      <c r="CB21" s="327"/>
      <c r="CC21" s="352"/>
      <c r="CD21" s="352"/>
      <c r="CE21" s="351" t="str">
        <f t="shared" si="25"/>
        <v>---</v>
      </c>
      <c r="CF21" s="327" t="str">
        <f t="shared" si="26"/>
        <v>/-/ /-/</v>
      </c>
      <c r="CG21" s="327">
        <f t="shared" si="27"/>
        <v>4</v>
      </c>
      <c r="CH21" s="327">
        <f t="shared" si="28"/>
        <v>2031</v>
      </c>
      <c r="CI21" s="351">
        <f t="shared" si="29"/>
        <v>1</v>
      </c>
      <c r="CJ21" s="351">
        <f t="shared" si="30"/>
        <v>2031</v>
      </c>
      <c r="CK21" s="347">
        <f t="shared" si="31"/>
        <v>10</v>
      </c>
      <c r="CL21" s="327">
        <f t="shared" si="32"/>
        <v>2030</v>
      </c>
      <c r="CM21" s="327" t="str">
        <f t="shared" si="33"/>
        <v>- - -</v>
      </c>
      <c r="CN21" s="327" t="str">
        <f t="shared" si="34"/>
        <v>. .</v>
      </c>
      <c r="CO21" s="327"/>
      <c r="CP21" s="348">
        <f t="shared" si="35"/>
        <v>660</v>
      </c>
      <c r="CQ21" s="348">
        <f t="shared" si="36"/>
        <v>-23703</v>
      </c>
      <c r="CR21" s="327">
        <f t="shared" si="37"/>
        <v>-1976</v>
      </c>
      <c r="CS21" s="348" t="str">
        <f t="shared" si="38"/>
        <v>Nữ dưới 30</v>
      </c>
      <c r="CT21" s="351"/>
      <c r="CU21" s="351"/>
      <c r="CV21" s="351" t="str">
        <f t="shared" si="39"/>
        <v>Đến 30</v>
      </c>
      <c r="CW21" s="351" t="str">
        <f t="shared" si="40"/>
        <v>TD</v>
      </c>
      <c r="CX21" s="351">
        <v>2009</v>
      </c>
      <c r="CY21" s="351"/>
      <c r="CZ21" s="351"/>
      <c r="DA21" s="351"/>
      <c r="DB21" s="351"/>
      <c r="DC21" s="351"/>
      <c r="DD21" s="351"/>
      <c r="DE21" s="351"/>
      <c r="DF21" s="351"/>
      <c r="DG21" s="351" t="s">
        <v>182</v>
      </c>
      <c r="DH21" s="351" t="s">
        <v>9</v>
      </c>
      <c r="DI21" s="351" t="s">
        <v>10</v>
      </c>
      <c r="DJ21" s="351">
        <v>5</v>
      </c>
      <c r="DK21" s="351" t="s">
        <v>10</v>
      </c>
      <c r="DL21" s="423">
        <v>2014</v>
      </c>
      <c r="DM21" s="142">
        <f t="shared" si="41"/>
        <v>0</v>
      </c>
      <c r="DN21" s="142" t="str">
        <f t="shared" si="42"/>
        <v>- - -</v>
      </c>
      <c r="DO21" s="142" t="s">
        <v>9</v>
      </c>
      <c r="DP21" s="142" t="s">
        <v>10</v>
      </c>
      <c r="DQ21" s="142">
        <v>5</v>
      </c>
      <c r="DR21" s="142" t="s">
        <v>10</v>
      </c>
      <c r="DS21" s="142">
        <v>2014</v>
      </c>
      <c r="DU21" s="142" t="str">
        <f t="shared" si="43"/>
        <v>- - -</v>
      </c>
      <c r="DV21" s="142" t="str">
        <f t="shared" si="44"/>
        <v>---</v>
      </c>
    </row>
    <row r="22" spans="1:126" s="142" customFormat="1" ht="21.75" customHeight="1" x14ac:dyDescent="0.25">
      <c r="A22" s="139">
        <v>200</v>
      </c>
      <c r="B22" s="273">
        <v>6</v>
      </c>
      <c r="C22" s="139" t="str">
        <f t="shared" si="0"/>
        <v>Bà</v>
      </c>
      <c r="D22" s="328" t="s">
        <v>183</v>
      </c>
      <c r="E22" s="139" t="s">
        <v>32</v>
      </c>
      <c r="F22" s="276" t="s">
        <v>104</v>
      </c>
      <c r="G22" s="276" t="s">
        <v>10</v>
      </c>
      <c r="H22" s="276" t="s">
        <v>46</v>
      </c>
      <c r="I22" s="276" t="s">
        <v>10</v>
      </c>
      <c r="J22" s="139" t="s">
        <v>165</v>
      </c>
      <c r="K22" s="139" t="e">
        <f>IF(AND((M22+0)&gt;0.3,(M22+0)&lt;1.5),"CVụ","- -")</f>
        <v>#VALUE!</v>
      </c>
      <c r="L22" s="139" t="s">
        <v>105</v>
      </c>
      <c r="M22" s="143" t="str">
        <f>VLOOKUP(L22,'[1]- DLiêu Gốc -'!$B$2:$G$121,2,0)</f>
        <v>0,4</v>
      </c>
      <c r="N22" s="299" t="s">
        <v>184</v>
      </c>
      <c r="O22" s="292" t="s">
        <v>116</v>
      </c>
      <c r="P22" s="165" t="str">
        <f>VLOOKUP(U22,'[1]- DLiêu Gốc -'!$B$2:$G$56,5,0)</f>
        <v>A1</v>
      </c>
      <c r="Q22" s="165" t="str">
        <f>VLOOKUP(U22,'[1]- DLiêu Gốc -'!$B$2:$G$56,6,0)</f>
        <v>- - -</v>
      </c>
      <c r="R22" s="139" t="s">
        <v>34</v>
      </c>
      <c r="S22" s="277" t="str">
        <f t="shared" si="1"/>
        <v>Giảng viên (hạng III)</v>
      </c>
      <c r="T22" s="278" t="str">
        <f t="shared" si="2"/>
        <v>V.07.01.03</v>
      </c>
      <c r="U22" s="180" t="s">
        <v>35</v>
      </c>
      <c r="V22" s="141" t="str">
        <f>VLOOKUP(U22,'[1]- DLiêu Gốc -'!$B$1:$G$121,2,0)</f>
        <v>V.07.01.03</v>
      </c>
      <c r="W22" s="274" t="str">
        <f t="shared" si="3"/>
        <v>Lương</v>
      </c>
      <c r="X22" s="274">
        <v>4</v>
      </c>
      <c r="Y22" s="274" t="str">
        <f t="shared" si="4"/>
        <v>/</v>
      </c>
      <c r="Z22" s="274">
        <f t="shared" si="5"/>
        <v>9</v>
      </c>
      <c r="AA22" s="274">
        <f t="shared" si="6"/>
        <v>3.33</v>
      </c>
      <c r="AB22" s="274">
        <f t="shared" si="7"/>
        <v>5</v>
      </c>
      <c r="AC22" s="274" t="str">
        <f t="shared" si="8"/>
        <v>/</v>
      </c>
      <c r="AD22" s="274">
        <f t="shared" si="9"/>
        <v>9</v>
      </c>
      <c r="AE22" s="274">
        <f t="shared" si="10"/>
        <v>3.66</v>
      </c>
      <c r="AF22" s="274" t="s">
        <v>9</v>
      </c>
      <c r="AG22" s="274" t="s">
        <v>10</v>
      </c>
      <c r="AH22" s="274" t="s">
        <v>40</v>
      </c>
      <c r="AI22" s="274" t="s">
        <v>10</v>
      </c>
      <c r="AJ22" s="274">
        <v>2013</v>
      </c>
      <c r="AK22" s="147"/>
      <c r="AL22" s="141"/>
      <c r="AM22" s="274">
        <f t="shared" si="11"/>
        <v>3</v>
      </c>
      <c r="AN22" s="274">
        <f t="shared" si="12"/>
        <v>-24167</v>
      </c>
      <c r="AO22" s="180"/>
      <c r="AP22" s="180"/>
      <c r="AQ22" s="274">
        <f>VLOOKUP(U22,'[1]- DLiêu Gốc -'!$B$1:$E$56,3,0)</f>
        <v>2.34</v>
      </c>
      <c r="AR22" s="274">
        <f>VLOOKUP(U22,'[1]- DLiêu Gốc -'!$B$1:$E$56,4,0)</f>
        <v>0.33</v>
      </c>
      <c r="AT22" s="274" t="str">
        <f t="shared" si="13"/>
        <v>PCTN</v>
      </c>
      <c r="AU22" s="279">
        <v>12</v>
      </c>
      <c r="AV22" s="280" t="s">
        <v>38</v>
      </c>
      <c r="AW22" s="279">
        <f t="shared" si="14"/>
        <v>13</v>
      </c>
      <c r="AX22" s="281" t="s">
        <v>38</v>
      </c>
      <c r="AY22" s="282">
        <v>5</v>
      </c>
      <c r="AZ22" s="169" t="s">
        <v>10</v>
      </c>
      <c r="BA22" s="283">
        <v>2016</v>
      </c>
      <c r="BB22" s="253"/>
      <c r="BC22" s="253"/>
      <c r="BD22" s="180"/>
      <c r="BE22" s="253">
        <v>5</v>
      </c>
      <c r="BF22" s="180">
        <f t="shared" si="15"/>
        <v>-24197</v>
      </c>
      <c r="BG22" s="140" t="str">
        <f t="shared" si="16"/>
        <v>- - -</v>
      </c>
      <c r="BH22" s="253" t="str">
        <f t="shared" si="17"/>
        <v>VC</v>
      </c>
      <c r="BI22" s="139"/>
      <c r="BJ22" s="347"/>
      <c r="BK22" s="347" t="s">
        <v>93</v>
      </c>
      <c r="BL22" s="327" t="str">
        <f t="shared" si="18"/>
        <v>A</v>
      </c>
      <c r="BM22" s="348" t="str">
        <f t="shared" si="19"/>
        <v>=&gt; s</v>
      </c>
      <c r="BN22" s="327">
        <f t="shared" si="20"/>
        <v>24191</v>
      </c>
      <c r="BO22" s="347" t="str">
        <f t="shared" si="21"/>
        <v>S</v>
      </c>
      <c r="BP22" s="327">
        <v>2010</v>
      </c>
      <c r="BQ22" s="349" t="s">
        <v>36</v>
      </c>
      <c r="BR22" s="349"/>
      <c r="BS22" s="350"/>
      <c r="BT22" s="351" t="str">
        <f t="shared" si="22"/>
        <v>Cùg Ng</v>
      </c>
      <c r="BU22" s="351" t="str">
        <f t="shared" si="23"/>
        <v>- - -</v>
      </c>
      <c r="BV22" s="351"/>
      <c r="BW22" s="351"/>
      <c r="BX22" s="351"/>
      <c r="BY22" s="351"/>
      <c r="BZ22" s="349" t="str">
        <f t="shared" si="24"/>
        <v>- - -</v>
      </c>
      <c r="CA22" s="327"/>
      <c r="CB22" s="327"/>
      <c r="CC22" s="352"/>
      <c r="CD22" s="352"/>
      <c r="CE22" s="351" t="str">
        <f t="shared" si="25"/>
        <v>---</v>
      </c>
      <c r="CF22" s="327" t="str">
        <f t="shared" si="26"/>
        <v>/-/ /-/</v>
      </c>
      <c r="CG22" s="327">
        <f t="shared" si="27"/>
        <v>11</v>
      </c>
      <c r="CH22" s="327">
        <f t="shared" si="28"/>
        <v>2033</v>
      </c>
      <c r="CI22" s="351">
        <f t="shared" si="29"/>
        <v>8</v>
      </c>
      <c r="CJ22" s="351">
        <f t="shared" si="30"/>
        <v>2033</v>
      </c>
      <c r="CK22" s="347">
        <f t="shared" si="31"/>
        <v>5</v>
      </c>
      <c r="CL22" s="327">
        <f t="shared" si="32"/>
        <v>2033</v>
      </c>
      <c r="CM22" s="327" t="str">
        <f t="shared" si="33"/>
        <v>- - -</v>
      </c>
      <c r="CN22" s="327" t="str">
        <f t="shared" si="34"/>
        <v>. .</v>
      </c>
      <c r="CO22" s="327"/>
      <c r="CP22" s="348">
        <f t="shared" si="35"/>
        <v>660</v>
      </c>
      <c r="CQ22" s="348">
        <f t="shared" si="36"/>
        <v>-23734</v>
      </c>
      <c r="CR22" s="327">
        <f t="shared" si="37"/>
        <v>-1978</v>
      </c>
      <c r="CS22" s="348" t="str">
        <f t="shared" si="38"/>
        <v>Nữ dưới 30</v>
      </c>
      <c r="CT22" s="351"/>
      <c r="CU22" s="351"/>
      <c r="CV22" s="351" t="str">
        <f t="shared" si="39"/>
        <v>Đến 30</v>
      </c>
      <c r="CW22" s="351" t="str">
        <f t="shared" si="40"/>
        <v>TD</v>
      </c>
      <c r="CX22" s="351">
        <v>2008</v>
      </c>
      <c r="CY22" s="351"/>
      <c r="CZ22" s="351"/>
      <c r="DA22" s="351"/>
      <c r="DB22" s="351"/>
      <c r="DC22" s="351"/>
      <c r="DD22" s="351"/>
      <c r="DE22" s="351"/>
      <c r="DF22" s="351"/>
      <c r="DG22" s="351" t="s">
        <v>184</v>
      </c>
      <c r="DH22" s="351" t="s">
        <v>9</v>
      </c>
      <c r="DI22" s="351" t="s">
        <v>10</v>
      </c>
      <c r="DJ22" s="351" t="s">
        <v>40</v>
      </c>
      <c r="DK22" s="351" t="s">
        <v>10</v>
      </c>
      <c r="DL22" s="423">
        <v>2013</v>
      </c>
      <c r="DM22" s="142">
        <f t="shared" si="41"/>
        <v>0</v>
      </c>
      <c r="DN22" s="142" t="str">
        <f t="shared" si="42"/>
        <v>- - -</v>
      </c>
      <c r="DO22" s="142" t="s">
        <v>9</v>
      </c>
      <c r="DP22" s="142" t="s">
        <v>10</v>
      </c>
      <c r="DQ22" s="142" t="s">
        <v>40</v>
      </c>
      <c r="DR22" s="142" t="s">
        <v>10</v>
      </c>
      <c r="DS22" s="142">
        <v>2013</v>
      </c>
      <c r="DU22" s="142" t="str">
        <f t="shared" si="43"/>
        <v>- - -</v>
      </c>
      <c r="DV22" s="142" t="str">
        <f t="shared" si="44"/>
        <v>---</v>
      </c>
    </row>
    <row r="23" spans="1:126" s="142" customFormat="1" ht="28.5" customHeight="1" x14ac:dyDescent="0.25">
      <c r="A23" s="139">
        <v>206</v>
      </c>
      <c r="B23" s="273">
        <v>7</v>
      </c>
      <c r="C23" s="139" t="str">
        <f t="shared" si="0"/>
        <v>Bà</v>
      </c>
      <c r="D23" s="328" t="s">
        <v>185</v>
      </c>
      <c r="E23" s="139" t="s">
        <v>32</v>
      </c>
      <c r="F23" s="276" t="s">
        <v>46</v>
      </c>
      <c r="G23" s="276" t="s">
        <v>10</v>
      </c>
      <c r="H23" s="276" t="s">
        <v>46</v>
      </c>
      <c r="I23" s="276" t="s">
        <v>10</v>
      </c>
      <c r="J23" s="139" t="s">
        <v>165</v>
      </c>
      <c r="K23" s="139"/>
      <c r="L23" s="139"/>
      <c r="M23" s="143" t="e">
        <f>VLOOKUP(L23,'[1]- DLiêu Gốc -'!$B$2:$G$121,2,0)</f>
        <v>#N/A</v>
      </c>
      <c r="N23" s="299" t="s">
        <v>115</v>
      </c>
      <c r="O23" s="292" t="s">
        <v>116</v>
      </c>
      <c r="P23" s="165" t="str">
        <f>VLOOKUP(U23,'[1]- DLiêu Gốc -'!$B$2:$G$56,5,0)</f>
        <v>A1</v>
      </c>
      <c r="Q23" s="165" t="str">
        <f>VLOOKUP(U23,'[1]- DLiêu Gốc -'!$B$2:$G$56,6,0)</f>
        <v>- - -</v>
      </c>
      <c r="R23" s="139" t="s">
        <v>34</v>
      </c>
      <c r="S23" s="277" t="str">
        <f t="shared" si="1"/>
        <v>Giảng viên (hạng III)</v>
      </c>
      <c r="T23" s="278" t="str">
        <f t="shared" si="2"/>
        <v>V.07.01.03</v>
      </c>
      <c r="U23" s="180" t="s">
        <v>35</v>
      </c>
      <c r="V23" s="141" t="str">
        <f>VLOOKUP(U23,'[1]- DLiêu Gốc -'!$B$1:$G$121,2,0)</f>
        <v>V.07.01.03</v>
      </c>
      <c r="W23" s="274" t="str">
        <f t="shared" si="3"/>
        <v>Lương</v>
      </c>
      <c r="X23" s="274">
        <v>3</v>
      </c>
      <c r="Y23" s="274" t="str">
        <f t="shared" si="4"/>
        <v>/</v>
      </c>
      <c r="Z23" s="274">
        <f t="shared" si="5"/>
        <v>9</v>
      </c>
      <c r="AA23" s="274">
        <f t="shared" si="6"/>
        <v>3</v>
      </c>
      <c r="AB23" s="274">
        <f t="shared" si="7"/>
        <v>4</v>
      </c>
      <c r="AC23" s="274" t="str">
        <f t="shared" si="8"/>
        <v>/</v>
      </c>
      <c r="AD23" s="274">
        <f t="shared" si="9"/>
        <v>9</v>
      </c>
      <c r="AE23" s="274">
        <f t="shared" si="10"/>
        <v>3.33</v>
      </c>
      <c r="AF23" s="274" t="s">
        <v>9</v>
      </c>
      <c r="AG23" s="274" t="s">
        <v>10</v>
      </c>
      <c r="AH23" s="274">
        <v>8</v>
      </c>
      <c r="AI23" s="274" t="s">
        <v>10</v>
      </c>
      <c r="AJ23" s="274">
        <v>2013</v>
      </c>
      <c r="AK23" s="147"/>
      <c r="AL23" s="141"/>
      <c r="AM23" s="274">
        <f t="shared" si="11"/>
        <v>3</v>
      </c>
      <c r="AN23" s="274">
        <f t="shared" si="12"/>
        <v>-24164</v>
      </c>
      <c r="AO23" s="180"/>
      <c r="AP23" s="180"/>
      <c r="AQ23" s="274">
        <f>VLOOKUP(U23,'[1]- DLiêu Gốc -'!$B$1:$E$56,3,0)</f>
        <v>2.34</v>
      </c>
      <c r="AR23" s="274">
        <f>VLOOKUP(U23,'[1]- DLiêu Gốc -'!$B$1:$E$56,4,0)</f>
        <v>0.33</v>
      </c>
      <c r="AT23" s="274" t="str">
        <f t="shared" si="13"/>
        <v>PCTN</v>
      </c>
      <c r="AU23" s="279">
        <v>10</v>
      </c>
      <c r="AV23" s="280" t="s">
        <v>38</v>
      </c>
      <c r="AW23" s="279">
        <f t="shared" si="14"/>
        <v>11</v>
      </c>
      <c r="AX23" s="281" t="s">
        <v>38</v>
      </c>
      <c r="AY23" s="282">
        <v>5</v>
      </c>
      <c r="AZ23" s="169" t="s">
        <v>10</v>
      </c>
      <c r="BA23" s="283">
        <v>2016</v>
      </c>
      <c r="BB23" s="253"/>
      <c r="BC23" s="253"/>
      <c r="BD23" s="180"/>
      <c r="BE23" s="253">
        <v>5</v>
      </c>
      <c r="BF23" s="180">
        <f t="shared" si="15"/>
        <v>-24197</v>
      </c>
      <c r="BG23" s="140" t="str">
        <f t="shared" si="16"/>
        <v>- - -</v>
      </c>
      <c r="BH23" s="253" t="str">
        <f t="shared" si="17"/>
        <v>VC</v>
      </c>
      <c r="BI23" s="139"/>
      <c r="BJ23" s="347"/>
      <c r="BK23" s="347" t="s">
        <v>93</v>
      </c>
      <c r="BL23" s="327" t="str">
        <f t="shared" si="18"/>
        <v>A</v>
      </c>
      <c r="BM23" s="348" t="str">
        <f t="shared" si="19"/>
        <v>=&gt; s</v>
      </c>
      <c r="BN23" s="327">
        <f t="shared" si="20"/>
        <v>24188</v>
      </c>
      <c r="BO23" s="347" t="str">
        <f t="shared" si="21"/>
        <v>S</v>
      </c>
      <c r="BP23" s="327">
        <v>2013</v>
      </c>
      <c r="BQ23" s="349" t="s">
        <v>36</v>
      </c>
      <c r="BR23" s="349"/>
      <c r="BS23" s="350"/>
      <c r="BT23" s="351" t="str">
        <f t="shared" si="22"/>
        <v>Cùg Ng</v>
      </c>
      <c r="BU23" s="351" t="str">
        <f t="shared" si="23"/>
        <v>- - -</v>
      </c>
      <c r="BV23" s="351"/>
      <c r="BW23" s="351"/>
      <c r="BX23" s="351"/>
      <c r="BY23" s="351"/>
      <c r="BZ23" s="349" t="str">
        <f t="shared" si="24"/>
        <v>- - -</v>
      </c>
      <c r="CA23" s="327"/>
      <c r="CB23" s="327"/>
      <c r="CC23" s="352"/>
      <c r="CD23" s="352"/>
      <c r="CE23" s="351" t="str">
        <f t="shared" si="25"/>
        <v>---</v>
      </c>
      <c r="CF23" s="327" t="str">
        <f t="shared" si="26"/>
        <v>/-/ /-/</v>
      </c>
      <c r="CG23" s="327">
        <f t="shared" si="27"/>
        <v>11</v>
      </c>
      <c r="CH23" s="327">
        <f t="shared" si="28"/>
        <v>2033</v>
      </c>
      <c r="CI23" s="351">
        <f t="shared" si="29"/>
        <v>8</v>
      </c>
      <c r="CJ23" s="351">
        <f t="shared" si="30"/>
        <v>2033</v>
      </c>
      <c r="CK23" s="347">
        <f t="shared" si="31"/>
        <v>5</v>
      </c>
      <c r="CL23" s="327">
        <f t="shared" si="32"/>
        <v>2033</v>
      </c>
      <c r="CM23" s="327" t="str">
        <f t="shared" si="33"/>
        <v>- - -</v>
      </c>
      <c r="CN23" s="327" t="str">
        <f t="shared" si="34"/>
        <v>. .</v>
      </c>
      <c r="CO23" s="327"/>
      <c r="CP23" s="348">
        <f t="shared" si="35"/>
        <v>660</v>
      </c>
      <c r="CQ23" s="348">
        <f t="shared" si="36"/>
        <v>-23734</v>
      </c>
      <c r="CR23" s="327">
        <f t="shared" si="37"/>
        <v>-1978</v>
      </c>
      <c r="CS23" s="348" t="str">
        <f t="shared" si="38"/>
        <v>Nữ dưới 30</v>
      </c>
      <c r="CT23" s="351"/>
      <c r="CU23" s="351"/>
      <c r="CV23" s="351" t="str">
        <f t="shared" si="39"/>
        <v>Đến 30</v>
      </c>
      <c r="CW23" s="351" t="str">
        <f t="shared" si="40"/>
        <v>--</v>
      </c>
      <c r="CX23" s="351"/>
      <c r="CY23" s="351"/>
      <c r="CZ23" s="351"/>
      <c r="DA23" s="351"/>
      <c r="DB23" s="351"/>
      <c r="DC23" s="351"/>
      <c r="DD23" s="351"/>
      <c r="DE23" s="351"/>
      <c r="DF23" s="351"/>
      <c r="DG23" s="351" t="s">
        <v>115</v>
      </c>
      <c r="DH23" s="351" t="s">
        <v>9</v>
      </c>
      <c r="DI23" s="351" t="s">
        <v>10</v>
      </c>
      <c r="DJ23" s="351">
        <v>8</v>
      </c>
      <c r="DK23" s="351" t="s">
        <v>10</v>
      </c>
      <c r="DL23" s="423">
        <v>2013</v>
      </c>
      <c r="DM23" s="142">
        <f t="shared" si="41"/>
        <v>0</v>
      </c>
      <c r="DN23" s="142" t="str">
        <f t="shared" si="42"/>
        <v>- - -</v>
      </c>
      <c r="DO23" s="142" t="s">
        <v>9</v>
      </c>
      <c r="DP23" s="142" t="s">
        <v>10</v>
      </c>
      <c r="DQ23" s="142">
        <v>8</v>
      </c>
      <c r="DR23" s="142" t="s">
        <v>10</v>
      </c>
      <c r="DS23" s="142">
        <v>2013</v>
      </c>
      <c r="DU23" s="142" t="str">
        <f t="shared" si="43"/>
        <v>- - -</v>
      </c>
      <c r="DV23" s="142" t="str">
        <f t="shared" si="44"/>
        <v>---</v>
      </c>
    </row>
    <row r="24" spans="1:126" s="142" customFormat="1" ht="28.5" customHeight="1" x14ac:dyDescent="0.25">
      <c r="A24" s="139">
        <v>220</v>
      </c>
      <c r="B24" s="273">
        <v>8</v>
      </c>
      <c r="C24" s="139" t="str">
        <f t="shared" si="0"/>
        <v>Bà</v>
      </c>
      <c r="D24" s="328" t="s">
        <v>186</v>
      </c>
      <c r="E24" s="139" t="s">
        <v>32</v>
      </c>
      <c r="F24" s="276" t="s">
        <v>177</v>
      </c>
      <c r="G24" s="276" t="s">
        <v>10</v>
      </c>
      <c r="H24" s="276" t="s">
        <v>91</v>
      </c>
      <c r="I24" s="276" t="s">
        <v>10</v>
      </c>
      <c r="J24" s="139" t="s">
        <v>187</v>
      </c>
      <c r="K24" s="139" t="e">
        <f>IF(AND((M24+0)&gt;0.3,(M24+0)&lt;1.5),"CVụ","- -")</f>
        <v>#VALUE!</v>
      </c>
      <c r="L24" s="139" t="s">
        <v>105</v>
      </c>
      <c r="M24" s="143" t="str">
        <f>VLOOKUP(L24,'[1]- DLiêu Gốc -'!$B$2:$G$121,2,0)</f>
        <v>0,4</v>
      </c>
      <c r="N24" s="299" t="s">
        <v>188</v>
      </c>
      <c r="O24" s="292" t="s">
        <v>116</v>
      </c>
      <c r="P24" s="165" t="str">
        <f>VLOOKUP(U24,'[1]- DLiêu Gốc -'!$B$2:$G$56,5,0)</f>
        <v>A2</v>
      </c>
      <c r="Q24" s="165" t="str">
        <f>VLOOKUP(U24,'[1]- DLiêu Gốc -'!$B$2:$G$56,6,0)</f>
        <v>A2.1</v>
      </c>
      <c r="R24" s="139" t="s">
        <v>34</v>
      </c>
      <c r="S24" s="277" t="str">
        <f t="shared" si="1"/>
        <v>Giảng viên chính (hạng II)</v>
      </c>
      <c r="T24" s="278" t="str">
        <f t="shared" si="2"/>
        <v>V.07.01.02</v>
      </c>
      <c r="U24" s="180" t="s">
        <v>45</v>
      </c>
      <c r="V24" s="141" t="str">
        <f>VLOOKUP(U24,'[1]- DLiêu Gốc -'!$B$1:$G$121,2,0)</f>
        <v>V.07.01.02</v>
      </c>
      <c r="W24" s="274" t="str">
        <f t="shared" si="3"/>
        <v>Lương</v>
      </c>
      <c r="X24" s="274">
        <v>4</v>
      </c>
      <c r="Y24" s="274" t="str">
        <f t="shared" si="4"/>
        <v>/</v>
      </c>
      <c r="Z24" s="274">
        <f t="shared" si="5"/>
        <v>8</v>
      </c>
      <c r="AA24" s="274">
        <f t="shared" si="6"/>
        <v>5.42</v>
      </c>
      <c r="AB24" s="274">
        <f t="shared" si="7"/>
        <v>5</v>
      </c>
      <c r="AC24" s="274" t="str">
        <f t="shared" si="8"/>
        <v>/</v>
      </c>
      <c r="AD24" s="274">
        <f t="shared" si="9"/>
        <v>8</v>
      </c>
      <c r="AE24" s="274">
        <f t="shared" si="10"/>
        <v>5.76</v>
      </c>
      <c r="AF24" s="274" t="s">
        <v>9</v>
      </c>
      <c r="AG24" s="274" t="s">
        <v>10</v>
      </c>
      <c r="AH24" s="274" t="s">
        <v>30</v>
      </c>
      <c r="AI24" s="274" t="s">
        <v>10</v>
      </c>
      <c r="AJ24" s="274">
        <v>2014</v>
      </c>
      <c r="AK24" s="147"/>
      <c r="AL24" s="141"/>
      <c r="AM24" s="274">
        <f t="shared" si="11"/>
        <v>3</v>
      </c>
      <c r="AN24" s="274">
        <f t="shared" si="12"/>
        <v>-24176</v>
      </c>
      <c r="AO24" s="180"/>
      <c r="AP24" s="180"/>
      <c r="AQ24" s="274">
        <f>VLOOKUP(U24,'[1]- DLiêu Gốc -'!$B$1:$E$56,3,0)</f>
        <v>4.4000000000000004</v>
      </c>
      <c r="AR24" s="274">
        <f>VLOOKUP(U24,'[1]- DLiêu Gốc -'!$B$1:$E$56,4,0)</f>
        <v>0.34</v>
      </c>
      <c r="AT24" s="274" t="str">
        <f t="shared" si="13"/>
        <v>PCTN</v>
      </c>
      <c r="AU24" s="279">
        <v>27</v>
      </c>
      <c r="AV24" s="280" t="s">
        <v>38</v>
      </c>
      <c r="AW24" s="279">
        <f t="shared" si="14"/>
        <v>28</v>
      </c>
      <c r="AX24" s="281" t="s">
        <v>38</v>
      </c>
      <c r="AY24" s="282">
        <v>5</v>
      </c>
      <c r="AZ24" s="169" t="s">
        <v>10</v>
      </c>
      <c r="BA24" s="283">
        <v>2016</v>
      </c>
      <c r="BB24" s="253"/>
      <c r="BC24" s="253"/>
      <c r="BD24" s="180"/>
      <c r="BE24" s="253">
        <v>5</v>
      </c>
      <c r="BF24" s="180">
        <f t="shared" si="15"/>
        <v>-24197</v>
      </c>
      <c r="BG24" s="140" t="str">
        <f t="shared" si="16"/>
        <v>- - -</v>
      </c>
      <c r="BH24" s="253" t="str">
        <f t="shared" si="17"/>
        <v>VC</v>
      </c>
      <c r="BI24" s="139"/>
      <c r="BJ24" s="347"/>
      <c r="BK24" s="347" t="s">
        <v>93</v>
      </c>
      <c r="BL24" s="327" t="str">
        <f t="shared" si="18"/>
        <v>A</v>
      </c>
      <c r="BM24" s="348" t="str">
        <f t="shared" si="19"/>
        <v>=&gt; s</v>
      </c>
      <c r="BN24" s="327">
        <f t="shared" si="20"/>
        <v>24200</v>
      </c>
      <c r="BO24" s="347" t="str">
        <f t="shared" si="21"/>
        <v>S</v>
      </c>
      <c r="BP24" s="327">
        <v>2009</v>
      </c>
      <c r="BQ24" s="349" t="s">
        <v>96</v>
      </c>
      <c r="BR24" s="349"/>
      <c r="BS24" s="350"/>
      <c r="BT24" s="351" t="str">
        <f t="shared" si="22"/>
        <v>Cùg Ng</v>
      </c>
      <c r="BU24" s="351" t="str">
        <f t="shared" si="23"/>
        <v>- - -</v>
      </c>
      <c r="BV24" s="351"/>
      <c r="BW24" s="351"/>
      <c r="BX24" s="351"/>
      <c r="BY24" s="351"/>
      <c r="BZ24" s="349" t="str">
        <f t="shared" si="24"/>
        <v>- - -</v>
      </c>
      <c r="CA24" s="327"/>
      <c r="CB24" s="327"/>
      <c r="CC24" s="352"/>
      <c r="CD24" s="352"/>
      <c r="CE24" s="351" t="str">
        <f t="shared" si="25"/>
        <v>---</v>
      </c>
      <c r="CF24" s="327" t="str">
        <f t="shared" si="26"/>
        <v>/-/ /-/</v>
      </c>
      <c r="CG24" s="327">
        <f t="shared" si="27"/>
        <v>10</v>
      </c>
      <c r="CH24" s="327">
        <f t="shared" si="28"/>
        <v>2017</v>
      </c>
      <c r="CI24" s="351">
        <f t="shared" si="29"/>
        <v>7</v>
      </c>
      <c r="CJ24" s="351">
        <f t="shared" si="30"/>
        <v>2017</v>
      </c>
      <c r="CK24" s="347">
        <f t="shared" si="31"/>
        <v>4</v>
      </c>
      <c r="CL24" s="327">
        <f t="shared" si="32"/>
        <v>2017</v>
      </c>
      <c r="CM24" s="327" t="str">
        <f t="shared" si="33"/>
        <v>- - -</v>
      </c>
      <c r="CN24" s="327" t="str">
        <f t="shared" si="34"/>
        <v>. .</v>
      </c>
      <c r="CO24" s="327"/>
      <c r="CP24" s="348">
        <f t="shared" si="35"/>
        <v>660</v>
      </c>
      <c r="CQ24" s="348">
        <f t="shared" si="36"/>
        <v>-23541</v>
      </c>
      <c r="CR24" s="327">
        <f t="shared" si="37"/>
        <v>-1962</v>
      </c>
      <c r="CS24" s="348" t="str">
        <f t="shared" si="38"/>
        <v>Nữ dưới 30</v>
      </c>
      <c r="CT24" s="351"/>
      <c r="CU24" s="351"/>
      <c r="CV24" s="351" t="str">
        <f t="shared" si="39"/>
        <v>Đến 30</v>
      </c>
      <c r="CW24" s="351" t="str">
        <f t="shared" si="40"/>
        <v>--</v>
      </c>
      <c r="CX24" s="351"/>
      <c r="CY24" s="351"/>
      <c r="CZ24" s="351"/>
      <c r="DA24" s="351"/>
      <c r="DB24" s="351"/>
      <c r="DC24" s="351"/>
      <c r="DD24" s="351"/>
      <c r="DE24" s="351"/>
      <c r="DF24" s="351"/>
      <c r="DG24" s="351" t="s">
        <v>188</v>
      </c>
      <c r="DH24" s="351" t="s">
        <v>9</v>
      </c>
      <c r="DI24" s="351" t="s">
        <v>10</v>
      </c>
      <c r="DJ24" s="351" t="s">
        <v>30</v>
      </c>
      <c r="DK24" s="351" t="s">
        <v>10</v>
      </c>
      <c r="DL24" s="423" t="s">
        <v>31</v>
      </c>
      <c r="DM24" s="142">
        <f t="shared" si="41"/>
        <v>0</v>
      </c>
      <c r="DN24" s="142" t="str">
        <f t="shared" si="42"/>
        <v>- - -</v>
      </c>
      <c r="DO24" s="142" t="s">
        <v>9</v>
      </c>
      <c r="DP24" s="142" t="s">
        <v>10</v>
      </c>
      <c r="DQ24" s="142" t="s">
        <v>30</v>
      </c>
      <c r="DR24" s="142" t="s">
        <v>10</v>
      </c>
      <c r="DS24" s="142" t="s">
        <v>31</v>
      </c>
      <c r="DU24" s="142" t="str">
        <f t="shared" si="43"/>
        <v>- - -</v>
      </c>
      <c r="DV24" s="142" t="str">
        <f t="shared" si="44"/>
        <v>---</v>
      </c>
    </row>
    <row r="25" spans="1:126" s="142" customFormat="1" ht="28.5" customHeight="1" x14ac:dyDescent="0.25">
      <c r="A25" s="139">
        <v>254</v>
      </c>
      <c r="B25" s="273">
        <v>9</v>
      </c>
      <c r="C25" s="139" t="str">
        <f t="shared" si="0"/>
        <v>Bà</v>
      </c>
      <c r="D25" s="328" t="s">
        <v>189</v>
      </c>
      <c r="E25" s="139" t="s">
        <v>32</v>
      </c>
      <c r="F25" s="276" t="s">
        <v>159</v>
      </c>
      <c r="G25" s="276" t="s">
        <v>10</v>
      </c>
      <c r="H25" s="276">
        <v>6</v>
      </c>
      <c r="I25" s="276" t="s">
        <v>10</v>
      </c>
      <c r="J25" s="139">
        <v>1977</v>
      </c>
      <c r="K25" s="139" t="e">
        <f>IF(AND((M25+0)&gt;0.3,(M25+0)&lt;1.5),"CVụ","- -")</f>
        <v>#VALUE!</v>
      </c>
      <c r="L25" s="139" t="s">
        <v>105</v>
      </c>
      <c r="M25" s="143" t="str">
        <f>VLOOKUP(L25,'[1]- DLiêu Gốc -'!$B$2:$G$121,2,0)</f>
        <v>0,4</v>
      </c>
      <c r="N25" s="299" t="s">
        <v>190</v>
      </c>
      <c r="O25" s="292" t="s">
        <v>100</v>
      </c>
      <c r="P25" s="165" t="str">
        <f>VLOOKUP(U25,'[1]- DLiêu Gốc -'!$B$2:$G$56,5,0)</f>
        <v>A1</v>
      </c>
      <c r="Q25" s="165" t="str">
        <f>VLOOKUP(U25,'[1]- DLiêu Gốc -'!$B$2:$G$56,6,0)</f>
        <v>- - -</v>
      </c>
      <c r="R25" s="139" t="s">
        <v>34</v>
      </c>
      <c r="S25" s="277" t="str">
        <f t="shared" si="1"/>
        <v>Giảng viên (hạng III)</v>
      </c>
      <c r="T25" s="278" t="str">
        <f t="shared" si="2"/>
        <v>V.07.01.03</v>
      </c>
      <c r="U25" s="180" t="s">
        <v>35</v>
      </c>
      <c r="V25" s="141" t="str">
        <f>VLOOKUP(U25,'[1]- DLiêu Gốc -'!$B$1:$G$121,2,0)</f>
        <v>V.07.01.03</v>
      </c>
      <c r="W25" s="274" t="str">
        <f t="shared" si="3"/>
        <v>Lương</v>
      </c>
      <c r="X25" s="274">
        <v>4</v>
      </c>
      <c r="Y25" s="274" t="str">
        <f t="shared" si="4"/>
        <v>/</v>
      </c>
      <c r="Z25" s="274">
        <f t="shared" si="5"/>
        <v>9</v>
      </c>
      <c r="AA25" s="274">
        <f t="shared" si="6"/>
        <v>3.33</v>
      </c>
      <c r="AB25" s="274">
        <f t="shared" si="7"/>
        <v>5</v>
      </c>
      <c r="AC25" s="274" t="str">
        <f t="shared" si="8"/>
        <v>/</v>
      </c>
      <c r="AD25" s="274">
        <f t="shared" si="9"/>
        <v>9</v>
      </c>
      <c r="AE25" s="274">
        <f t="shared" si="10"/>
        <v>3.66</v>
      </c>
      <c r="AF25" s="274" t="s">
        <v>9</v>
      </c>
      <c r="AG25" s="274" t="s">
        <v>10</v>
      </c>
      <c r="AH25" s="274" t="s">
        <v>40</v>
      </c>
      <c r="AI25" s="274" t="s">
        <v>10</v>
      </c>
      <c r="AJ25" s="274">
        <v>2013</v>
      </c>
      <c r="AK25" s="147"/>
      <c r="AL25" s="141"/>
      <c r="AM25" s="274">
        <f t="shared" si="11"/>
        <v>3</v>
      </c>
      <c r="AN25" s="274">
        <f t="shared" si="12"/>
        <v>-24167</v>
      </c>
      <c r="AO25" s="180"/>
      <c r="AP25" s="180"/>
      <c r="AQ25" s="274">
        <f>VLOOKUP(U25,'[1]- DLiêu Gốc -'!$B$1:$E$56,3,0)</f>
        <v>2.34</v>
      </c>
      <c r="AR25" s="274">
        <f>VLOOKUP(U25,'[1]- DLiêu Gốc -'!$B$1:$E$56,4,0)</f>
        <v>0.33</v>
      </c>
      <c r="AT25" s="274" t="str">
        <f t="shared" si="13"/>
        <v>PCTN</v>
      </c>
      <c r="AU25" s="279">
        <v>12</v>
      </c>
      <c r="AV25" s="280" t="s">
        <v>38</v>
      </c>
      <c r="AW25" s="279">
        <f t="shared" si="14"/>
        <v>13</v>
      </c>
      <c r="AX25" s="281" t="s">
        <v>38</v>
      </c>
      <c r="AY25" s="282">
        <v>5</v>
      </c>
      <c r="AZ25" s="169" t="s">
        <v>10</v>
      </c>
      <c r="BA25" s="283">
        <v>2016</v>
      </c>
      <c r="BB25" s="253"/>
      <c r="BC25" s="253"/>
      <c r="BD25" s="180"/>
      <c r="BE25" s="253">
        <v>5</v>
      </c>
      <c r="BF25" s="180">
        <f t="shared" si="15"/>
        <v>-24197</v>
      </c>
      <c r="BG25" s="140" t="str">
        <f t="shared" si="16"/>
        <v>- - -</v>
      </c>
      <c r="BH25" s="253" t="str">
        <f t="shared" si="17"/>
        <v>VC</v>
      </c>
      <c r="BI25" s="139"/>
      <c r="BJ25" s="347"/>
      <c r="BK25" s="347" t="s">
        <v>93</v>
      </c>
      <c r="BL25" s="327" t="str">
        <f t="shared" si="18"/>
        <v>A</v>
      </c>
      <c r="BM25" s="348" t="str">
        <f t="shared" si="19"/>
        <v>=&gt; s</v>
      </c>
      <c r="BN25" s="327">
        <f t="shared" si="20"/>
        <v>24191</v>
      </c>
      <c r="BO25" s="347" t="str">
        <f t="shared" si="21"/>
        <v>S</v>
      </c>
      <c r="BP25" s="327">
        <v>2010</v>
      </c>
      <c r="BQ25" s="349" t="s">
        <v>36</v>
      </c>
      <c r="BR25" s="349"/>
      <c r="BS25" s="350"/>
      <c r="BT25" s="351" t="str">
        <f t="shared" si="22"/>
        <v>Cùg Ng</v>
      </c>
      <c r="BU25" s="351" t="str">
        <f t="shared" si="23"/>
        <v>- - -</v>
      </c>
      <c r="BV25" s="351"/>
      <c r="BW25" s="351"/>
      <c r="BX25" s="351"/>
      <c r="BY25" s="351"/>
      <c r="BZ25" s="349" t="str">
        <f t="shared" si="24"/>
        <v>- - -</v>
      </c>
      <c r="CA25" s="327"/>
      <c r="CB25" s="327"/>
      <c r="CC25" s="352"/>
      <c r="CD25" s="352"/>
      <c r="CE25" s="351" t="str">
        <f t="shared" si="25"/>
        <v>---</v>
      </c>
      <c r="CF25" s="327" t="str">
        <f t="shared" si="26"/>
        <v>/-/ /-/</v>
      </c>
      <c r="CG25" s="327">
        <f t="shared" si="27"/>
        <v>7</v>
      </c>
      <c r="CH25" s="327">
        <f t="shared" si="28"/>
        <v>2032</v>
      </c>
      <c r="CI25" s="351">
        <f t="shared" si="29"/>
        <v>4</v>
      </c>
      <c r="CJ25" s="351">
        <f t="shared" si="30"/>
        <v>2032</v>
      </c>
      <c r="CK25" s="347">
        <f t="shared" si="31"/>
        <v>1</v>
      </c>
      <c r="CL25" s="327">
        <f t="shared" si="32"/>
        <v>2032</v>
      </c>
      <c r="CM25" s="327" t="str">
        <f t="shared" si="33"/>
        <v>- - -</v>
      </c>
      <c r="CN25" s="327" t="str">
        <f t="shared" si="34"/>
        <v>. .</v>
      </c>
      <c r="CO25" s="327"/>
      <c r="CP25" s="348">
        <f t="shared" si="35"/>
        <v>660</v>
      </c>
      <c r="CQ25" s="348">
        <f t="shared" si="36"/>
        <v>-23718</v>
      </c>
      <c r="CR25" s="327">
        <f t="shared" si="37"/>
        <v>-1977</v>
      </c>
      <c r="CS25" s="348" t="str">
        <f t="shared" si="38"/>
        <v>Nữ dưới 30</v>
      </c>
      <c r="CT25" s="351"/>
      <c r="CU25" s="351"/>
      <c r="CV25" s="351" t="str">
        <f t="shared" si="39"/>
        <v>Đến 30</v>
      </c>
      <c r="CW25" s="351" t="str">
        <f t="shared" si="40"/>
        <v>TD</v>
      </c>
      <c r="CX25" s="351">
        <v>2008</v>
      </c>
      <c r="CY25" s="351"/>
      <c r="CZ25" s="351"/>
      <c r="DA25" s="351"/>
      <c r="DB25" s="351"/>
      <c r="DC25" s="351"/>
      <c r="DD25" s="351"/>
      <c r="DE25" s="351"/>
      <c r="DF25" s="351"/>
      <c r="DG25" s="351" t="s">
        <v>190</v>
      </c>
      <c r="DH25" s="351" t="s">
        <v>9</v>
      </c>
      <c r="DI25" s="351" t="s">
        <v>10</v>
      </c>
      <c r="DJ25" s="351" t="s">
        <v>40</v>
      </c>
      <c r="DK25" s="351" t="s">
        <v>10</v>
      </c>
      <c r="DL25" s="423">
        <v>2013</v>
      </c>
      <c r="DM25" s="142">
        <f t="shared" si="41"/>
        <v>0</v>
      </c>
      <c r="DN25" s="142" t="str">
        <f t="shared" si="42"/>
        <v>- - -</v>
      </c>
      <c r="DO25" s="142" t="s">
        <v>9</v>
      </c>
      <c r="DP25" s="142" t="s">
        <v>10</v>
      </c>
      <c r="DQ25" s="142" t="s">
        <v>40</v>
      </c>
      <c r="DR25" s="142" t="s">
        <v>10</v>
      </c>
      <c r="DS25" s="142">
        <v>2013</v>
      </c>
      <c r="DU25" s="142" t="str">
        <f t="shared" si="43"/>
        <v>- - -</v>
      </c>
      <c r="DV25" s="142" t="str">
        <f t="shared" si="44"/>
        <v>---</v>
      </c>
    </row>
    <row r="26" spans="1:126" s="142" customFormat="1" ht="28.5" customHeight="1" x14ac:dyDescent="0.25">
      <c r="A26" s="139">
        <v>261</v>
      </c>
      <c r="B26" s="273">
        <v>10</v>
      </c>
      <c r="C26" s="139" t="str">
        <f t="shared" si="0"/>
        <v>Bà</v>
      </c>
      <c r="D26" s="328" t="s">
        <v>191</v>
      </c>
      <c r="E26" s="139" t="s">
        <v>32</v>
      </c>
      <c r="F26" s="276" t="s">
        <v>142</v>
      </c>
      <c r="G26" s="276" t="s">
        <v>10</v>
      </c>
      <c r="H26" s="276" t="s">
        <v>37</v>
      </c>
      <c r="I26" s="276" t="s">
        <v>10</v>
      </c>
      <c r="J26" s="139">
        <v>1978</v>
      </c>
      <c r="K26" s="139"/>
      <c r="L26" s="139"/>
      <c r="M26" s="143" t="e">
        <f>VLOOKUP(L26,'[1]- DLiêu Gốc -'!$B$2:$G$121,2,0)</f>
        <v>#N/A</v>
      </c>
      <c r="N26" s="299" t="s">
        <v>192</v>
      </c>
      <c r="O26" s="292" t="s">
        <v>100</v>
      </c>
      <c r="P26" s="165" t="str">
        <f>VLOOKUP(U26,'[1]- DLiêu Gốc -'!$B$2:$G$56,5,0)</f>
        <v>A1</v>
      </c>
      <c r="Q26" s="165" t="str">
        <f>VLOOKUP(U26,'[1]- DLiêu Gốc -'!$B$2:$G$56,6,0)</f>
        <v>- - -</v>
      </c>
      <c r="R26" s="139" t="s">
        <v>34</v>
      </c>
      <c r="S26" s="277" t="str">
        <f t="shared" si="1"/>
        <v>Giảng viên (hạng III)</v>
      </c>
      <c r="T26" s="278" t="str">
        <f t="shared" si="2"/>
        <v>V.07.01.03</v>
      </c>
      <c r="U26" s="180" t="s">
        <v>35</v>
      </c>
      <c r="V26" s="141" t="str">
        <f>VLOOKUP(U26,'[1]- DLiêu Gốc -'!$B$1:$G$121,2,0)</f>
        <v>V.07.01.03</v>
      </c>
      <c r="W26" s="274" t="str">
        <f t="shared" si="3"/>
        <v>Lương</v>
      </c>
      <c r="X26" s="274">
        <v>4</v>
      </c>
      <c r="Y26" s="274" t="str">
        <f t="shared" si="4"/>
        <v>/</v>
      </c>
      <c r="Z26" s="274">
        <f t="shared" si="5"/>
        <v>9</v>
      </c>
      <c r="AA26" s="274">
        <f t="shared" si="6"/>
        <v>3.33</v>
      </c>
      <c r="AB26" s="274">
        <f t="shared" si="7"/>
        <v>5</v>
      </c>
      <c r="AC26" s="274" t="str">
        <f t="shared" si="8"/>
        <v>/</v>
      </c>
      <c r="AD26" s="274">
        <f t="shared" si="9"/>
        <v>9</v>
      </c>
      <c r="AE26" s="274">
        <f t="shared" si="10"/>
        <v>3.66</v>
      </c>
      <c r="AF26" s="274" t="s">
        <v>9</v>
      </c>
      <c r="AG26" s="274" t="s">
        <v>10</v>
      </c>
      <c r="AH26" s="274" t="s">
        <v>95</v>
      </c>
      <c r="AI26" s="274" t="s">
        <v>10</v>
      </c>
      <c r="AJ26" s="274">
        <v>2015</v>
      </c>
      <c r="AK26" s="147"/>
      <c r="AL26" s="141">
        <v>5</v>
      </c>
      <c r="AM26" s="274">
        <f t="shared" si="11"/>
        <v>3</v>
      </c>
      <c r="AN26" s="274">
        <f t="shared" si="12"/>
        <v>-24185</v>
      </c>
      <c r="AO26" s="180"/>
      <c r="AP26" s="180"/>
      <c r="AQ26" s="274">
        <f>VLOOKUP(U26,'[1]- DLiêu Gốc -'!$B$1:$E$56,3,0)</f>
        <v>2.34</v>
      </c>
      <c r="AR26" s="274">
        <f>VLOOKUP(U26,'[1]- DLiêu Gốc -'!$B$1:$E$56,4,0)</f>
        <v>0.33</v>
      </c>
      <c r="AT26" s="274" t="str">
        <f t="shared" si="13"/>
        <v>PCTN</v>
      </c>
      <c r="AU26" s="279">
        <v>11</v>
      </c>
      <c r="AV26" s="280" t="s">
        <v>38</v>
      </c>
      <c r="AW26" s="279">
        <f t="shared" si="14"/>
        <v>12</v>
      </c>
      <c r="AX26" s="281" t="s">
        <v>38</v>
      </c>
      <c r="AY26" s="282">
        <v>5</v>
      </c>
      <c r="AZ26" s="169" t="s">
        <v>10</v>
      </c>
      <c r="BA26" s="283">
        <v>2016</v>
      </c>
      <c r="BB26" s="253"/>
      <c r="BC26" s="253"/>
      <c r="BD26" s="180"/>
      <c r="BE26" s="253">
        <v>5</v>
      </c>
      <c r="BF26" s="180">
        <f t="shared" si="15"/>
        <v>-24197</v>
      </c>
      <c r="BG26" s="140" t="str">
        <f t="shared" si="16"/>
        <v>- - -</v>
      </c>
      <c r="BH26" s="253" t="str">
        <f t="shared" si="17"/>
        <v>VC</v>
      </c>
      <c r="BI26" s="139"/>
      <c r="BJ26" s="347"/>
      <c r="BK26" s="347" t="s">
        <v>93</v>
      </c>
      <c r="BL26" s="327" t="str">
        <f t="shared" si="18"/>
        <v>A</v>
      </c>
      <c r="BM26" s="348" t="str">
        <f t="shared" si="19"/>
        <v>=&gt; s</v>
      </c>
      <c r="BN26" s="327">
        <f t="shared" si="20"/>
        <v>24209</v>
      </c>
      <c r="BO26" s="347" t="str">
        <f t="shared" si="21"/>
        <v>S</v>
      </c>
      <c r="BP26" s="327">
        <v>2012</v>
      </c>
      <c r="BQ26" s="349" t="s">
        <v>36</v>
      </c>
      <c r="BR26" s="349"/>
      <c r="BS26" s="350"/>
      <c r="BT26" s="351" t="str">
        <f t="shared" si="22"/>
        <v>Cùg Ng</v>
      </c>
      <c r="BU26" s="351" t="str">
        <f t="shared" si="23"/>
        <v>- - -</v>
      </c>
      <c r="BV26" s="351"/>
      <c r="BW26" s="351"/>
      <c r="BX26" s="351"/>
      <c r="BY26" s="351"/>
      <c r="BZ26" s="349" t="str">
        <f t="shared" si="24"/>
        <v>- - -</v>
      </c>
      <c r="CA26" s="327"/>
      <c r="CB26" s="327"/>
      <c r="CC26" s="352"/>
      <c r="CD26" s="352"/>
      <c r="CE26" s="351" t="str">
        <f t="shared" si="25"/>
        <v>---</v>
      </c>
      <c r="CF26" s="327" t="str">
        <f t="shared" si="26"/>
        <v>/-/ /-/</v>
      </c>
      <c r="CG26" s="327">
        <f t="shared" si="27"/>
        <v>3</v>
      </c>
      <c r="CH26" s="327">
        <f t="shared" si="28"/>
        <v>2033</v>
      </c>
      <c r="CI26" s="351">
        <f t="shared" si="29"/>
        <v>12</v>
      </c>
      <c r="CJ26" s="351">
        <f t="shared" si="30"/>
        <v>2032</v>
      </c>
      <c r="CK26" s="347">
        <f t="shared" si="31"/>
        <v>9</v>
      </c>
      <c r="CL26" s="327">
        <f t="shared" si="32"/>
        <v>2032</v>
      </c>
      <c r="CM26" s="327" t="str">
        <f t="shared" si="33"/>
        <v>- - -</v>
      </c>
      <c r="CN26" s="327" t="str">
        <f t="shared" si="34"/>
        <v>. .</v>
      </c>
      <c r="CO26" s="327"/>
      <c r="CP26" s="348">
        <f t="shared" si="35"/>
        <v>660</v>
      </c>
      <c r="CQ26" s="348">
        <f t="shared" si="36"/>
        <v>-23726</v>
      </c>
      <c r="CR26" s="327">
        <f t="shared" si="37"/>
        <v>-1978</v>
      </c>
      <c r="CS26" s="348" t="str">
        <f t="shared" si="38"/>
        <v>Nữ dưới 30</v>
      </c>
      <c r="CT26" s="351"/>
      <c r="CU26" s="351"/>
      <c r="CV26" s="351" t="str">
        <f t="shared" si="39"/>
        <v>Đến 30</v>
      </c>
      <c r="CW26" s="351" t="str">
        <f t="shared" si="40"/>
        <v>--</v>
      </c>
      <c r="CX26" s="351"/>
      <c r="CY26" s="351"/>
      <c r="CZ26" s="351"/>
      <c r="DA26" s="351"/>
      <c r="DB26" s="351"/>
      <c r="DC26" s="351"/>
      <c r="DD26" s="351"/>
      <c r="DE26" s="351"/>
      <c r="DF26" s="351"/>
      <c r="DG26" s="351" t="s">
        <v>192</v>
      </c>
      <c r="DH26" s="351" t="s">
        <v>9</v>
      </c>
      <c r="DI26" s="351" t="s">
        <v>10</v>
      </c>
      <c r="DJ26" s="351" t="s">
        <v>95</v>
      </c>
      <c r="DK26" s="351" t="s">
        <v>10</v>
      </c>
      <c r="DL26" s="423">
        <v>2012</v>
      </c>
      <c r="DM26" s="142">
        <f t="shared" si="41"/>
        <v>0</v>
      </c>
      <c r="DN26" s="142" t="str">
        <f t="shared" si="42"/>
        <v>- - -</v>
      </c>
      <c r="DO26" s="142" t="s">
        <v>9</v>
      </c>
      <c r="DP26" s="142" t="s">
        <v>10</v>
      </c>
      <c r="DQ26" s="142" t="s">
        <v>95</v>
      </c>
      <c r="DR26" s="142" t="s">
        <v>10</v>
      </c>
      <c r="DS26" s="142">
        <v>2012</v>
      </c>
      <c r="DU26" s="142" t="str">
        <f t="shared" si="43"/>
        <v>- - -</v>
      </c>
      <c r="DV26" s="142" t="str">
        <f t="shared" si="44"/>
        <v>---</v>
      </c>
    </row>
    <row r="27" spans="1:126" s="142" customFormat="1" ht="28.5" customHeight="1" x14ac:dyDescent="0.25">
      <c r="A27" s="139">
        <v>273</v>
      </c>
      <c r="B27" s="273">
        <v>12</v>
      </c>
      <c r="C27" s="139" t="str">
        <f t="shared" si="0"/>
        <v>Bà</v>
      </c>
      <c r="D27" s="328" t="s">
        <v>193</v>
      </c>
      <c r="E27" s="139" t="s">
        <v>32</v>
      </c>
      <c r="F27" s="276" t="s">
        <v>113</v>
      </c>
      <c r="G27" s="276" t="s">
        <v>10</v>
      </c>
      <c r="H27" s="276" t="s">
        <v>37</v>
      </c>
      <c r="I27" s="276" t="s">
        <v>10</v>
      </c>
      <c r="J27" s="139">
        <v>1977</v>
      </c>
      <c r="K27" s="139"/>
      <c r="L27" s="139"/>
      <c r="M27" s="143" t="e">
        <f>VLOOKUP(L27,'[1]- DLiêu Gốc -'!$B$2:$G$121,2,0)</f>
        <v>#N/A</v>
      </c>
      <c r="N27" s="299" t="s">
        <v>119</v>
      </c>
      <c r="O27" s="292" t="s">
        <v>120</v>
      </c>
      <c r="P27" s="165" t="str">
        <f>VLOOKUP(U27,'[1]- DLiêu Gốc -'!$B$2:$G$56,5,0)</f>
        <v>A1</v>
      </c>
      <c r="Q27" s="165" t="str">
        <f>VLOOKUP(U27,'[1]- DLiêu Gốc -'!$B$2:$G$56,6,0)</f>
        <v>- - -</v>
      </c>
      <c r="R27" s="139" t="s">
        <v>34</v>
      </c>
      <c r="S27" s="277" t="str">
        <f t="shared" si="1"/>
        <v>Giảng viên (hạng III)</v>
      </c>
      <c r="T27" s="278" t="str">
        <f t="shared" si="2"/>
        <v>V.07.01.03</v>
      </c>
      <c r="U27" s="180" t="s">
        <v>35</v>
      </c>
      <c r="V27" s="141" t="str">
        <f>VLOOKUP(U27,'[1]- DLiêu Gốc -'!$B$1:$G$121,2,0)</f>
        <v>V.07.01.03</v>
      </c>
      <c r="W27" s="274" t="str">
        <f t="shared" si="3"/>
        <v>Lương</v>
      </c>
      <c r="X27" s="274">
        <v>4</v>
      </c>
      <c r="Y27" s="274" t="str">
        <f t="shared" si="4"/>
        <v>/</v>
      </c>
      <c r="Z27" s="274">
        <f t="shared" si="5"/>
        <v>9</v>
      </c>
      <c r="AA27" s="274">
        <f t="shared" si="6"/>
        <v>3.33</v>
      </c>
      <c r="AB27" s="274">
        <f t="shared" si="7"/>
        <v>5</v>
      </c>
      <c r="AC27" s="274" t="str">
        <f t="shared" si="8"/>
        <v>/</v>
      </c>
      <c r="AD27" s="274">
        <f t="shared" si="9"/>
        <v>9</v>
      </c>
      <c r="AE27" s="274">
        <f t="shared" si="10"/>
        <v>3.66</v>
      </c>
      <c r="AF27" s="274" t="s">
        <v>9</v>
      </c>
      <c r="AG27" s="274" t="s">
        <v>10</v>
      </c>
      <c r="AH27" s="274" t="s">
        <v>88</v>
      </c>
      <c r="AI27" s="274" t="s">
        <v>10</v>
      </c>
      <c r="AJ27" s="274">
        <v>2014</v>
      </c>
      <c r="AK27" s="147"/>
      <c r="AL27" s="141"/>
      <c r="AM27" s="274">
        <f t="shared" si="11"/>
        <v>3</v>
      </c>
      <c r="AN27" s="274">
        <f t="shared" si="12"/>
        <v>-24171</v>
      </c>
      <c r="AO27" s="180"/>
      <c r="AP27" s="180"/>
      <c r="AQ27" s="274">
        <f>VLOOKUP(U27,'[1]- DLiêu Gốc -'!$B$1:$E$56,3,0)</f>
        <v>2.34</v>
      </c>
      <c r="AR27" s="274">
        <f>VLOOKUP(U27,'[1]- DLiêu Gốc -'!$B$1:$E$56,4,0)</f>
        <v>0.33</v>
      </c>
      <c r="AT27" s="274" t="str">
        <f t="shared" si="13"/>
        <v>PCTN</v>
      </c>
      <c r="AU27" s="279">
        <v>12</v>
      </c>
      <c r="AV27" s="280" t="s">
        <v>38</v>
      </c>
      <c r="AW27" s="279">
        <f t="shared" si="14"/>
        <v>13</v>
      </c>
      <c r="AX27" s="281" t="s">
        <v>38</v>
      </c>
      <c r="AY27" s="282">
        <v>5</v>
      </c>
      <c r="AZ27" s="169" t="s">
        <v>10</v>
      </c>
      <c r="BA27" s="283">
        <v>2016</v>
      </c>
      <c r="BB27" s="253"/>
      <c r="BC27" s="253"/>
      <c r="BD27" s="180"/>
      <c r="BE27" s="253">
        <v>5</v>
      </c>
      <c r="BF27" s="180">
        <f t="shared" si="15"/>
        <v>-24197</v>
      </c>
      <c r="BG27" s="140" t="str">
        <f t="shared" si="16"/>
        <v>- - -</v>
      </c>
      <c r="BH27" s="253" t="str">
        <f t="shared" si="17"/>
        <v>VC</v>
      </c>
      <c r="BI27" s="139"/>
      <c r="BJ27" s="347"/>
      <c r="BK27" s="347" t="s">
        <v>93</v>
      </c>
      <c r="BL27" s="327" t="str">
        <f t="shared" si="18"/>
        <v>A</v>
      </c>
      <c r="BM27" s="348" t="str">
        <f t="shared" si="19"/>
        <v>=&gt; s</v>
      </c>
      <c r="BN27" s="327">
        <f t="shared" si="20"/>
        <v>24195</v>
      </c>
      <c r="BO27" s="347" t="str">
        <f t="shared" si="21"/>
        <v>---</v>
      </c>
      <c r="BP27" s="327"/>
      <c r="BQ27" s="349"/>
      <c r="BR27" s="349"/>
      <c r="BS27" s="350"/>
      <c r="BT27" s="351" t="str">
        <f t="shared" si="22"/>
        <v>- - -</v>
      </c>
      <c r="BU27" s="351" t="str">
        <f t="shared" si="23"/>
        <v>- - -</v>
      </c>
      <c r="BV27" s="351"/>
      <c r="BW27" s="351"/>
      <c r="BX27" s="351"/>
      <c r="BY27" s="351"/>
      <c r="BZ27" s="349" t="str">
        <f t="shared" si="24"/>
        <v>- - -</v>
      </c>
      <c r="CA27" s="327"/>
      <c r="CB27" s="327"/>
      <c r="CC27" s="352"/>
      <c r="CD27" s="352"/>
      <c r="CE27" s="351" t="str">
        <f t="shared" si="25"/>
        <v>---</v>
      </c>
      <c r="CF27" s="327" t="str">
        <f t="shared" si="26"/>
        <v>/-/ /-/</v>
      </c>
      <c r="CG27" s="327">
        <f t="shared" si="27"/>
        <v>3</v>
      </c>
      <c r="CH27" s="327">
        <f t="shared" si="28"/>
        <v>2032</v>
      </c>
      <c r="CI27" s="351">
        <f t="shared" si="29"/>
        <v>12</v>
      </c>
      <c r="CJ27" s="351">
        <f t="shared" si="30"/>
        <v>2031</v>
      </c>
      <c r="CK27" s="347">
        <f t="shared" si="31"/>
        <v>9</v>
      </c>
      <c r="CL27" s="327">
        <f t="shared" si="32"/>
        <v>2031</v>
      </c>
      <c r="CM27" s="327" t="str">
        <f t="shared" si="33"/>
        <v>- - -</v>
      </c>
      <c r="CN27" s="327" t="str">
        <f t="shared" si="34"/>
        <v>. .</v>
      </c>
      <c r="CO27" s="327"/>
      <c r="CP27" s="348">
        <f t="shared" si="35"/>
        <v>660</v>
      </c>
      <c r="CQ27" s="348">
        <f t="shared" si="36"/>
        <v>-23714</v>
      </c>
      <c r="CR27" s="327">
        <f t="shared" si="37"/>
        <v>-1977</v>
      </c>
      <c r="CS27" s="348" t="str">
        <f t="shared" si="38"/>
        <v>Nữ dưới 30</v>
      </c>
      <c r="CT27" s="351"/>
      <c r="CU27" s="351"/>
      <c r="CV27" s="351" t="str">
        <f t="shared" si="39"/>
        <v>Đến 30</v>
      </c>
      <c r="CW27" s="351" t="str">
        <f t="shared" si="40"/>
        <v>TD</v>
      </c>
      <c r="CX27" s="351">
        <v>2008</v>
      </c>
      <c r="CY27" s="351"/>
      <c r="CZ27" s="351"/>
      <c r="DA27" s="351"/>
      <c r="DB27" s="351"/>
      <c r="DC27" s="351"/>
      <c r="DD27" s="351"/>
      <c r="DE27" s="351"/>
      <c r="DF27" s="351"/>
      <c r="DG27" s="351" t="s">
        <v>119</v>
      </c>
      <c r="DH27" s="351" t="s">
        <v>9</v>
      </c>
      <c r="DI27" s="351" t="s">
        <v>10</v>
      </c>
      <c r="DJ27" s="351" t="s">
        <v>88</v>
      </c>
      <c r="DK27" s="351" t="s">
        <v>10</v>
      </c>
      <c r="DL27" s="423" t="s">
        <v>31</v>
      </c>
      <c r="DM27" s="142">
        <f t="shared" si="41"/>
        <v>0</v>
      </c>
      <c r="DN27" s="142" t="str">
        <f t="shared" si="42"/>
        <v>- - -</v>
      </c>
      <c r="DO27" s="142" t="s">
        <v>9</v>
      </c>
      <c r="DP27" s="142" t="s">
        <v>10</v>
      </c>
      <c r="DQ27" s="142" t="s">
        <v>88</v>
      </c>
      <c r="DR27" s="142" t="s">
        <v>10</v>
      </c>
      <c r="DS27" s="142" t="s">
        <v>31</v>
      </c>
      <c r="DU27" s="142" t="str">
        <f t="shared" si="43"/>
        <v>- - -</v>
      </c>
      <c r="DV27" s="142" t="str">
        <f t="shared" si="44"/>
        <v>---</v>
      </c>
    </row>
    <row r="28" spans="1:126" s="142" customFormat="1" ht="28.5" customHeight="1" x14ac:dyDescent="0.25">
      <c r="A28" s="139">
        <v>275</v>
      </c>
      <c r="B28" s="273">
        <v>13</v>
      </c>
      <c r="C28" s="139" t="str">
        <f t="shared" si="0"/>
        <v>Bà</v>
      </c>
      <c r="D28" s="328" t="s">
        <v>194</v>
      </c>
      <c r="E28" s="139" t="s">
        <v>32</v>
      </c>
      <c r="F28" s="276" t="s">
        <v>118</v>
      </c>
      <c r="G28" s="276" t="s">
        <v>10</v>
      </c>
      <c r="H28" s="276">
        <v>9</v>
      </c>
      <c r="I28" s="276" t="s">
        <v>10</v>
      </c>
      <c r="J28" s="139">
        <v>1977</v>
      </c>
      <c r="K28" s="139" t="e">
        <f>IF(AND((M28+0)&gt;0.3,(M28+0)&lt;1.5),"CVụ","- -")</f>
        <v>#VALUE!</v>
      </c>
      <c r="L28" s="139" t="s">
        <v>105</v>
      </c>
      <c r="M28" s="143" t="str">
        <f>VLOOKUP(L28,'[1]- DLiêu Gốc -'!$B$2:$G$121,2,0)</f>
        <v>0,4</v>
      </c>
      <c r="N28" s="299" t="s">
        <v>119</v>
      </c>
      <c r="O28" s="292" t="s">
        <v>120</v>
      </c>
      <c r="P28" s="165" t="str">
        <f>VLOOKUP(U28,'[1]- DLiêu Gốc -'!$B$2:$G$56,5,0)</f>
        <v>A1</v>
      </c>
      <c r="Q28" s="165" t="str">
        <f>VLOOKUP(U28,'[1]- DLiêu Gốc -'!$B$2:$G$56,6,0)</f>
        <v>- - -</v>
      </c>
      <c r="R28" s="139" t="s">
        <v>34</v>
      </c>
      <c r="S28" s="277" t="str">
        <f t="shared" si="1"/>
        <v>Giảng viên (hạng III)</v>
      </c>
      <c r="T28" s="278" t="str">
        <f t="shared" si="2"/>
        <v>V.07.01.03</v>
      </c>
      <c r="U28" s="180" t="s">
        <v>35</v>
      </c>
      <c r="V28" s="141" t="str">
        <f>VLOOKUP(U28,'[1]- DLiêu Gốc -'!$B$1:$G$121,2,0)</f>
        <v>V.07.01.03</v>
      </c>
      <c r="W28" s="274" t="str">
        <f t="shared" si="3"/>
        <v>Lương</v>
      </c>
      <c r="X28" s="274">
        <v>5</v>
      </c>
      <c r="Y28" s="274" t="str">
        <f t="shared" si="4"/>
        <v>/</v>
      </c>
      <c r="Z28" s="274">
        <f t="shared" si="5"/>
        <v>9</v>
      </c>
      <c r="AA28" s="274">
        <f t="shared" si="6"/>
        <v>3.66</v>
      </c>
      <c r="AB28" s="274">
        <f t="shared" si="7"/>
        <v>6</v>
      </c>
      <c r="AC28" s="274" t="str">
        <f t="shared" si="8"/>
        <v>/</v>
      </c>
      <c r="AD28" s="274">
        <f t="shared" si="9"/>
        <v>9</v>
      </c>
      <c r="AE28" s="274">
        <f t="shared" si="10"/>
        <v>3.99</v>
      </c>
      <c r="AF28" s="274" t="s">
        <v>9</v>
      </c>
      <c r="AG28" s="274" t="s">
        <v>10</v>
      </c>
      <c r="AH28" s="274" t="s">
        <v>107</v>
      </c>
      <c r="AI28" s="274" t="s">
        <v>10</v>
      </c>
      <c r="AJ28" s="274">
        <v>2015</v>
      </c>
      <c r="AK28" s="147"/>
      <c r="AL28" s="141">
        <v>4</v>
      </c>
      <c r="AM28" s="274">
        <f t="shared" si="11"/>
        <v>3</v>
      </c>
      <c r="AN28" s="274">
        <f t="shared" si="12"/>
        <v>-24184</v>
      </c>
      <c r="AO28" s="180"/>
      <c r="AP28" s="180"/>
      <c r="AQ28" s="274">
        <f>VLOOKUP(U28,'[1]- DLiêu Gốc -'!$B$1:$E$56,3,0)</f>
        <v>2.34</v>
      </c>
      <c r="AR28" s="274">
        <f>VLOOKUP(U28,'[1]- DLiêu Gốc -'!$B$1:$E$56,4,0)</f>
        <v>0.33</v>
      </c>
      <c r="AT28" s="274" t="str">
        <f t="shared" si="13"/>
        <v>PCTN</v>
      </c>
      <c r="AU28" s="279">
        <v>12</v>
      </c>
      <c r="AV28" s="280" t="s">
        <v>38</v>
      </c>
      <c r="AW28" s="279">
        <f t="shared" si="14"/>
        <v>13</v>
      </c>
      <c r="AX28" s="281" t="s">
        <v>38</v>
      </c>
      <c r="AY28" s="282">
        <v>5</v>
      </c>
      <c r="AZ28" s="169" t="s">
        <v>10</v>
      </c>
      <c r="BA28" s="283">
        <v>2016</v>
      </c>
      <c r="BB28" s="253"/>
      <c r="BC28" s="253"/>
      <c r="BD28" s="180"/>
      <c r="BE28" s="253">
        <v>5</v>
      </c>
      <c r="BF28" s="180">
        <f t="shared" si="15"/>
        <v>-24197</v>
      </c>
      <c r="BG28" s="140" t="str">
        <f t="shared" si="16"/>
        <v>- - -</v>
      </c>
      <c r="BH28" s="253" t="str">
        <f t="shared" si="17"/>
        <v>VC</v>
      </c>
      <c r="BI28" s="139"/>
      <c r="BJ28" s="347"/>
      <c r="BK28" s="347" t="s">
        <v>93</v>
      </c>
      <c r="BL28" s="327" t="str">
        <f t="shared" si="18"/>
        <v>A</v>
      </c>
      <c r="BM28" s="348" t="str">
        <f t="shared" si="19"/>
        <v>=&gt; s</v>
      </c>
      <c r="BN28" s="327">
        <f t="shared" si="20"/>
        <v>24208</v>
      </c>
      <c r="BO28" s="347" t="str">
        <f t="shared" si="21"/>
        <v>S</v>
      </c>
      <c r="BP28" s="327">
        <v>2012</v>
      </c>
      <c r="BQ28" s="349" t="s">
        <v>36</v>
      </c>
      <c r="BR28" s="349"/>
      <c r="BS28" s="350"/>
      <c r="BT28" s="351" t="str">
        <f t="shared" si="22"/>
        <v>Cùg Ng</v>
      </c>
      <c r="BU28" s="351" t="str">
        <f t="shared" si="23"/>
        <v>- - -</v>
      </c>
      <c r="BV28" s="351"/>
      <c r="BW28" s="351"/>
      <c r="BX28" s="351"/>
      <c r="BY28" s="351"/>
      <c r="BZ28" s="349" t="str">
        <f t="shared" si="24"/>
        <v>- - -</v>
      </c>
      <c r="CA28" s="327"/>
      <c r="CB28" s="327"/>
      <c r="CC28" s="352"/>
      <c r="CD28" s="352"/>
      <c r="CE28" s="351" t="str">
        <f t="shared" si="25"/>
        <v>---</v>
      </c>
      <c r="CF28" s="327" t="str">
        <f t="shared" si="26"/>
        <v>/-/ /-/</v>
      </c>
      <c r="CG28" s="327">
        <f t="shared" si="27"/>
        <v>10</v>
      </c>
      <c r="CH28" s="327">
        <f t="shared" si="28"/>
        <v>2032</v>
      </c>
      <c r="CI28" s="351">
        <f t="shared" si="29"/>
        <v>7</v>
      </c>
      <c r="CJ28" s="351">
        <f t="shared" si="30"/>
        <v>2032</v>
      </c>
      <c r="CK28" s="347">
        <f t="shared" si="31"/>
        <v>4</v>
      </c>
      <c r="CL28" s="327">
        <f t="shared" si="32"/>
        <v>2032</v>
      </c>
      <c r="CM28" s="327" t="str">
        <f t="shared" si="33"/>
        <v>- - -</v>
      </c>
      <c r="CN28" s="327" t="str">
        <f t="shared" si="34"/>
        <v>. .</v>
      </c>
      <c r="CO28" s="327"/>
      <c r="CP28" s="348">
        <f t="shared" si="35"/>
        <v>660</v>
      </c>
      <c r="CQ28" s="348">
        <f t="shared" si="36"/>
        <v>-23721</v>
      </c>
      <c r="CR28" s="327">
        <f t="shared" si="37"/>
        <v>-1977</v>
      </c>
      <c r="CS28" s="348" t="str">
        <f t="shared" si="38"/>
        <v>Nữ dưới 30</v>
      </c>
      <c r="CT28" s="351"/>
      <c r="CU28" s="351"/>
      <c r="CV28" s="351" t="str">
        <f t="shared" si="39"/>
        <v>Đến 30</v>
      </c>
      <c r="CW28" s="351" t="str">
        <f t="shared" si="40"/>
        <v>TD</v>
      </c>
      <c r="CX28" s="351">
        <v>2008</v>
      </c>
      <c r="CY28" s="351"/>
      <c r="CZ28" s="351"/>
      <c r="DA28" s="351"/>
      <c r="DB28" s="351"/>
      <c r="DC28" s="351"/>
      <c r="DD28" s="351"/>
      <c r="DE28" s="351"/>
      <c r="DF28" s="351"/>
      <c r="DG28" s="351" t="s">
        <v>119</v>
      </c>
      <c r="DH28" s="351" t="s">
        <v>9</v>
      </c>
      <c r="DI28" s="351" t="s">
        <v>10</v>
      </c>
      <c r="DJ28" s="351" t="s">
        <v>107</v>
      </c>
      <c r="DK28" s="351" t="s">
        <v>10</v>
      </c>
      <c r="DL28" s="423">
        <v>2012</v>
      </c>
      <c r="DM28" s="142">
        <f t="shared" si="41"/>
        <v>0</v>
      </c>
      <c r="DN28" s="142" t="str">
        <f t="shared" si="42"/>
        <v>- - -</v>
      </c>
      <c r="DO28" s="142" t="s">
        <v>9</v>
      </c>
      <c r="DP28" s="142" t="s">
        <v>10</v>
      </c>
      <c r="DQ28" s="142" t="s">
        <v>107</v>
      </c>
      <c r="DR28" s="142" t="s">
        <v>10</v>
      </c>
      <c r="DS28" s="142">
        <v>2012</v>
      </c>
      <c r="DU28" s="142" t="str">
        <f t="shared" si="43"/>
        <v>- - -</v>
      </c>
      <c r="DV28" s="142" t="str">
        <f t="shared" si="44"/>
        <v>---</v>
      </c>
    </row>
    <row r="29" spans="1:126" s="142" customFormat="1" ht="28.5" customHeight="1" x14ac:dyDescent="0.25">
      <c r="A29" s="139">
        <v>282</v>
      </c>
      <c r="B29" s="273">
        <v>14</v>
      </c>
      <c r="C29" s="139" t="str">
        <f t="shared" si="0"/>
        <v>Ông</v>
      </c>
      <c r="D29" s="328" t="s">
        <v>195</v>
      </c>
      <c r="E29" s="139" t="s">
        <v>39</v>
      </c>
      <c r="F29" s="276" t="s">
        <v>99</v>
      </c>
      <c r="G29" s="276" t="s">
        <v>10</v>
      </c>
      <c r="H29" s="276">
        <v>7</v>
      </c>
      <c r="I29" s="276" t="s">
        <v>10</v>
      </c>
      <c r="J29" s="139">
        <v>1970</v>
      </c>
      <c r="K29" s="139" t="e">
        <f>IF(AND((M29+0)&gt;0.3,(M29+0)&lt;1.5),"CVụ","- -")</f>
        <v>#VALUE!</v>
      </c>
      <c r="L29" s="139" t="s">
        <v>105</v>
      </c>
      <c r="M29" s="143" t="str">
        <f>VLOOKUP(L29,'[1]- DLiêu Gốc -'!$B$2:$G$121,2,0)</f>
        <v>0,4</v>
      </c>
      <c r="N29" s="299" t="s">
        <v>143</v>
      </c>
      <c r="O29" s="292" t="s">
        <v>120</v>
      </c>
      <c r="P29" s="165" t="str">
        <f>VLOOKUP(U29,'[1]- DLiêu Gốc -'!$B$2:$G$56,5,0)</f>
        <v>A2</v>
      </c>
      <c r="Q29" s="165" t="str">
        <f>VLOOKUP(U29,'[1]- DLiêu Gốc -'!$B$2:$G$56,6,0)</f>
        <v>A2.1</v>
      </c>
      <c r="R29" s="139" t="s">
        <v>34</v>
      </c>
      <c r="S29" s="277" t="str">
        <f t="shared" si="1"/>
        <v>Giảng viên chính (hạng II)</v>
      </c>
      <c r="T29" s="278" t="str">
        <f t="shared" si="2"/>
        <v>V.07.01.02</v>
      </c>
      <c r="U29" s="180" t="s">
        <v>45</v>
      </c>
      <c r="V29" s="141" t="str">
        <f>VLOOKUP(U29,'[1]- DLiêu Gốc -'!$B$1:$G$121,2,0)</f>
        <v>V.07.01.02</v>
      </c>
      <c r="W29" s="274" t="str">
        <f t="shared" si="3"/>
        <v>Lương</v>
      </c>
      <c r="X29" s="274">
        <v>1</v>
      </c>
      <c r="Y29" s="274" t="str">
        <f t="shared" si="4"/>
        <v>/</v>
      </c>
      <c r="Z29" s="274">
        <f t="shared" si="5"/>
        <v>8</v>
      </c>
      <c r="AA29" s="274">
        <f t="shared" si="6"/>
        <v>4.4000000000000004</v>
      </c>
      <c r="AB29" s="274">
        <f t="shared" si="7"/>
        <v>2</v>
      </c>
      <c r="AC29" s="274" t="str">
        <f t="shared" si="8"/>
        <v>/</v>
      </c>
      <c r="AD29" s="274">
        <f t="shared" si="9"/>
        <v>8</v>
      </c>
      <c r="AE29" s="274">
        <f t="shared" si="10"/>
        <v>4.74</v>
      </c>
      <c r="AF29" s="274" t="s">
        <v>9</v>
      </c>
      <c r="AG29" s="274" t="s">
        <v>10</v>
      </c>
      <c r="AH29" s="274" t="s">
        <v>9</v>
      </c>
      <c r="AI29" s="274" t="s">
        <v>10</v>
      </c>
      <c r="AJ29" s="274">
        <v>2014</v>
      </c>
      <c r="AK29" s="147"/>
      <c r="AL29" s="141"/>
      <c r="AM29" s="274">
        <f t="shared" si="11"/>
        <v>3</v>
      </c>
      <c r="AN29" s="274">
        <f t="shared" si="12"/>
        <v>-24169</v>
      </c>
      <c r="AO29" s="180"/>
      <c r="AP29" s="180"/>
      <c r="AQ29" s="274">
        <f>VLOOKUP(U29,'[1]- DLiêu Gốc -'!$B$1:$E$56,3,0)</f>
        <v>4.4000000000000004</v>
      </c>
      <c r="AR29" s="274">
        <f>VLOOKUP(U29,'[1]- DLiêu Gốc -'!$B$1:$E$56,4,0)</f>
        <v>0.34</v>
      </c>
      <c r="AT29" s="274" t="str">
        <f t="shared" si="13"/>
        <v>PCTN</v>
      </c>
      <c r="AU29" s="279">
        <v>12</v>
      </c>
      <c r="AV29" s="280" t="s">
        <v>38</v>
      </c>
      <c r="AW29" s="279">
        <f t="shared" si="14"/>
        <v>13</v>
      </c>
      <c r="AX29" s="281" t="s">
        <v>38</v>
      </c>
      <c r="AY29" s="282">
        <v>5</v>
      </c>
      <c r="AZ29" s="169" t="s">
        <v>10</v>
      </c>
      <c r="BA29" s="283">
        <v>2016</v>
      </c>
      <c r="BB29" s="253"/>
      <c r="BC29" s="253"/>
      <c r="BD29" s="180"/>
      <c r="BE29" s="253">
        <v>5</v>
      </c>
      <c r="BF29" s="180">
        <f t="shared" si="15"/>
        <v>-24197</v>
      </c>
      <c r="BG29" s="140" t="str">
        <f t="shared" si="16"/>
        <v>- - -</v>
      </c>
      <c r="BH29" s="253" t="str">
        <f t="shared" si="17"/>
        <v>VC</v>
      </c>
      <c r="BI29" s="139"/>
      <c r="BJ29" s="347"/>
      <c r="BK29" s="347" t="s">
        <v>93</v>
      </c>
      <c r="BL29" s="327" t="str">
        <f t="shared" si="18"/>
        <v>A</v>
      </c>
      <c r="BM29" s="348" t="str">
        <f t="shared" si="19"/>
        <v>=&gt; s</v>
      </c>
      <c r="BN29" s="327">
        <f t="shared" si="20"/>
        <v>24193</v>
      </c>
      <c r="BO29" s="347" t="str">
        <f t="shared" si="21"/>
        <v>S</v>
      </c>
      <c r="BP29" s="327">
        <v>2009</v>
      </c>
      <c r="BQ29" s="349" t="s">
        <v>36</v>
      </c>
      <c r="BR29" s="349"/>
      <c r="BS29" s="350"/>
      <c r="BT29" s="351" t="str">
        <f t="shared" si="22"/>
        <v>- - -</v>
      </c>
      <c r="BU29" s="351" t="str">
        <f t="shared" si="23"/>
        <v>NN</v>
      </c>
      <c r="BV29" s="351">
        <v>1</v>
      </c>
      <c r="BW29" s="351" t="s">
        <v>31</v>
      </c>
      <c r="BX29" s="351"/>
      <c r="BY29" s="351"/>
      <c r="BZ29" s="349" t="str">
        <f t="shared" si="24"/>
        <v>- - -</v>
      </c>
      <c r="CA29" s="327"/>
      <c r="CB29" s="327"/>
      <c r="CC29" s="352"/>
      <c r="CD29" s="352"/>
      <c r="CE29" s="351" t="str">
        <f t="shared" si="25"/>
        <v>---</v>
      </c>
      <c r="CF29" s="327" t="str">
        <f t="shared" si="26"/>
        <v>/-/ /-/</v>
      </c>
      <c r="CG29" s="327">
        <f t="shared" si="27"/>
        <v>8</v>
      </c>
      <c r="CH29" s="327">
        <f t="shared" si="28"/>
        <v>2030</v>
      </c>
      <c r="CI29" s="351">
        <f t="shared" si="29"/>
        <v>5</v>
      </c>
      <c r="CJ29" s="351">
        <f t="shared" si="30"/>
        <v>2030</v>
      </c>
      <c r="CK29" s="347">
        <f t="shared" si="31"/>
        <v>2</v>
      </c>
      <c r="CL29" s="327">
        <f t="shared" si="32"/>
        <v>2030</v>
      </c>
      <c r="CM29" s="327" t="str">
        <f t="shared" si="33"/>
        <v>- - -</v>
      </c>
      <c r="CN29" s="327" t="str">
        <f t="shared" si="34"/>
        <v>. .</v>
      </c>
      <c r="CO29" s="327"/>
      <c r="CP29" s="348">
        <f t="shared" si="35"/>
        <v>720</v>
      </c>
      <c r="CQ29" s="348">
        <f t="shared" si="36"/>
        <v>-23635</v>
      </c>
      <c r="CR29" s="327">
        <f t="shared" si="37"/>
        <v>-1970</v>
      </c>
      <c r="CS29" s="348" t="str">
        <f t="shared" si="38"/>
        <v>Nam dưới 35</v>
      </c>
      <c r="CT29" s="351"/>
      <c r="CU29" s="351"/>
      <c r="CV29" s="351" t="str">
        <f t="shared" si="39"/>
        <v>Đến 30</v>
      </c>
      <c r="CW29" s="351" t="str">
        <f t="shared" si="40"/>
        <v>TD</v>
      </c>
      <c r="CX29" s="351">
        <v>2008</v>
      </c>
      <c r="CY29" s="351"/>
      <c r="CZ29" s="351"/>
      <c r="DA29" s="351"/>
      <c r="DB29" s="351"/>
      <c r="DC29" s="351"/>
      <c r="DD29" s="351"/>
      <c r="DE29" s="351"/>
      <c r="DF29" s="351"/>
      <c r="DG29" s="351" t="s">
        <v>143</v>
      </c>
      <c r="DH29" s="351" t="s">
        <v>9</v>
      </c>
      <c r="DI29" s="351" t="s">
        <v>10</v>
      </c>
      <c r="DJ29" s="351" t="s">
        <v>9</v>
      </c>
      <c r="DK29" s="351" t="s">
        <v>10</v>
      </c>
      <c r="DL29" s="423">
        <v>2014</v>
      </c>
      <c r="DM29" s="142">
        <f t="shared" si="41"/>
        <v>0</v>
      </c>
      <c r="DN29" s="142" t="str">
        <f t="shared" si="42"/>
        <v>- - -</v>
      </c>
      <c r="DO29" s="142" t="s">
        <v>9</v>
      </c>
      <c r="DP29" s="142" t="s">
        <v>10</v>
      </c>
      <c r="DQ29" s="142" t="s">
        <v>9</v>
      </c>
      <c r="DR29" s="142" t="s">
        <v>10</v>
      </c>
      <c r="DS29" s="142">
        <v>2014</v>
      </c>
      <c r="DT29" s="142">
        <v>3.66</v>
      </c>
      <c r="DU29" s="142" t="str">
        <f t="shared" si="43"/>
        <v>- - -</v>
      </c>
      <c r="DV29" s="142" t="str">
        <f t="shared" si="44"/>
        <v>---</v>
      </c>
    </row>
    <row r="30" spans="1:126" s="142" customFormat="1" ht="28.5" customHeight="1" x14ac:dyDescent="0.25">
      <c r="A30" s="139">
        <v>298</v>
      </c>
      <c r="B30" s="273">
        <v>15</v>
      </c>
      <c r="C30" s="139" t="str">
        <f t="shared" si="0"/>
        <v>Bà</v>
      </c>
      <c r="D30" s="328" t="s">
        <v>196</v>
      </c>
      <c r="E30" s="139" t="s">
        <v>32</v>
      </c>
      <c r="F30" s="276" t="s">
        <v>42</v>
      </c>
      <c r="G30" s="276" t="s">
        <v>10</v>
      </c>
      <c r="H30" s="276" t="s">
        <v>40</v>
      </c>
      <c r="I30" s="276" t="s">
        <v>10</v>
      </c>
      <c r="J30" s="139">
        <v>1975</v>
      </c>
      <c r="K30" s="139" t="e">
        <f>IF(AND((M30+0)&gt;0.3,(M30+0)&lt;1.5),"CVụ","- -")</f>
        <v>#VALUE!</v>
      </c>
      <c r="L30" s="139" t="s">
        <v>97</v>
      </c>
      <c r="M30" s="143" t="str">
        <f>VLOOKUP(L30,'[1]- DLiêu Gốc -'!$B$2:$G$121,2,0)</f>
        <v>0,6</v>
      </c>
      <c r="N30" s="299" t="s">
        <v>197</v>
      </c>
      <c r="O30" s="292" t="s">
        <v>149</v>
      </c>
      <c r="P30" s="165" t="str">
        <f>VLOOKUP(U30,'[1]- DLiêu Gốc -'!$B$2:$G$56,5,0)</f>
        <v>A2</v>
      </c>
      <c r="Q30" s="165" t="str">
        <f>VLOOKUP(U30,'[1]- DLiêu Gốc -'!$B$2:$G$56,6,0)</f>
        <v>A2.1</v>
      </c>
      <c r="R30" s="139" t="s">
        <v>34</v>
      </c>
      <c r="S30" s="277" t="str">
        <f t="shared" si="1"/>
        <v>Giảng viên chính (hạng II)</v>
      </c>
      <c r="T30" s="278" t="str">
        <f t="shared" si="2"/>
        <v>V.07.01.02</v>
      </c>
      <c r="U30" s="180" t="s">
        <v>45</v>
      </c>
      <c r="V30" s="141" t="str">
        <f>VLOOKUP(U30,'[1]- DLiêu Gốc -'!$B$1:$G$121,2,0)</f>
        <v>V.07.01.02</v>
      </c>
      <c r="W30" s="274" t="str">
        <f t="shared" si="3"/>
        <v>Lương</v>
      </c>
      <c r="X30" s="274">
        <v>1</v>
      </c>
      <c r="Y30" s="274" t="str">
        <f t="shared" si="4"/>
        <v>/</v>
      </c>
      <c r="Z30" s="274">
        <f t="shared" si="5"/>
        <v>8</v>
      </c>
      <c r="AA30" s="274">
        <f t="shared" si="6"/>
        <v>4.4000000000000004</v>
      </c>
      <c r="AB30" s="274">
        <f t="shared" si="7"/>
        <v>2</v>
      </c>
      <c r="AC30" s="274" t="str">
        <f t="shared" si="8"/>
        <v>/</v>
      </c>
      <c r="AD30" s="274">
        <f t="shared" si="9"/>
        <v>8</v>
      </c>
      <c r="AE30" s="274">
        <f t="shared" si="10"/>
        <v>4.74</v>
      </c>
      <c r="AF30" s="274" t="s">
        <v>9</v>
      </c>
      <c r="AG30" s="274" t="s">
        <v>10</v>
      </c>
      <c r="AH30" s="274" t="s">
        <v>9</v>
      </c>
      <c r="AI30" s="274" t="s">
        <v>10</v>
      </c>
      <c r="AJ30" s="274">
        <v>2014</v>
      </c>
      <c r="AK30" s="147"/>
      <c r="AL30" s="141"/>
      <c r="AM30" s="274">
        <f t="shared" si="11"/>
        <v>3</v>
      </c>
      <c r="AN30" s="274">
        <f t="shared" si="12"/>
        <v>-24169</v>
      </c>
      <c r="AO30" s="180"/>
      <c r="AP30" s="180"/>
      <c r="AQ30" s="274">
        <f>VLOOKUP(U30,'[1]- DLiêu Gốc -'!$B$1:$E$56,3,0)</f>
        <v>4.4000000000000004</v>
      </c>
      <c r="AR30" s="274">
        <f>VLOOKUP(U30,'[1]- DLiêu Gốc -'!$B$1:$E$56,4,0)</f>
        <v>0.34</v>
      </c>
      <c r="AT30" s="274" t="str">
        <f t="shared" si="13"/>
        <v>PCTN</v>
      </c>
      <c r="AU30" s="279">
        <v>15</v>
      </c>
      <c r="AV30" s="280" t="s">
        <v>38</v>
      </c>
      <c r="AW30" s="279">
        <f t="shared" si="14"/>
        <v>16</v>
      </c>
      <c r="AX30" s="281" t="s">
        <v>38</v>
      </c>
      <c r="AY30" s="282" t="s">
        <v>95</v>
      </c>
      <c r="AZ30" s="169" t="s">
        <v>10</v>
      </c>
      <c r="BA30" s="283">
        <v>2016</v>
      </c>
      <c r="BB30" s="253"/>
      <c r="BC30" s="253"/>
      <c r="BD30" s="180"/>
      <c r="BE30" s="253">
        <v>5</v>
      </c>
      <c r="BF30" s="180">
        <f t="shared" si="15"/>
        <v>-24197</v>
      </c>
      <c r="BG30" s="140" t="str">
        <f t="shared" si="16"/>
        <v>- - -</v>
      </c>
      <c r="BH30" s="253" t="str">
        <f t="shared" si="17"/>
        <v>VC</v>
      </c>
      <c r="BI30" s="139"/>
      <c r="BJ30" s="347"/>
      <c r="BK30" s="347" t="s">
        <v>93</v>
      </c>
      <c r="BL30" s="327" t="str">
        <f t="shared" si="18"/>
        <v>A</v>
      </c>
      <c r="BM30" s="348" t="str">
        <f t="shared" si="19"/>
        <v>=&gt; s</v>
      </c>
      <c r="BN30" s="327">
        <f t="shared" si="20"/>
        <v>24193</v>
      </c>
      <c r="BO30" s="347" t="str">
        <f t="shared" si="21"/>
        <v>S</v>
      </c>
      <c r="BP30" s="327">
        <v>2009</v>
      </c>
      <c r="BQ30" s="349" t="s">
        <v>36</v>
      </c>
      <c r="BR30" s="349"/>
      <c r="BS30" s="350"/>
      <c r="BT30" s="351" t="str">
        <f t="shared" si="22"/>
        <v>- - -</v>
      </c>
      <c r="BU30" s="351" t="str">
        <f t="shared" si="23"/>
        <v>NN</v>
      </c>
      <c r="BV30" s="351">
        <v>1</v>
      </c>
      <c r="BW30" s="351" t="s">
        <v>31</v>
      </c>
      <c r="BX30" s="351"/>
      <c r="BY30" s="351"/>
      <c r="BZ30" s="349" t="str">
        <f t="shared" si="24"/>
        <v>- - -</v>
      </c>
      <c r="CA30" s="327"/>
      <c r="CB30" s="327"/>
      <c r="CC30" s="352"/>
      <c r="CD30" s="352"/>
      <c r="CE30" s="351" t="str">
        <f t="shared" si="25"/>
        <v>---</v>
      </c>
      <c r="CF30" s="327" t="str">
        <f t="shared" si="26"/>
        <v>/-/ /-/</v>
      </c>
      <c r="CG30" s="327">
        <f t="shared" si="27"/>
        <v>12</v>
      </c>
      <c r="CH30" s="327">
        <f t="shared" si="28"/>
        <v>2030</v>
      </c>
      <c r="CI30" s="351">
        <f t="shared" si="29"/>
        <v>9</v>
      </c>
      <c r="CJ30" s="351">
        <f t="shared" si="30"/>
        <v>2030</v>
      </c>
      <c r="CK30" s="347">
        <f t="shared" si="31"/>
        <v>6</v>
      </c>
      <c r="CL30" s="327">
        <f t="shared" si="32"/>
        <v>2030</v>
      </c>
      <c r="CM30" s="327" t="str">
        <f t="shared" si="33"/>
        <v>- - -</v>
      </c>
      <c r="CN30" s="327" t="str">
        <f t="shared" si="34"/>
        <v>. .</v>
      </c>
      <c r="CO30" s="327"/>
      <c r="CP30" s="348">
        <f t="shared" si="35"/>
        <v>660</v>
      </c>
      <c r="CQ30" s="348">
        <f t="shared" si="36"/>
        <v>-23699</v>
      </c>
      <c r="CR30" s="327">
        <f t="shared" si="37"/>
        <v>-1975</v>
      </c>
      <c r="CS30" s="348" t="str">
        <f t="shared" si="38"/>
        <v>Nữ dưới 30</v>
      </c>
      <c r="CT30" s="351"/>
      <c r="CU30" s="351"/>
      <c r="CV30" s="351" t="str">
        <f t="shared" si="39"/>
        <v>Đến 30</v>
      </c>
      <c r="CW30" s="351" t="str">
        <f t="shared" si="40"/>
        <v>--</v>
      </c>
      <c r="CX30" s="351"/>
      <c r="CY30" s="351"/>
      <c r="CZ30" s="351"/>
      <c r="DA30" s="351"/>
      <c r="DB30" s="351"/>
      <c r="DC30" s="351"/>
      <c r="DD30" s="351"/>
      <c r="DE30" s="351"/>
      <c r="DF30" s="351"/>
      <c r="DG30" s="351" t="s">
        <v>197</v>
      </c>
      <c r="DH30" s="351" t="s">
        <v>9</v>
      </c>
      <c r="DI30" s="351" t="s">
        <v>10</v>
      </c>
      <c r="DJ30" s="351" t="s">
        <v>9</v>
      </c>
      <c r="DK30" s="351" t="s">
        <v>10</v>
      </c>
      <c r="DL30" s="423">
        <v>2014</v>
      </c>
      <c r="DM30" s="142">
        <f t="shared" si="41"/>
        <v>0</v>
      </c>
      <c r="DN30" s="142" t="str">
        <f t="shared" si="42"/>
        <v>- - -</v>
      </c>
      <c r="DO30" s="142" t="s">
        <v>9</v>
      </c>
      <c r="DP30" s="142" t="s">
        <v>10</v>
      </c>
      <c r="DQ30" s="142" t="s">
        <v>9</v>
      </c>
      <c r="DR30" s="142" t="s">
        <v>10</v>
      </c>
      <c r="DS30" s="142">
        <v>2014</v>
      </c>
      <c r="DT30" s="142">
        <v>3.66</v>
      </c>
      <c r="DU30" s="142" t="str">
        <f t="shared" si="43"/>
        <v>- - -</v>
      </c>
      <c r="DV30" s="142" t="str">
        <f t="shared" si="44"/>
        <v>---</v>
      </c>
    </row>
    <row r="31" spans="1:126" s="142" customFormat="1" ht="28.5" customHeight="1" x14ac:dyDescent="0.25">
      <c r="A31" s="139">
        <v>299</v>
      </c>
      <c r="B31" s="273">
        <v>16</v>
      </c>
      <c r="C31" s="139" t="str">
        <f t="shared" si="0"/>
        <v>Bà</v>
      </c>
      <c r="D31" s="328" t="s">
        <v>198</v>
      </c>
      <c r="E31" s="139" t="s">
        <v>32</v>
      </c>
      <c r="F31" s="276" t="s">
        <v>113</v>
      </c>
      <c r="G31" s="276" t="s">
        <v>10</v>
      </c>
      <c r="H31" s="276">
        <v>5</v>
      </c>
      <c r="I31" s="276" t="s">
        <v>10</v>
      </c>
      <c r="J31" s="139">
        <v>1977</v>
      </c>
      <c r="K31" s="139"/>
      <c r="L31" s="139"/>
      <c r="M31" s="143" t="e">
        <f>VLOOKUP(L31,'[1]- DLiêu Gốc -'!$B$2:$G$121,2,0)</f>
        <v>#N/A</v>
      </c>
      <c r="N31" s="299" t="s">
        <v>197</v>
      </c>
      <c r="O31" s="292" t="s">
        <v>149</v>
      </c>
      <c r="P31" s="165" t="str">
        <f>VLOOKUP(U31,'[1]- DLiêu Gốc -'!$B$2:$G$56,5,0)</f>
        <v>A1</v>
      </c>
      <c r="Q31" s="165" t="str">
        <f>VLOOKUP(U31,'[1]- DLiêu Gốc -'!$B$2:$G$56,6,0)</f>
        <v>- - -</v>
      </c>
      <c r="R31" s="139" t="s">
        <v>34</v>
      </c>
      <c r="S31" s="277" t="str">
        <f t="shared" si="1"/>
        <v>Giảng viên (hạng III)</v>
      </c>
      <c r="T31" s="278" t="str">
        <f t="shared" si="2"/>
        <v>V.07.01.03</v>
      </c>
      <c r="U31" s="180" t="s">
        <v>35</v>
      </c>
      <c r="V31" s="141" t="str">
        <f>VLOOKUP(U31,'[1]- DLiêu Gốc -'!$B$1:$G$121,2,0)</f>
        <v>V.07.01.03</v>
      </c>
      <c r="W31" s="274" t="str">
        <f t="shared" si="3"/>
        <v>Lương</v>
      </c>
      <c r="X31" s="274">
        <v>4</v>
      </c>
      <c r="Y31" s="274" t="str">
        <f t="shared" si="4"/>
        <v>/</v>
      </c>
      <c r="Z31" s="274">
        <f t="shared" si="5"/>
        <v>9</v>
      </c>
      <c r="AA31" s="274">
        <f t="shared" si="6"/>
        <v>3.33</v>
      </c>
      <c r="AB31" s="274">
        <f t="shared" si="7"/>
        <v>5</v>
      </c>
      <c r="AC31" s="274" t="str">
        <f t="shared" si="8"/>
        <v>/</v>
      </c>
      <c r="AD31" s="274">
        <f t="shared" si="9"/>
        <v>9</v>
      </c>
      <c r="AE31" s="274">
        <f t="shared" si="10"/>
        <v>3.66</v>
      </c>
      <c r="AF31" s="274" t="s">
        <v>9</v>
      </c>
      <c r="AG31" s="274" t="s">
        <v>10</v>
      </c>
      <c r="AH31" s="274" t="s">
        <v>9</v>
      </c>
      <c r="AI31" s="274" t="s">
        <v>10</v>
      </c>
      <c r="AJ31" s="274">
        <v>2014</v>
      </c>
      <c r="AK31" s="147"/>
      <c r="AL31" s="141"/>
      <c r="AM31" s="274">
        <f t="shared" si="11"/>
        <v>3</v>
      </c>
      <c r="AN31" s="274">
        <f t="shared" si="12"/>
        <v>-24169</v>
      </c>
      <c r="AO31" s="180"/>
      <c r="AP31" s="180"/>
      <c r="AQ31" s="274">
        <f>VLOOKUP(U31,'[1]- DLiêu Gốc -'!$B$1:$E$56,3,0)</f>
        <v>2.34</v>
      </c>
      <c r="AR31" s="274">
        <f>VLOOKUP(U31,'[1]- DLiêu Gốc -'!$B$1:$E$56,4,0)</f>
        <v>0.33</v>
      </c>
      <c r="AT31" s="274" t="str">
        <f t="shared" si="13"/>
        <v>PCTN</v>
      </c>
      <c r="AU31" s="279">
        <v>12</v>
      </c>
      <c r="AV31" s="280" t="s">
        <v>38</v>
      </c>
      <c r="AW31" s="279">
        <f t="shared" si="14"/>
        <v>13</v>
      </c>
      <c r="AX31" s="281" t="s">
        <v>38</v>
      </c>
      <c r="AY31" s="282">
        <v>5</v>
      </c>
      <c r="AZ31" s="169" t="s">
        <v>10</v>
      </c>
      <c r="BA31" s="283">
        <v>2016</v>
      </c>
      <c r="BB31" s="253"/>
      <c r="BC31" s="253"/>
      <c r="BD31" s="180"/>
      <c r="BE31" s="253">
        <v>5</v>
      </c>
      <c r="BF31" s="180">
        <f t="shared" si="15"/>
        <v>-24197</v>
      </c>
      <c r="BG31" s="140" t="str">
        <f t="shared" si="16"/>
        <v>- - -</v>
      </c>
      <c r="BH31" s="253" t="str">
        <f t="shared" si="17"/>
        <v>VC</v>
      </c>
      <c r="BI31" s="139"/>
      <c r="BJ31" s="347"/>
      <c r="BK31" s="347" t="s">
        <v>93</v>
      </c>
      <c r="BL31" s="327" t="str">
        <f t="shared" si="18"/>
        <v>A</v>
      </c>
      <c r="BM31" s="348" t="str">
        <f t="shared" si="19"/>
        <v>=&gt; s</v>
      </c>
      <c r="BN31" s="327">
        <f t="shared" si="20"/>
        <v>24193</v>
      </c>
      <c r="BO31" s="347" t="str">
        <f t="shared" si="21"/>
        <v>S</v>
      </c>
      <c r="BP31" s="327">
        <v>2013</v>
      </c>
      <c r="BQ31" s="349" t="s">
        <v>36</v>
      </c>
      <c r="BR31" s="349"/>
      <c r="BS31" s="350"/>
      <c r="BT31" s="351" t="str">
        <f t="shared" si="22"/>
        <v>Cùg Ng</v>
      </c>
      <c r="BU31" s="351" t="str">
        <f t="shared" si="23"/>
        <v>- - -</v>
      </c>
      <c r="BV31" s="351"/>
      <c r="BW31" s="351"/>
      <c r="BX31" s="351"/>
      <c r="BY31" s="351"/>
      <c r="BZ31" s="349" t="str">
        <f t="shared" si="24"/>
        <v>- - -</v>
      </c>
      <c r="CA31" s="327"/>
      <c r="CB31" s="327"/>
      <c r="CC31" s="352"/>
      <c r="CD31" s="352"/>
      <c r="CE31" s="351" t="str">
        <f t="shared" si="25"/>
        <v>---</v>
      </c>
      <c r="CF31" s="327" t="str">
        <f t="shared" si="26"/>
        <v>/-/ /-/</v>
      </c>
      <c r="CG31" s="327">
        <f t="shared" si="27"/>
        <v>6</v>
      </c>
      <c r="CH31" s="327">
        <f t="shared" si="28"/>
        <v>2032</v>
      </c>
      <c r="CI31" s="351">
        <f t="shared" si="29"/>
        <v>3</v>
      </c>
      <c r="CJ31" s="351">
        <f t="shared" si="30"/>
        <v>2032</v>
      </c>
      <c r="CK31" s="347">
        <f t="shared" si="31"/>
        <v>12</v>
      </c>
      <c r="CL31" s="327">
        <f t="shared" si="32"/>
        <v>2031</v>
      </c>
      <c r="CM31" s="327" t="str">
        <f t="shared" si="33"/>
        <v>- - -</v>
      </c>
      <c r="CN31" s="327" t="str">
        <f t="shared" si="34"/>
        <v>. .</v>
      </c>
      <c r="CO31" s="327"/>
      <c r="CP31" s="348">
        <f t="shared" si="35"/>
        <v>660</v>
      </c>
      <c r="CQ31" s="348">
        <f t="shared" si="36"/>
        <v>-23717</v>
      </c>
      <c r="CR31" s="327">
        <f t="shared" si="37"/>
        <v>-1977</v>
      </c>
      <c r="CS31" s="348" t="str">
        <f t="shared" si="38"/>
        <v>Nữ dưới 30</v>
      </c>
      <c r="CT31" s="351"/>
      <c r="CU31" s="351"/>
      <c r="CV31" s="351" t="str">
        <f t="shared" si="39"/>
        <v>Đến 30</v>
      </c>
      <c r="CW31" s="351" t="str">
        <f t="shared" si="40"/>
        <v>TD</v>
      </c>
      <c r="CX31" s="351">
        <v>2009</v>
      </c>
      <c r="CY31" s="351"/>
      <c r="CZ31" s="351"/>
      <c r="DA31" s="351"/>
      <c r="DB31" s="351"/>
      <c r="DC31" s="351"/>
      <c r="DD31" s="351"/>
      <c r="DE31" s="351"/>
      <c r="DF31" s="351"/>
      <c r="DG31" s="351" t="s">
        <v>197</v>
      </c>
      <c r="DH31" s="351" t="s">
        <v>9</v>
      </c>
      <c r="DI31" s="351" t="s">
        <v>10</v>
      </c>
      <c r="DJ31" s="351" t="s">
        <v>9</v>
      </c>
      <c r="DK31" s="351" t="s">
        <v>10</v>
      </c>
      <c r="DL31" s="423">
        <v>2014</v>
      </c>
      <c r="DM31" s="142">
        <f t="shared" si="41"/>
        <v>0</v>
      </c>
      <c r="DN31" s="142" t="str">
        <f t="shared" si="42"/>
        <v>- - -</v>
      </c>
      <c r="DO31" s="142" t="s">
        <v>9</v>
      </c>
      <c r="DP31" s="142" t="s">
        <v>10</v>
      </c>
      <c r="DQ31" s="142" t="s">
        <v>9</v>
      </c>
      <c r="DR31" s="142" t="s">
        <v>10</v>
      </c>
      <c r="DS31" s="142">
        <v>2014</v>
      </c>
      <c r="DU31" s="142" t="str">
        <f t="shared" si="43"/>
        <v>- - -</v>
      </c>
      <c r="DV31" s="142" t="str">
        <f t="shared" si="44"/>
        <v>---</v>
      </c>
    </row>
    <row r="32" spans="1:126" s="142" customFormat="1" ht="28.5" customHeight="1" x14ac:dyDescent="0.25">
      <c r="A32" s="139">
        <v>301</v>
      </c>
      <c r="B32" s="273">
        <v>17</v>
      </c>
      <c r="C32" s="139" t="str">
        <f t="shared" si="0"/>
        <v>Ông</v>
      </c>
      <c r="D32" s="328" t="s">
        <v>199</v>
      </c>
      <c r="E32" s="139" t="s">
        <v>39</v>
      </c>
      <c r="F32" s="276" t="s">
        <v>9</v>
      </c>
      <c r="G32" s="276" t="s">
        <v>10</v>
      </c>
      <c r="H32" s="276" t="s">
        <v>40</v>
      </c>
      <c r="I32" s="276" t="s">
        <v>10</v>
      </c>
      <c r="J32" s="139" t="s">
        <v>200</v>
      </c>
      <c r="K32" s="139"/>
      <c r="L32" s="139"/>
      <c r="M32" s="143" t="e">
        <f>VLOOKUP(L32,'[1]- DLiêu Gốc -'!$B$2:$G$121,2,0)</f>
        <v>#N/A</v>
      </c>
      <c r="N32" s="299" t="s">
        <v>152</v>
      </c>
      <c r="O32" s="292" t="s">
        <v>149</v>
      </c>
      <c r="P32" s="165" t="str">
        <f>VLOOKUP(U32,'[1]- DLiêu Gốc -'!$B$2:$G$56,5,0)</f>
        <v>A2</v>
      </c>
      <c r="Q32" s="165" t="str">
        <f>VLOOKUP(U32,'[1]- DLiêu Gốc -'!$B$2:$G$56,6,0)</f>
        <v>A2.1</v>
      </c>
      <c r="R32" s="139" t="s">
        <v>34</v>
      </c>
      <c r="S32" s="277" t="str">
        <f t="shared" si="1"/>
        <v>Giảng viên chính (hạng II)</v>
      </c>
      <c r="T32" s="278" t="str">
        <f t="shared" si="2"/>
        <v>V.07.01.02</v>
      </c>
      <c r="U32" s="180" t="s">
        <v>45</v>
      </c>
      <c r="V32" s="141" t="str">
        <f>VLOOKUP(U32,'[1]- DLiêu Gốc -'!$B$1:$G$121,2,0)</f>
        <v>V.07.01.02</v>
      </c>
      <c r="W32" s="274" t="str">
        <f t="shared" si="3"/>
        <v>Lương</v>
      </c>
      <c r="X32" s="274">
        <v>1</v>
      </c>
      <c r="Y32" s="274" t="str">
        <f t="shared" si="4"/>
        <v>/</v>
      </c>
      <c r="Z32" s="274">
        <f t="shared" si="5"/>
        <v>8</v>
      </c>
      <c r="AA32" s="274">
        <f t="shared" si="6"/>
        <v>4.4000000000000004</v>
      </c>
      <c r="AB32" s="274">
        <f t="shared" si="7"/>
        <v>2</v>
      </c>
      <c r="AC32" s="274" t="str">
        <f t="shared" si="8"/>
        <v>/</v>
      </c>
      <c r="AD32" s="274">
        <f t="shared" si="9"/>
        <v>8</v>
      </c>
      <c r="AE32" s="274">
        <f t="shared" si="10"/>
        <v>4.74</v>
      </c>
      <c r="AF32" s="274" t="s">
        <v>9</v>
      </c>
      <c r="AG32" s="274" t="s">
        <v>10</v>
      </c>
      <c r="AH32" s="274" t="s">
        <v>11</v>
      </c>
      <c r="AI32" s="274" t="s">
        <v>10</v>
      </c>
      <c r="AJ32" s="274">
        <v>2015</v>
      </c>
      <c r="AK32" s="147"/>
      <c r="AL32" s="141">
        <v>7</v>
      </c>
      <c r="AM32" s="274">
        <f t="shared" si="11"/>
        <v>3</v>
      </c>
      <c r="AN32" s="274">
        <f t="shared" si="12"/>
        <v>-24187</v>
      </c>
      <c r="AO32" s="180"/>
      <c r="AP32" s="180"/>
      <c r="AQ32" s="274">
        <f>VLOOKUP(U32,'[1]- DLiêu Gốc -'!$B$1:$E$56,3,0)</f>
        <v>4.4000000000000004</v>
      </c>
      <c r="AR32" s="274">
        <f>VLOOKUP(U32,'[1]- DLiêu Gốc -'!$B$1:$E$56,4,0)</f>
        <v>0.34</v>
      </c>
      <c r="AT32" s="274" t="str">
        <f t="shared" si="13"/>
        <v>PCTN</v>
      </c>
      <c r="AU32" s="279">
        <v>12</v>
      </c>
      <c r="AV32" s="280" t="s">
        <v>38</v>
      </c>
      <c r="AW32" s="279">
        <f t="shared" si="14"/>
        <v>13</v>
      </c>
      <c r="AX32" s="281" t="s">
        <v>38</v>
      </c>
      <c r="AY32" s="282">
        <v>5</v>
      </c>
      <c r="AZ32" s="169" t="s">
        <v>10</v>
      </c>
      <c r="BA32" s="283">
        <v>2016</v>
      </c>
      <c r="BB32" s="253"/>
      <c r="BC32" s="253"/>
      <c r="BD32" s="180"/>
      <c r="BE32" s="253">
        <v>5</v>
      </c>
      <c r="BF32" s="180">
        <f t="shared" si="15"/>
        <v>-24197</v>
      </c>
      <c r="BG32" s="140" t="str">
        <f t="shared" si="16"/>
        <v>- - -</v>
      </c>
      <c r="BH32" s="253" t="str">
        <f t="shared" si="17"/>
        <v>VC</v>
      </c>
      <c r="BI32" s="139"/>
      <c r="BJ32" s="347"/>
      <c r="BK32" s="347" t="s">
        <v>93</v>
      </c>
      <c r="BL32" s="327" t="str">
        <f t="shared" si="18"/>
        <v>A</v>
      </c>
      <c r="BM32" s="348" t="str">
        <f t="shared" si="19"/>
        <v>=&gt; s</v>
      </c>
      <c r="BN32" s="327">
        <f t="shared" si="20"/>
        <v>24211</v>
      </c>
      <c r="BO32" s="347" t="str">
        <f t="shared" si="21"/>
        <v>---</v>
      </c>
      <c r="BP32" s="327"/>
      <c r="BQ32" s="349"/>
      <c r="BR32" s="349"/>
      <c r="BS32" s="350"/>
      <c r="BT32" s="351" t="str">
        <f t="shared" si="22"/>
        <v>- - -</v>
      </c>
      <c r="BU32" s="351" t="str">
        <f t="shared" si="23"/>
        <v>NN</v>
      </c>
      <c r="BV32" s="351">
        <v>7</v>
      </c>
      <c r="BW32" s="351">
        <v>2012</v>
      </c>
      <c r="BX32" s="351"/>
      <c r="BY32" s="351"/>
      <c r="BZ32" s="349" t="str">
        <f t="shared" si="24"/>
        <v>- - -</v>
      </c>
      <c r="CA32" s="327"/>
      <c r="CB32" s="327"/>
      <c r="CC32" s="352"/>
      <c r="CD32" s="352"/>
      <c r="CE32" s="351" t="str">
        <f t="shared" si="25"/>
        <v>---</v>
      </c>
      <c r="CF32" s="327" t="str">
        <f t="shared" si="26"/>
        <v>/-/ /-/</v>
      </c>
      <c r="CG32" s="327">
        <f t="shared" si="27"/>
        <v>12</v>
      </c>
      <c r="CH32" s="327">
        <f t="shared" si="28"/>
        <v>2033</v>
      </c>
      <c r="CI32" s="351">
        <f t="shared" si="29"/>
        <v>9</v>
      </c>
      <c r="CJ32" s="351">
        <f t="shared" si="30"/>
        <v>2033</v>
      </c>
      <c r="CK32" s="347">
        <f t="shared" si="31"/>
        <v>6</v>
      </c>
      <c r="CL32" s="327">
        <f t="shared" si="32"/>
        <v>2033</v>
      </c>
      <c r="CM32" s="327" t="str">
        <f t="shared" si="33"/>
        <v>- - -</v>
      </c>
      <c r="CN32" s="327" t="str">
        <f t="shared" si="34"/>
        <v>. .</v>
      </c>
      <c r="CO32" s="327"/>
      <c r="CP32" s="348">
        <f t="shared" si="35"/>
        <v>720</v>
      </c>
      <c r="CQ32" s="348">
        <f t="shared" si="36"/>
        <v>-23675</v>
      </c>
      <c r="CR32" s="327">
        <f t="shared" si="37"/>
        <v>-1973</v>
      </c>
      <c r="CS32" s="348" t="str">
        <f t="shared" si="38"/>
        <v>Nam dưới 35</v>
      </c>
      <c r="CT32" s="351"/>
      <c r="CU32" s="351"/>
      <c r="CV32" s="351" t="str">
        <f t="shared" si="39"/>
        <v>Đến 30</v>
      </c>
      <c r="CW32" s="351" t="str">
        <f t="shared" si="40"/>
        <v>TD</v>
      </c>
      <c r="CX32" s="351">
        <v>2008</v>
      </c>
      <c r="CY32" s="351"/>
      <c r="CZ32" s="351"/>
      <c r="DA32" s="351"/>
      <c r="DB32" s="351"/>
      <c r="DC32" s="351"/>
      <c r="DD32" s="351"/>
      <c r="DE32" s="351"/>
      <c r="DF32" s="351"/>
      <c r="DG32" s="351" t="s">
        <v>152</v>
      </c>
      <c r="DH32" s="351" t="s">
        <v>9</v>
      </c>
      <c r="DI32" s="351" t="s">
        <v>10</v>
      </c>
      <c r="DJ32" s="351" t="s">
        <v>11</v>
      </c>
      <c r="DK32" s="351" t="s">
        <v>10</v>
      </c>
      <c r="DL32" s="423">
        <v>2012</v>
      </c>
      <c r="DM32" s="142">
        <f t="shared" si="41"/>
        <v>0</v>
      </c>
      <c r="DN32" s="142" t="str">
        <f t="shared" si="42"/>
        <v>- - -</v>
      </c>
      <c r="DO32" s="142" t="s">
        <v>9</v>
      </c>
      <c r="DP32" s="142" t="s">
        <v>10</v>
      </c>
      <c r="DQ32" s="142" t="s">
        <v>11</v>
      </c>
      <c r="DR32" s="142" t="s">
        <v>10</v>
      </c>
      <c r="DS32" s="142">
        <v>2012</v>
      </c>
      <c r="DT32" s="142">
        <v>3.66</v>
      </c>
      <c r="DU32" s="142" t="str">
        <f t="shared" si="43"/>
        <v>- - -</v>
      </c>
      <c r="DV32" s="142" t="str">
        <f t="shared" si="44"/>
        <v>---</v>
      </c>
    </row>
    <row r="33" spans="1:126" s="142" customFormat="1" ht="28.5" customHeight="1" x14ac:dyDescent="0.25">
      <c r="A33" s="139">
        <v>303</v>
      </c>
      <c r="B33" s="273">
        <v>18</v>
      </c>
      <c r="C33" s="139" t="str">
        <f t="shared" si="0"/>
        <v>Bà</v>
      </c>
      <c r="D33" s="328" t="s">
        <v>150</v>
      </c>
      <c r="E33" s="139" t="s">
        <v>32</v>
      </c>
      <c r="F33" s="276" t="s">
        <v>151</v>
      </c>
      <c r="G33" s="276" t="s">
        <v>10</v>
      </c>
      <c r="H33" s="276">
        <v>7</v>
      </c>
      <c r="I33" s="276" t="s">
        <v>10</v>
      </c>
      <c r="J33" s="139">
        <v>1977</v>
      </c>
      <c r="K33" s="139"/>
      <c r="L33" s="139"/>
      <c r="M33" s="143" t="e">
        <f>VLOOKUP(L33,'[1]- DLiêu Gốc -'!$B$2:$G$121,2,0)</f>
        <v>#N/A</v>
      </c>
      <c r="N33" s="299" t="s">
        <v>152</v>
      </c>
      <c r="O33" s="292" t="s">
        <v>149</v>
      </c>
      <c r="P33" s="165" t="str">
        <f>VLOOKUP(U33,'[1]- DLiêu Gốc -'!$B$2:$G$56,5,0)</f>
        <v>A1</v>
      </c>
      <c r="Q33" s="165" t="str">
        <f>VLOOKUP(U33,'[1]- DLiêu Gốc -'!$B$2:$G$56,6,0)</f>
        <v>- - -</v>
      </c>
      <c r="R33" s="139" t="s">
        <v>34</v>
      </c>
      <c r="S33" s="277" t="str">
        <f t="shared" si="1"/>
        <v>Giảng viên (hạng III)</v>
      </c>
      <c r="T33" s="278" t="str">
        <f t="shared" si="2"/>
        <v>V.07.01.03</v>
      </c>
      <c r="U33" s="180" t="s">
        <v>35</v>
      </c>
      <c r="V33" s="141" t="str">
        <f>VLOOKUP(U33,'[1]- DLiêu Gốc -'!$B$1:$G$121,2,0)</f>
        <v>V.07.01.03</v>
      </c>
      <c r="W33" s="274" t="str">
        <f t="shared" si="3"/>
        <v>Lương</v>
      </c>
      <c r="X33" s="274">
        <v>4</v>
      </c>
      <c r="Y33" s="274" t="str">
        <f t="shared" si="4"/>
        <v>/</v>
      </c>
      <c r="Z33" s="274">
        <f t="shared" si="5"/>
        <v>9</v>
      </c>
      <c r="AA33" s="274">
        <f t="shared" si="6"/>
        <v>3.33</v>
      </c>
      <c r="AB33" s="274">
        <f t="shared" si="7"/>
        <v>5</v>
      </c>
      <c r="AC33" s="274" t="str">
        <f t="shared" si="8"/>
        <v>/</v>
      </c>
      <c r="AD33" s="274">
        <f t="shared" si="9"/>
        <v>9</v>
      </c>
      <c r="AE33" s="274">
        <f t="shared" si="10"/>
        <v>3.66</v>
      </c>
      <c r="AF33" s="274" t="s">
        <v>9</v>
      </c>
      <c r="AG33" s="274" t="s">
        <v>10</v>
      </c>
      <c r="AH33" s="274" t="s">
        <v>95</v>
      </c>
      <c r="AI33" s="274" t="s">
        <v>10</v>
      </c>
      <c r="AJ33" s="274">
        <v>2016</v>
      </c>
      <c r="AK33" s="147"/>
      <c r="AL33" s="141">
        <v>5</v>
      </c>
      <c r="AM33" s="274">
        <f t="shared" si="11"/>
        <v>3</v>
      </c>
      <c r="AN33" s="274">
        <f t="shared" si="12"/>
        <v>-24197</v>
      </c>
      <c r="AO33" s="180"/>
      <c r="AP33" s="180"/>
      <c r="AQ33" s="274">
        <f>VLOOKUP(U33,'[1]- DLiêu Gốc -'!$B$1:$E$56,3,0)</f>
        <v>2.34</v>
      </c>
      <c r="AR33" s="274">
        <f>VLOOKUP(U33,'[1]- DLiêu Gốc -'!$B$1:$E$56,4,0)</f>
        <v>0.33</v>
      </c>
      <c r="AT33" s="274" t="str">
        <f t="shared" si="13"/>
        <v>PCTN</v>
      </c>
      <c r="AU33" s="279">
        <v>11</v>
      </c>
      <c r="AV33" s="280" t="s">
        <v>38</v>
      </c>
      <c r="AW33" s="279">
        <f t="shared" si="14"/>
        <v>12</v>
      </c>
      <c r="AX33" s="281" t="s">
        <v>38</v>
      </c>
      <c r="AY33" s="282">
        <v>5</v>
      </c>
      <c r="AZ33" s="169" t="s">
        <v>10</v>
      </c>
      <c r="BA33" s="283">
        <v>2016</v>
      </c>
      <c r="BB33" s="253"/>
      <c r="BC33" s="253"/>
      <c r="BD33" s="180"/>
      <c r="BE33" s="253">
        <v>5</v>
      </c>
      <c r="BF33" s="180">
        <f t="shared" si="15"/>
        <v>-24197</v>
      </c>
      <c r="BG33" s="140" t="str">
        <f t="shared" si="16"/>
        <v>- - -</v>
      </c>
      <c r="BH33" s="253" t="str">
        <f t="shared" si="17"/>
        <v>VC</v>
      </c>
      <c r="BI33" s="139"/>
      <c r="BJ33" s="347"/>
      <c r="BK33" s="347" t="s">
        <v>93</v>
      </c>
      <c r="BL33" s="327" t="str">
        <f t="shared" si="18"/>
        <v>A</v>
      </c>
      <c r="BM33" s="348" t="str">
        <f t="shared" si="19"/>
        <v>=&gt; s</v>
      </c>
      <c r="BN33" s="327">
        <f t="shared" si="20"/>
        <v>24221</v>
      </c>
      <c r="BO33" s="347" t="str">
        <f t="shared" si="21"/>
        <v>---</v>
      </c>
      <c r="BP33" s="327"/>
      <c r="BQ33" s="349"/>
      <c r="BR33" s="349"/>
      <c r="BS33" s="350"/>
      <c r="BT33" s="351" t="str">
        <f t="shared" si="22"/>
        <v>- - -</v>
      </c>
      <c r="BU33" s="351" t="str">
        <f t="shared" si="23"/>
        <v>- - -</v>
      </c>
      <c r="BV33" s="351"/>
      <c r="BW33" s="351"/>
      <c r="BX33" s="351"/>
      <c r="BY33" s="351"/>
      <c r="BZ33" s="349" t="str">
        <f t="shared" si="24"/>
        <v>- - -</v>
      </c>
      <c r="CA33" s="327"/>
      <c r="CB33" s="327"/>
      <c r="CC33" s="352"/>
      <c r="CD33" s="352"/>
      <c r="CE33" s="351" t="str">
        <f t="shared" si="25"/>
        <v>---</v>
      </c>
      <c r="CF33" s="327" t="str">
        <f t="shared" si="26"/>
        <v>/-/ /-/</v>
      </c>
      <c r="CG33" s="327">
        <f t="shared" si="27"/>
        <v>8</v>
      </c>
      <c r="CH33" s="327">
        <f t="shared" si="28"/>
        <v>2032</v>
      </c>
      <c r="CI33" s="351">
        <f t="shared" si="29"/>
        <v>5</v>
      </c>
      <c r="CJ33" s="351">
        <f t="shared" si="30"/>
        <v>2032</v>
      </c>
      <c r="CK33" s="347">
        <f t="shared" si="31"/>
        <v>2</v>
      </c>
      <c r="CL33" s="327">
        <f t="shared" si="32"/>
        <v>2032</v>
      </c>
      <c r="CM33" s="327" t="str">
        <f t="shared" si="33"/>
        <v>- - -</v>
      </c>
      <c r="CN33" s="327" t="str">
        <f t="shared" si="34"/>
        <v>. .</v>
      </c>
      <c r="CO33" s="327"/>
      <c r="CP33" s="348">
        <f t="shared" si="35"/>
        <v>660</v>
      </c>
      <c r="CQ33" s="348">
        <f t="shared" si="36"/>
        <v>-23719</v>
      </c>
      <c r="CR33" s="327">
        <f t="shared" si="37"/>
        <v>-1977</v>
      </c>
      <c r="CS33" s="348" t="str">
        <f t="shared" si="38"/>
        <v>Nữ dưới 30</v>
      </c>
      <c r="CT33" s="351"/>
      <c r="CU33" s="351"/>
      <c r="CV33" s="351" t="str">
        <f t="shared" si="39"/>
        <v>Đến 30</v>
      </c>
      <c r="CW33" s="351" t="str">
        <f t="shared" si="40"/>
        <v>--</v>
      </c>
      <c r="CX33" s="351"/>
      <c r="CY33" s="351"/>
      <c r="CZ33" s="351"/>
      <c r="DA33" s="351"/>
      <c r="DB33" s="351"/>
      <c r="DC33" s="351"/>
      <c r="DD33" s="351"/>
      <c r="DE33" s="351"/>
      <c r="DF33" s="351"/>
      <c r="DG33" s="351" t="s">
        <v>152</v>
      </c>
      <c r="DH33" s="351" t="s">
        <v>9</v>
      </c>
      <c r="DI33" s="351" t="s">
        <v>10</v>
      </c>
      <c r="DJ33" s="351" t="s">
        <v>95</v>
      </c>
      <c r="DK33" s="351" t="s">
        <v>10</v>
      </c>
      <c r="DL33" s="423">
        <v>2013</v>
      </c>
      <c r="DM33" s="142">
        <f t="shared" si="41"/>
        <v>0</v>
      </c>
      <c r="DN33" s="142" t="str">
        <f t="shared" si="42"/>
        <v>- - -</v>
      </c>
      <c r="DO33" s="142" t="s">
        <v>9</v>
      </c>
      <c r="DP33" s="142" t="s">
        <v>10</v>
      </c>
      <c r="DQ33" s="142" t="s">
        <v>95</v>
      </c>
      <c r="DR33" s="142" t="s">
        <v>10</v>
      </c>
      <c r="DS33" s="142">
        <v>2013</v>
      </c>
      <c r="DU33" s="142" t="str">
        <f t="shared" si="43"/>
        <v>- - -</v>
      </c>
      <c r="DV33" s="142" t="str">
        <f t="shared" si="44"/>
        <v>---</v>
      </c>
    </row>
    <row r="34" spans="1:126" s="142" customFormat="1" ht="28.5" customHeight="1" x14ac:dyDescent="0.25">
      <c r="A34" s="139">
        <v>339</v>
      </c>
      <c r="B34" s="273">
        <v>19</v>
      </c>
      <c r="C34" s="139" t="str">
        <f t="shared" si="0"/>
        <v>Ông</v>
      </c>
      <c r="D34" s="328" t="s">
        <v>201</v>
      </c>
      <c r="E34" s="139" t="s">
        <v>39</v>
      </c>
      <c r="F34" s="276" t="s">
        <v>46</v>
      </c>
      <c r="G34" s="276" t="s">
        <v>10</v>
      </c>
      <c r="H34" s="276">
        <v>5</v>
      </c>
      <c r="I34" s="276" t="s">
        <v>10</v>
      </c>
      <c r="J34" s="139">
        <v>1976</v>
      </c>
      <c r="K34" s="139" t="e">
        <f>IF(AND((M34+0)&gt;0.3,(M34+0)&lt;1.5),"CVụ","- -")</f>
        <v>#VALUE!</v>
      </c>
      <c r="L34" s="139" t="s">
        <v>105</v>
      </c>
      <c r="M34" s="143" t="str">
        <f>VLOOKUP(L34,'[1]- DLiêu Gốc -'!$B$2:$G$121,2,0)</f>
        <v>0,4</v>
      </c>
      <c r="N34" s="299" t="s">
        <v>202</v>
      </c>
      <c r="O34" s="292" t="s">
        <v>102</v>
      </c>
      <c r="P34" s="165" t="str">
        <f>VLOOKUP(U34,'[1]- DLiêu Gốc -'!$B$2:$G$56,5,0)</f>
        <v>A1</v>
      </c>
      <c r="Q34" s="165" t="str">
        <f>VLOOKUP(U34,'[1]- DLiêu Gốc -'!$B$2:$G$56,6,0)</f>
        <v>- - -</v>
      </c>
      <c r="R34" s="139" t="s">
        <v>34</v>
      </c>
      <c r="S34" s="277" t="str">
        <f t="shared" si="1"/>
        <v>Giảng viên (hạng III)</v>
      </c>
      <c r="T34" s="278" t="str">
        <f t="shared" si="2"/>
        <v>V.07.01.03</v>
      </c>
      <c r="U34" s="180" t="s">
        <v>35</v>
      </c>
      <c r="V34" s="141" t="str">
        <f>VLOOKUP(U34,'[1]- DLiêu Gốc -'!$B$1:$G$121,2,0)</f>
        <v>V.07.01.03</v>
      </c>
      <c r="W34" s="274" t="str">
        <f t="shared" si="3"/>
        <v>Lương</v>
      </c>
      <c r="X34" s="274">
        <v>4</v>
      </c>
      <c r="Y34" s="274" t="str">
        <f t="shared" si="4"/>
        <v>/</v>
      </c>
      <c r="Z34" s="274">
        <f t="shared" si="5"/>
        <v>9</v>
      </c>
      <c r="AA34" s="274">
        <f t="shared" si="6"/>
        <v>3.33</v>
      </c>
      <c r="AB34" s="274">
        <f t="shared" si="7"/>
        <v>5</v>
      </c>
      <c r="AC34" s="274" t="str">
        <f t="shared" si="8"/>
        <v>/</v>
      </c>
      <c r="AD34" s="274">
        <f t="shared" si="9"/>
        <v>9</v>
      </c>
      <c r="AE34" s="274">
        <f t="shared" si="10"/>
        <v>3.66</v>
      </c>
      <c r="AF34" s="274" t="s">
        <v>9</v>
      </c>
      <c r="AG34" s="274" t="s">
        <v>10</v>
      </c>
      <c r="AH34" s="274" t="s">
        <v>95</v>
      </c>
      <c r="AI34" s="274" t="s">
        <v>10</v>
      </c>
      <c r="AJ34" s="274">
        <v>2015</v>
      </c>
      <c r="AK34" s="147"/>
      <c r="AL34" s="141">
        <v>5</v>
      </c>
      <c r="AM34" s="274">
        <f t="shared" si="11"/>
        <v>3</v>
      </c>
      <c r="AN34" s="274">
        <f t="shared" si="12"/>
        <v>-24185</v>
      </c>
      <c r="AO34" s="180"/>
      <c r="AP34" s="180"/>
      <c r="AQ34" s="274">
        <f>VLOOKUP(U34,'[1]- DLiêu Gốc -'!$B$1:$E$56,3,0)</f>
        <v>2.34</v>
      </c>
      <c r="AR34" s="274">
        <f>VLOOKUP(U34,'[1]- DLiêu Gốc -'!$B$1:$E$56,4,0)</f>
        <v>0.33</v>
      </c>
      <c r="AT34" s="274" t="str">
        <f t="shared" si="13"/>
        <v>PCTN</v>
      </c>
      <c r="AU34" s="279">
        <v>11</v>
      </c>
      <c r="AV34" s="280" t="s">
        <v>38</v>
      </c>
      <c r="AW34" s="279">
        <f t="shared" si="14"/>
        <v>12</v>
      </c>
      <c r="AX34" s="281" t="s">
        <v>38</v>
      </c>
      <c r="AY34" s="282">
        <v>5</v>
      </c>
      <c r="AZ34" s="169" t="s">
        <v>10</v>
      </c>
      <c r="BA34" s="283">
        <v>2016</v>
      </c>
      <c r="BB34" s="253"/>
      <c r="BC34" s="253"/>
      <c r="BD34" s="180"/>
      <c r="BE34" s="253">
        <v>5</v>
      </c>
      <c r="BF34" s="180">
        <f t="shared" si="15"/>
        <v>-24197</v>
      </c>
      <c r="BG34" s="140" t="str">
        <f t="shared" si="16"/>
        <v>- - -</v>
      </c>
      <c r="BH34" s="253" t="str">
        <f t="shared" si="17"/>
        <v>VC</v>
      </c>
      <c r="BI34" s="139"/>
      <c r="BJ34" s="347"/>
      <c r="BK34" s="347" t="s">
        <v>93</v>
      </c>
      <c r="BL34" s="327" t="str">
        <f t="shared" si="18"/>
        <v>A</v>
      </c>
      <c r="BM34" s="348" t="str">
        <f t="shared" si="19"/>
        <v>=&gt; s</v>
      </c>
      <c r="BN34" s="327">
        <f t="shared" si="20"/>
        <v>24209</v>
      </c>
      <c r="BO34" s="347" t="str">
        <f t="shared" si="21"/>
        <v>---</v>
      </c>
      <c r="BP34" s="327"/>
      <c r="BQ34" s="349"/>
      <c r="BR34" s="349"/>
      <c r="BS34" s="350"/>
      <c r="BT34" s="351" t="str">
        <f t="shared" si="22"/>
        <v>- - -</v>
      </c>
      <c r="BU34" s="351" t="str">
        <f t="shared" si="23"/>
        <v>- - -</v>
      </c>
      <c r="BV34" s="351"/>
      <c r="BW34" s="351"/>
      <c r="BX34" s="351"/>
      <c r="BY34" s="351"/>
      <c r="BZ34" s="349" t="str">
        <f t="shared" si="24"/>
        <v>- - -</v>
      </c>
      <c r="CA34" s="327"/>
      <c r="CB34" s="327"/>
      <c r="CC34" s="352"/>
      <c r="CD34" s="352"/>
      <c r="CE34" s="351" t="str">
        <f t="shared" si="25"/>
        <v>---</v>
      </c>
      <c r="CF34" s="327" t="str">
        <f t="shared" si="26"/>
        <v>/-/ /-/</v>
      </c>
      <c r="CG34" s="327">
        <f t="shared" si="27"/>
        <v>6</v>
      </c>
      <c r="CH34" s="327">
        <f t="shared" si="28"/>
        <v>2036</v>
      </c>
      <c r="CI34" s="351">
        <f t="shared" si="29"/>
        <v>3</v>
      </c>
      <c r="CJ34" s="351">
        <f t="shared" si="30"/>
        <v>2036</v>
      </c>
      <c r="CK34" s="347">
        <f t="shared" si="31"/>
        <v>12</v>
      </c>
      <c r="CL34" s="327">
        <f t="shared" si="32"/>
        <v>2035</v>
      </c>
      <c r="CM34" s="327" t="str">
        <f t="shared" si="33"/>
        <v>- - -</v>
      </c>
      <c r="CN34" s="327" t="str">
        <f t="shared" si="34"/>
        <v>. .</v>
      </c>
      <c r="CO34" s="327"/>
      <c r="CP34" s="348">
        <f t="shared" si="35"/>
        <v>720</v>
      </c>
      <c r="CQ34" s="348">
        <f t="shared" si="36"/>
        <v>-23705</v>
      </c>
      <c r="CR34" s="327">
        <f t="shared" si="37"/>
        <v>-1976</v>
      </c>
      <c r="CS34" s="348" t="str">
        <f t="shared" si="38"/>
        <v>Nam dưới 35</v>
      </c>
      <c r="CT34" s="351"/>
      <c r="CU34" s="351"/>
      <c r="CV34" s="351" t="str">
        <f t="shared" si="39"/>
        <v>Đến 30</v>
      </c>
      <c r="CW34" s="351" t="str">
        <f t="shared" si="40"/>
        <v>TD</v>
      </c>
      <c r="CX34" s="351">
        <v>2009</v>
      </c>
      <c r="CY34" s="351"/>
      <c r="CZ34" s="351"/>
      <c r="DA34" s="351"/>
      <c r="DB34" s="351"/>
      <c r="DC34" s="351"/>
      <c r="DD34" s="351"/>
      <c r="DE34" s="351"/>
      <c r="DF34" s="351"/>
      <c r="DG34" s="351" t="s">
        <v>202</v>
      </c>
      <c r="DH34" s="351" t="s">
        <v>9</v>
      </c>
      <c r="DI34" s="351" t="s">
        <v>10</v>
      </c>
      <c r="DJ34" s="351" t="s">
        <v>95</v>
      </c>
      <c r="DK34" s="351" t="s">
        <v>10</v>
      </c>
      <c r="DL34" s="423">
        <v>2012</v>
      </c>
      <c r="DM34" s="142">
        <f t="shared" si="41"/>
        <v>0</v>
      </c>
      <c r="DN34" s="142" t="str">
        <f t="shared" si="42"/>
        <v>- - -</v>
      </c>
      <c r="DO34" s="142" t="s">
        <v>9</v>
      </c>
      <c r="DP34" s="142" t="s">
        <v>10</v>
      </c>
      <c r="DQ34" s="142" t="s">
        <v>95</v>
      </c>
      <c r="DR34" s="142" t="s">
        <v>10</v>
      </c>
      <c r="DS34" s="142">
        <v>2012</v>
      </c>
      <c r="DU34" s="142" t="str">
        <f t="shared" si="43"/>
        <v>- - -</v>
      </c>
      <c r="DV34" s="142" t="str">
        <f t="shared" si="44"/>
        <v>---</v>
      </c>
    </row>
    <row r="35" spans="1:126" s="142" customFormat="1" ht="28.5" customHeight="1" x14ac:dyDescent="0.25">
      <c r="A35" s="139">
        <v>340</v>
      </c>
      <c r="B35" s="273">
        <v>20</v>
      </c>
      <c r="C35" s="139" t="str">
        <f t="shared" si="0"/>
        <v>Bà</v>
      </c>
      <c r="D35" s="328" t="s">
        <v>203</v>
      </c>
      <c r="E35" s="139" t="s">
        <v>32</v>
      </c>
      <c r="F35" s="276" t="s">
        <v>44</v>
      </c>
      <c r="G35" s="276" t="s">
        <v>10</v>
      </c>
      <c r="H35" s="276" t="s">
        <v>46</v>
      </c>
      <c r="I35" s="276" t="s">
        <v>10</v>
      </c>
      <c r="J35" s="139" t="s">
        <v>204</v>
      </c>
      <c r="K35" s="139"/>
      <c r="L35" s="139"/>
      <c r="M35" s="143" t="e">
        <f>VLOOKUP(L35,'[1]- DLiêu Gốc -'!$B$2:$G$121,2,0)</f>
        <v>#N/A</v>
      </c>
      <c r="N35" s="299" t="s">
        <v>202</v>
      </c>
      <c r="O35" s="292" t="s">
        <v>102</v>
      </c>
      <c r="P35" s="165" t="str">
        <f>VLOOKUP(U35,'[1]- DLiêu Gốc -'!$B$2:$G$56,5,0)</f>
        <v>A1</v>
      </c>
      <c r="Q35" s="165" t="str">
        <f>VLOOKUP(U35,'[1]- DLiêu Gốc -'!$B$2:$G$56,6,0)</f>
        <v>- - -</v>
      </c>
      <c r="R35" s="139" t="s">
        <v>34</v>
      </c>
      <c r="S35" s="277" t="str">
        <f t="shared" si="1"/>
        <v>Giảng viên (hạng III)</v>
      </c>
      <c r="T35" s="278" t="str">
        <f t="shared" si="2"/>
        <v>V.07.01.03</v>
      </c>
      <c r="U35" s="180" t="s">
        <v>35</v>
      </c>
      <c r="V35" s="141" t="str">
        <f>VLOOKUP(U35,'[1]- DLiêu Gốc -'!$B$1:$G$121,2,0)</f>
        <v>V.07.01.03</v>
      </c>
      <c r="W35" s="274" t="str">
        <f t="shared" si="3"/>
        <v>Lương</v>
      </c>
      <c r="X35" s="274">
        <v>3</v>
      </c>
      <c r="Y35" s="274" t="str">
        <f t="shared" si="4"/>
        <v>/</v>
      </c>
      <c r="Z35" s="274">
        <f t="shared" si="5"/>
        <v>9</v>
      </c>
      <c r="AA35" s="274">
        <f t="shared" si="6"/>
        <v>3</v>
      </c>
      <c r="AB35" s="274">
        <f t="shared" si="7"/>
        <v>4</v>
      </c>
      <c r="AC35" s="274" t="str">
        <f t="shared" si="8"/>
        <v>/</v>
      </c>
      <c r="AD35" s="274">
        <f t="shared" si="9"/>
        <v>9</v>
      </c>
      <c r="AE35" s="274">
        <f t="shared" si="10"/>
        <v>3.33</v>
      </c>
      <c r="AF35" s="274" t="s">
        <v>9</v>
      </c>
      <c r="AG35" s="274" t="s">
        <v>10</v>
      </c>
      <c r="AH35" s="274" t="s">
        <v>107</v>
      </c>
      <c r="AI35" s="274" t="s">
        <v>10</v>
      </c>
      <c r="AJ35" s="274">
        <v>2015</v>
      </c>
      <c r="AK35" s="147"/>
      <c r="AL35" s="141">
        <v>4</v>
      </c>
      <c r="AM35" s="274">
        <f t="shared" si="11"/>
        <v>3</v>
      </c>
      <c r="AN35" s="274">
        <f t="shared" si="12"/>
        <v>-24184</v>
      </c>
      <c r="AO35" s="180"/>
      <c r="AP35" s="180"/>
      <c r="AQ35" s="274">
        <f>VLOOKUP(U35,'[1]- DLiêu Gốc -'!$B$1:$E$56,3,0)</f>
        <v>2.34</v>
      </c>
      <c r="AR35" s="274">
        <f>VLOOKUP(U35,'[1]- DLiêu Gốc -'!$B$1:$E$56,4,0)</f>
        <v>0.33</v>
      </c>
      <c r="AT35" s="274" t="str">
        <f t="shared" si="13"/>
        <v>PCTN</v>
      </c>
      <c r="AU35" s="279">
        <v>9</v>
      </c>
      <c r="AV35" s="280" t="s">
        <v>38</v>
      </c>
      <c r="AW35" s="279">
        <f t="shared" si="14"/>
        <v>10</v>
      </c>
      <c r="AX35" s="281" t="s">
        <v>38</v>
      </c>
      <c r="AY35" s="282">
        <v>5</v>
      </c>
      <c r="AZ35" s="169" t="s">
        <v>10</v>
      </c>
      <c r="BA35" s="283">
        <v>2016</v>
      </c>
      <c r="BB35" s="253"/>
      <c r="BC35" s="253"/>
      <c r="BD35" s="180"/>
      <c r="BE35" s="253">
        <v>5</v>
      </c>
      <c r="BF35" s="180">
        <f t="shared" si="15"/>
        <v>-24197</v>
      </c>
      <c r="BG35" s="140" t="str">
        <f t="shared" si="16"/>
        <v>- - -</v>
      </c>
      <c r="BH35" s="253" t="str">
        <f t="shared" si="17"/>
        <v>VC</v>
      </c>
      <c r="BI35" s="139"/>
      <c r="BJ35" s="347"/>
      <c r="BK35" s="347" t="s">
        <v>93</v>
      </c>
      <c r="BL35" s="327" t="str">
        <f t="shared" si="18"/>
        <v>A</v>
      </c>
      <c r="BM35" s="348" t="str">
        <f t="shared" si="19"/>
        <v>=&gt; s</v>
      </c>
      <c r="BN35" s="327">
        <f t="shared" si="20"/>
        <v>24208</v>
      </c>
      <c r="BO35" s="347" t="str">
        <f t="shared" si="21"/>
        <v>---</v>
      </c>
      <c r="BP35" s="327"/>
      <c r="BQ35" s="349"/>
      <c r="BR35" s="349"/>
      <c r="BS35" s="350"/>
      <c r="BT35" s="351" t="str">
        <f t="shared" si="22"/>
        <v>- - -</v>
      </c>
      <c r="BU35" s="351" t="str">
        <f t="shared" si="23"/>
        <v>- - -</v>
      </c>
      <c r="BV35" s="351"/>
      <c r="BW35" s="351"/>
      <c r="BX35" s="351"/>
      <c r="BY35" s="351"/>
      <c r="BZ35" s="349" t="str">
        <f t="shared" si="24"/>
        <v>- - -</v>
      </c>
      <c r="CA35" s="327"/>
      <c r="CB35" s="327"/>
      <c r="CC35" s="352"/>
      <c r="CD35" s="352"/>
      <c r="CE35" s="351" t="str">
        <f t="shared" si="25"/>
        <v>---</v>
      </c>
      <c r="CF35" s="327" t="str">
        <f t="shared" si="26"/>
        <v>/-/ /-/</v>
      </c>
      <c r="CG35" s="327">
        <f t="shared" si="27"/>
        <v>11</v>
      </c>
      <c r="CH35" s="327">
        <f t="shared" si="28"/>
        <v>2037</v>
      </c>
      <c r="CI35" s="351">
        <f t="shared" si="29"/>
        <v>8</v>
      </c>
      <c r="CJ35" s="351">
        <f t="shared" si="30"/>
        <v>2037</v>
      </c>
      <c r="CK35" s="347">
        <f t="shared" si="31"/>
        <v>5</v>
      </c>
      <c r="CL35" s="327">
        <f t="shared" si="32"/>
        <v>2037</v>
      </c>
      <c r="CM35" s="327" t="str">
        <f t="shared" si="33"/>
        <v>- - -</v>
      </c>
      <c r="CN35" s="327" t="str">
        <f t="shared" si="34"/>
        <v>. .</v>
      </c>
      <c r="CO35" s="327"/>
      <c r="CP35" s="348">
        <f t="shared" si="35"/>
        <v>660</v>
      </c>
      <c r="CQ35" s="348">
        <f t="shared" si="36"/>
        <v>-23782</v>
      </c>
      <c r="CR35" s="327">
        <f t="shared" si="37"/>
        <v>-1982</v>
      </c>
      <c r="CS35" s="348" t="str">
        <f t="shared" si="38"/>
        <v>Nữ dưới 30</v>
      </c>
      <c r="CT35" s="351"/>
      <c r="CU35" s="351"/>
      <c r="CV35" s="351" t="str">
        <f t="shared" si="39"/>
        <v>Đến 30</v>
      </c>
      <c r="CW35" s="351" t="str">
        <f t="shared" si="40"/>
        <v>--</v>
      </c>
      <c r="CX35" s="351"/>
      <c r="CY35" s="351"/>
      <c r="CZ35" s="351"/>
      <c r="DA35" s="351"/>
      <c r="DB35" s="351"/>
      <c r="DC35" s="351"/>
      <c r="DD35" s="351"/>
      <c r="DE35" s="351"/>
      <c r="DF35" s="351"/>
      <c r="DG35" s="351" t="s">
        <v>202</v>
      </c>
      <c r="DH35" s="351" t="s">
        <v>9</v>
      </c>
      <c r="DI35" s="351" t="s">
        <v>10</v>
      </c>
      <c r="DJ35" s="351" t="s">
        <v>107</v>
      </c>
      <c r="DK35" s="351" t="s">
        <v>10</v>
      </c>
      <c r="DL35" s="423">
        <v>2012</v>
      </c>
      <c r="DM35" s="142">
        <f t="shared" si="41"/>
        <v>0</v>
      </c>
      <c r="DN35" s="142" t="str">
        <f t="shared" si="42"/>
        <v>- - -</v>
      </c>
      <c r="DO35" s="142" t="s">
        <v>9</v>
      </c>
      <c r="DP35" s="142" t="s">
        <v>10</v>
      </c>
      <c r="DQ35" s="142" t="s">
        <v>107</v>
      </c>
      <c r="DR35" s="142" t="s">
        <v>10</v>
      </c>
      <c r="DS35" s="142">
        <v>2012</v>
      </c>
      <c r="DU35" s="142" t="str">
        <f t="shared" si="43"/>
        <v>- - -</v>
      </c>
      <c r="DV35" s="142" t="str">
        <f t="shared" si="44"/>
        <v>---</v>
      </c>
    </row>
    <row r="36" spans="1:126" s="142" customFormat="1" ht="28.5" customHeight="1" x14ac:dyDescent="0.25">
      <c r="A36" s="139">
        <v>341</v>
      </c>
      <c r="B36" s="273">
        <v>21</v>
      </c>
      <c r="C36" s="139" t="str">
        <f t="shared" si="0"/>
        <v>Bà</v>
      </c>
      <c r="D36" s="328" t="s">
        <v>205</v>
      </c>
      <c r="E36" s="139" t="s">
        <v>32</v>
      </c>
      <c r="F36" s="276" t="s">
        <v>37</v>
      </c>
      <c r="G36" s="276" t="s">
        <v>10</v>
      </c>
      <c r="H36" s="276">
        <v>7</v>
      </c>
      <c r="I36" s="276" t="s">
        <v>10</v>
      </c>
      <c r="J36" s="139">
        <v>1979</v>
      </c>
      <c r="K36" s="139"/>
      <c r="L36" s="139"/>
      <c r="M36" s="143" t="e">
        <f>VLOOKUP(L36,'[1]- DLiêu Gốc -'!$B$2:$G$121,2,0)</f>
        <v>#N/A</v>
      </c>
      <c r="N36" s="299" t="s">
        <v>202</v>
      </c>
      <c r="O36" s="292" t="s">
        <v>102</v>
      </c>
      <c r="P36" s="165" t="str">
        <f>VLOOKUP(U36,'[1]- DLiêu Gốc -'!$B$2:$G$56,5,0)</f>
        <v>A1</v>
      </c>
      <c r="Q36" s="165" t="str">
        <f>VLOOKUP(U36,'[1]- DLiêu Gốc -'!$B$2:$G$56,6,0)</f>
        <v>- - -</v>
      </c>
      <c r="R36" s="139" t="s">
        <v>34</v>
      </c>
      <c r="S36" s="277" t="str">
        <f t="shared" si="1"/>
        <v>Giảng viên (hạng III)</v>
      </c>
      <c r="T36" s="278" t="str">
        <f t="shared" si="2"/>
        <v>V.07.01.03</v>
      </c>
      <c r="U36" s="180" t="s">
        <v>35</v>
      </c>
      <c r="V36" s="141" t="str">
        <f>VLOOKUP(U36,'[1]- DLiêu Gốc -'!$B$1:$G$121,2,0)</f>
        <v>V.07.01.03</v>
      </c>
      <c r="W36" s="274" t="str">
        <f t="shared" si="3"/>
        <v>Lương</v>
      </c>
      <c r="X36" s="274">
        <v>4</v>
      </c>
      <c r="Y36" s="274" t="str">
        <f t="shared" si="4"/>
        <v>/</v>
      </c>
      <c r="Z36" s="274">
        <f t="shared" si="5"/>
        <v>9</v>
      </c>
      <c r="AA36" s="274">
        <f t="shared" si="6"/>
        <v>3.33</v>
      </c>
      <c r="AB36" s="274">
        <f t="shared" si="7"/>
        <v>5</v>
      </c>
      <c r="AC36" s="274" t="str">
        <f t="shared" si="8"/>
        <v>/</v>
      </c>
      <c r="AD36" s="274">
        <f t="shared" si="9"/>
        <v>9</v>
      </c>
      <c r="AE36" s="274">
        <f t="shared" si="10"/>
        <v>3.66</v>
      </c>
      <c r="AF36" s="274" t="s">
        <v>9</v>
      </c>
      <c r="AG36" s="274" t="s">
        <v>10</v>
      </c>
      <c r="AH36" s="274" t="s">
        <v>11</v>
      </c>
      <c r="AI36" s="274" t="s">
        <v>10</v>
      </c>
      <c r="AJ36" s="274">
        <v>2014</v>
      </c>
      <c r="AK36" s="147"/>
      <c r="AL36" s="141"/>
      <c r="AM36" s="274">
        <f t="shared" si="11"/>
        <v>3</v>
      </c>
      <c r="AN36" s="274">
        <f t="shared" si="12"/>
        <v>-24175</v>
      </c>
      <c r="AO36" s="180"/>
      <c r="AP36" s="180"/>
      <c r="AQ36" s="274">
        <f>VLOOKUP(U36,'[1]- DLiêu Gốc -'!$B$1:$E$56,3,0)</f>
        <v>2.34</v>
      </c>
      <c r="AR36" s="274">
        <f>VLOOKUP(U36,'[1]- DLiêu Gốc -'!$B$1:$E$56,4,0)</f>
        <v>0.33</v>
      </c>
      <c r="AT36" s="274" t="str">
        <f t="shared" si="13"/>
        <v>PCTN</v>
      </c>
      <c r="AU36" s="279">
        <v>12</v>
      </c>
      <c r="AV36" s="280" t="s">
        <v>38</v>
      </c>
      <c r="AW36" s="279">
        <f t="shared" si="14"/>
        <v>13</v>
      </c>
      <c r="AX36" s="281" t="s">
        <v>38</v>
      </c>
      <c r="AY36" s="282">
        <v>5</v>
      </c>
      <c r="AZ36" s="169" t="s">
        <v>10</v>
      </c>
      <c r="BA36" s="283">
        <v>2016</v>
      </c>
      <c r="BB36" s="253"/>
      <c r="BC36" s="253"/>
      <c r="BD36" s="180"/>
      <c r="BE36" s="253">
        <v>5</v>
      </c>
      <c r="BF36" s="180">
        <f t="shared" si="15"/>
        <v>-24197</v>
      </c>
      <c r="BG36" s="140" t="str">
        <f t="shared" si="16"/>
        <v>- - -</v>
      </c>
      <c r="BH36" s="253" t="str">
        <f t="shared" si="17"/>
        <v>VC</v>
      </c>
      <c r="BI36" s="139"/>
      <c r="BJ36" s="347"/>
      <c r="BK36" s="347" t="s">
        <v>93</v>
      </c>
      <c r="BL36" s="327" t="str">
        <f t="shared" si="18"/>
        <v>A</v>
      </c>
      <c r="BM36" s="348" t="str">
        <f t="shared" si="19"/>
        <v>=&gt; s</v>
      </c>
      <c r="BN36" s="327">
        <f t="shared" si="20"/>
        <v>24199</v>
      </c>
      <c r="BO36" s="347" t="str">
        <f t="shared" si="21"/>
        <v>---</v>
      </c>
      <c r="BP36" s="327"/>
      <c r="BQ36" s="349"/>
      <c r="BR36" s="349"/>
      <c r="BS36" s="350"/>
      <c r="BT36" s="351" t="str">
        <f t="shared" si="22"/>
        <v>- - -</v>
      </c>
      <c r="BU36" s="351" t="str">
        <f t="shared" si="23"/>
        <v>- - -</v>
      </c>
      <c r="BV36" s="351"/>
      <c r="BW36" s="351"/>
      <c r="BX36" s="351"/>
      <c r="BY36" s="351"/>
      <c r="BZ36" s="349" t="str">
        <f t="shared" si="24"/>
        <v>- - -</v>
      </c>
      <c r="CA36" s="327"/>
      <c r="CB36" s="327"/>
      <c r="CC36" s="352"/>
      <c r="CD36" s="352"/>
      <c r="CE36" s="351" t="str">
        <f t="shared" si="25"/>
        <v>---</v>
      </c>
      <c r="CF36" s="327" t="str">
        <f t="shared" si="26"/>
        <v>/-/ /-/</v>
      </c>
      <c r="CG36" s="327">
        <f t="shared" si="27"/>
        <v>8</v>
      </c>
      <c r="CH36" s="327">
        <f t="shared" si="28"/>
        <v>2034</v>
      </c>
      <c r="CI36" s="351">
        <f t="shared" si="29"/>
        <v>5</v>
      </c>
      <c r="CJ36" s="351">
        <f t="shared" si="30"/>
        <v>2034</v>
      </c>
      <c r="CK36" s="347">
        <f t="shared" si="31"/>
        <v>2</v>
      </c>
      <c r="CL36" s="327">
        <f t="shared" si="32"/>
        <v>2034</v>
      </c>
      <c r="CM36" s="327" t="str">
        <f t="shared" si="33"/>
        <v>- - -</v>
      </c>
      <c r="CN36" s="327" t="str">
        <f t="shared" si="34"/>
        <v>. .</v>
      </c>
      <c r="CO36" s="327"/>
      <c r="CP36" s="348">
        <f t="shared" si="35"/>
        <v>660</v>
      </c>
      <c r="CQ36" s="348">
        <f t="shared" si="36"/>
        <v>-23743</v>
      </c>
      <c r="CR36" s="327">
        <f t="shared" si="37"/>
        <v>-1979</v>
      </c>
      <c r="CS36" s="348" t="str">
        <f t="shared" si="38"/>
        <v>Nữ dưới 30</v>
      </c>
      <c r="CT36" s="351"/>
      <c r="CU36" s="351"/>
      <c r="CV36" s="351" t="str">
        <f t="shared" si="39"/>
        <v>Đến 30</v>
      </c>
      <c r="CW36" s="351" t="str">
        <f t="shared" si="40"/>
        <v>TD</v>
      </c>
      <c r="CX36" s="351">
        <v>2008</v>
      </c>
      <c r="CY36" s="351"/>
      <c r="CZ36" s="351"/>
      <c r="DA36" s="351"/>
      <c r="DB36" s="351"/>
      <c r="DC36" s="351"/>
      <c r="DD36" s="351"/>
      <c r="DE36" s="351"/>
      <c r="DF36" s="351"/>
      <c r="DG36" s="351" t="s">
        <v>202</v>
      </c>
      <c r="DH36" s="351" t="s">
        <v>9</v>
      </c>
      <c r="DI36" s="351" t="s">
        <v>10</v>
      </c>
      <c r="DJ36" s="351" t="s">
        <v>11</v>
      </c>
      <c r="DK36" s="351" t="s">
        <v>10</v>
      </c>
      <c r="DL36" s="423" t="s">
        <v>31</v>
      </c>
      <c r="DM36" s="142">
        <f t="shared" si="41"/>
        <v>0</v>
      </c>
      <c r="DN36" s="142" t="str">
        <f t="shared" si="42"/>
        <v>- - -</v>
      </c>
      <c r="DO36" s="142" t="s">
        <v>9</v>
      </c>
      <c r="DP36" s="142" t="s">
        <v>10</v>
      </c>
      <c r="DQ36" s="142" t="s">
        <v>11</v>
      </c>
      <c r="DR36" s="142" t="s">
        <v>10</v>
      </c>
      <c r="DS36" s="142" t="s">
        <v>31</v>
      </c>
      <c r="DU36" s="142" t="str">
        <f t="shared" si="43"/>
        <v>- - -</v>
      </c>
      <c r="DV36" s="142" t="str">
        <f t="shared" si="44"/>
        <v>---</v>
      </c>
    </row>
    <row r="37" spans="1:126" s="142" customFormat="1" ht="28.5" customHeight="1" x14ac:dyDescent="0.25">
      <c r="A37" s="139">
        <v>349</v>
      </c>
      <c r="B37" s="273">
        <v>22</v>
      </c>
      <c r="C37" s="139" t="str">
        <f t="shared" si="0"/>
        <v>Bà</v>
      </c>
      <c r="D37" s="328" t="s">
        <v>206</v>
      </c>
      <c r="E37" s="139" t="s">
        <v>32</v>
      </c>
      <c r="F37" s="276" t="s">
        <v>37</v>
      </c>
      <c r="G37" s="276" t="s">
        <v>10</v>
      </c>
      <c r="H37" s="276">
        <v>5</v>
      </c>
      <c r="I37" s="276" t="s">
        <v>10</v>
      </c>
      <c r="J37" s="139">
        <v>1979</v>
      </c>
      <c r="K37" s="139" t="e">
        <f>IF(AND((M37+0)&gt;0.3,(M37+0)&lt;1.5),"CVụ","- -")</f>
        <v>#VALUE!</v>
      </c>
      <c r="L37" s="139" t="s">
        <v>105</v>
      </c>
      <c r="M37" s="143" t="str">
        <f>VLOOKUP(L37,'[1]- DLiêu Gốc -'!$B$2:$G$121,2,0)</f>
        <v>0,4</v>
      </c>
      <c r="N37" s="299" t="s">
        <v>110</v>
      </c>
      <c r="O37" s="292" t="s">
        <v>102</v>
      </c>
      <c r="P37" s="165" t="str">
        <f>VLOOKUP(U37,'[1]- DLiêu Gốc -'!$B$2:$G$56,5,0)</f>
        <v>A1</v>
      </c>
      <c r="Q37" s="165" t="str">
        <f>VLOOKUP(U37,'[1]- DLiêu Gốc -'!$B$2:$G$56,6,0)</f>
        <v>- - -</v>
      </c>
      <c r="R37" s="139" t="s">
        <v>34</v>
      </c>
      <c r="S37" s="277" t="str">
        <f t="shared" si="1"/>
        <v>Giảng viên (hạng III)</v>
      </c>
      <c r="T37" s="278" t="str">
        <f t="shared" si="2"/>
        <v>V.07.01.03</v>
      </c>
      <c r="U37" s="180" t="s">
        <v>35</v>
      </c>
      <c r="V37" s="141" t="str">
        <f>VLOOKUP(U37,'[1]- DLiêu Gốc -'!$B$1:$G$121,2,0)</f>
        <v>V.07.01.03</v>
      </c>
      <c r="W37" s="274" t="str">
        <f t="shared" si="3"/>
        <v>Lương</v>
      </c>
      <c r="X37" s="274">
        <v>4</v>
      </c>
      <c r="Y37" s="274" t="str">
        <f t="shared" si="4"/>
        <v>/</v>
      </c>
      <c r="Z37" s="274">
        <f t="shared" si="5"/>
        <v>9</v>
      </c>
      <c r="AA37" s="274">
        <f t="shared" si="6"/>
        <v>3.33</v>
      </c>
      <c r="AB37" s="274">
        <f t="shared" si="7"/>
        <v>5</v>
      </c>
      <c r="AC37" s="274" t="str">
        <f t="shared" si="8"/>
        <v>/</v>
      </c>
      <c r="AD37" s="274">
        <f t="shared" si="9"/>
        <v>9</v>
      </c>
      <c r="AE37" s="274">
        <f t="shared" si="10"/>
        <v>3.66</v>
      </c>
      <c r="AF37" s="274" t="s">
        <v>9</v>
      </c>
      <c r="AG37" s="274" t="s">
        <v>10</v>
      </c>
      <c r="AH37" s="274" t="s">
        <v>9</v>
      </c>
      <c r="AI37" s="274" t="s">
        <v>10</v>
      </c>
      <c r="AJ37" s="274">
        <v>2015</v>
      </c>
      <c r="AK37" s="147"/>
      <c r="AL37" s="141">
        <v>1</v>
      </c>
      <c r="AM37" s="274">
        <f t="shared" si="11"/>
        <v>3</v>
      </c>
      <c r="AN37" s="274">
        <f t="shared" si="12"/>
        <v>-24181</v>
      </c>
      <c r="AO37" s="180"/>
      <c r="AP37" s="180"/>
      <c r="AQ37" s="274">
        <f>VLOOKUP(U37,'[1]- DLiêu Gốc -'!$B$1:$E$56,3,0)</f>
        <v>2.34</v>
      </c>
      <c r="AR37" s="274">
        <f>VLOOKUP(U37,'[1]- DLiêu Gốc -'!$B$1:$E$56,4,0)</f>
        <v>0.33</v>
      </c>
      <c r="AT37" s="274" t="str">
        <f t="shared" si="13"/>
        <v>PCTN</v>
      </c>
      <c r="AU37" s="279">
        <v>12</v>
      </c>
      <c r="AV37" s="280" t="s">
        <v>38</v>
      </c>
      <c r="AW37" s="279">
        <f t="shared" si="14"/>
        <v>13</v>
      </c>
      <c r="AX37" s="281" t="s">
        <v>38</v>
      </c>
      <c r="AY37" s="282">
        <v>5</v>
      </c>
      <c r="AZ37" s="169" t="s">
        <v>10</v>
      </c>
      <c r="BA37" s="283">
        <v>2016</v>
      </c>
      <c r="BB37" s="253"/>
      <c r="BC37" s="253"/>
      <c r="BD37" s="180"/>
      <c r="BE37" s="253">
        <v>5</v>
      </c>
      <c r="BF37" s="180">
        <f t="shared" si="15"/>
        <v>-24197</v>
      </c>
      <c r="BG37" s="140" t="str">
        <f t="shared" si="16"/>
        <v>- - -</v>
      </c>
      <c r="BH37" s="253" t="str">
        <f t="shared" si="17"/>
        <v>VC</v>
      </c>
      <c r="BI37" s="139"/>
      <c r="BJ37" s="347"/>
      <c r="BK37" s="347" t="s">
        <v>93</v>
      </c>
      <c r="BL37" s="327" t="str">
        <f t="shared" si="18"/>
        <v>A</v>
      </c>
      <c r="BM37" s="348" t="str">
        <f t="shared" si="19"/>
        <v>=&gt; s</v>
      </c>
      <c r="BN37" s="327">
        <f t="shared" si="20"/>
        <v>24205</v>
      </c>
      <c r="BO37" s="347" t="str">
        <f t="shared" si="21"/>
        <v>---</v>
      </c>
      <c r="BP37" s="327"/>
      <c r="BQ37" s="349"/>
      <c r="BR37" s="349"/>
      <c r="BS37" s="350"/>
      <c r="BT37" s="351" t="str">
        <f t="shared" si="22"/>
        <v>- - -</v>
      </c>
      <c r="BU37" s="351" t="str">
        <f t="shared" si="23"/>
        <v>- - -</v>
      </c>
      <c r="BV37" s="351"/>
      <c r="BW37" s="351"/>
      <c r="BX37" s="351"/>
      <c r="BY37" s="351"/>
      <c r="BZ37" s="349" t="str">
        <f t="shared" si="24"/>
        <v>- - -</v>
      </c>
      <c r="CA37" s="327"/>
      <c r="CB37" s="327"/>
      <c r="CC37" s="352"/>
      <c r="CD37" s="352"/>
      <c r="CE37" s="351" t="str">
        <f t="shared" si="25"/>
        <v>---</v>
      </c>
      <c r="CF37" s="327" t="str">
        <f t="shared" si="26"/>
        <v>/-/ /-/</v>
      </c>
      <c r="CG37" s="327">
        <f t="shared" si="27"/>
        <v>6</v>
      </c>
      <c r="CH37" s="327">
        <f t="shared" si="28"/>
        <v>2034</v>
      </c>
      <c r="CI37" s="351">
        <f t="shared" si="29"/>
        <v>3</v>
      </c>
      <c r="CJ37" s="351">
        <f t="shared" si="30"/>
        <v>2034</v>
      </c>
      <c r="CK37" s="347">
        <f t="shared" si="31"/>
        <v>12</v>
      </c>
      <c r="CL37" s="327">
        <f t="shared" si="32"/>
        <v>2033</v>
      </c>
      <c r="CM37" s="327" t="str">
        <f t="shared" si="33"/>
        <v>- - -</v>
      </c>
      <c r="CN37" s="327" t="str">
        <f t="shared" si="34"/>
        <v>. .</v>
      </c>
      <c r="CO37" s="327"/>
      <c r="CP37" s="348">
        <f t="shared" si="35"/>
        <v>660</v>
      </c>
      <c r="CQ37" s="348">
        <f t="shared" si="36"/>
        <v>-23741</v>
      </c>
      <c r="CR37" s="327">
        <f t="shared" si="37"/>
        <v>-1979</v>
      </c>
      <c r="CS37" s="348" t="str">
        <f t="shared" si="38"/>
        <v>Nữ dưới 30</v>
      </c>
      <c r="CT37" s="351"/>
      <c r="CU37" s="351"/>
      <c r="CV37" s="351" t="str">
        <f t="shared" si="39"/>
        <v>Đến 30</v>
      </c>
      <c r="CW37" s="351" t="str">
        <f t="shared" si="40"/>
        <v>--</v>
      </c>
      <c r="CX37" s="351"/>
      <c r="CY37" s="351"/>
      <c r="CZ37" s="351"/>
      <c r="DA37" s="351"/>
      <c r="DB37" s="351"/>
      <c r="DC37" s="351"/>
      <c r="DD37" s="351"/>
      <c r="DE37" s="351"/>
      <c r="DF37" s="351"/>
      <c r="DG37" s="351" t="s">
        <v>110</v>
      </c>
      <c r="DH37" s="351" t="s">
        <v>9</v>
      </c>
      <c r="DI37" s="351" t="s">
        <v>10</v>
      </c>
      <c r="DJ37" s="351" t="s">
        <v>9</v>
      </c>
      <c r="DK37" s="351" t="s">
        <v>10</v>
      </c>
      <c r="DL37" s="423" t="s">
        <v>108</v>
      </c>
      <c r="DM37" s="142">
        <f t="shared" si="41"/>
        <v>0</v>
      </c>
      <c r="DN37" s="142" t="str">
        <f t="shared" si="42"/>
        <v>- - -</v>
      </c>
      <c r="DO37" s="142" t="s">
        <v>9</v>
      </c>
      <c r="DP37" s="142" t="s">
        <v>10</v>
      </c>
      <c r="DQ37" s="142" t="s">
        <v>9</v>
      </c>
      <c r="DR37" s="142" t="s">
        <v>10</v>
      </c>
      <c r="DS37" s="142" t="s">
        <v>108</v>
      </c>
      <c r="DU37" s="142" t="str">
        <f t="shared" si="43"/>
        <v>- - -</v>
      </c>
      <c r="DV37" s="142" t="str">
        <f t="shared" si="44"/>
        <v>---</v>
      </c>
    </row>
    <row r="38" spans="1:126" s="142" customFormat="1" ht="34.5" customHeight="1" x14ac:dyDescent="0.25">
      <c r="A38" s="139">
        <v>363</v>
      </c>
      <c r="B38" s="273">
        <v>23</v>
      </c>
      <c r="C38" s="139" t="str">
        <f t="shared" si="0"/>
        <v>Ông</v>
      </c>
      <c r="D38" s="328" t="s">
        <v>207</v>
      </c>
      <c r="E38" s="139" t="s">
        <v>39</v>
      </c>
      <c r="F38" s="276" t="s">
        <v>103</v>
      </c>
      <c r="G38" s="276" t="s">
        <v>10</v>
      </c>
      <c r="H38" s="276" t="s">
        <v>11</v>
      </c>
      <c r="I38" s="276" t="s">
        <v>10</v>
      </c>
      <c r="J38" s="139" t="s">
        <v>208</v>
      </c>
      <c r="K38" s="139"/>
      <c r="L38" s="139"/>
      <c r="M38" s="143" t="e">
        <f>VLOOKUP(L38,'[1]- DLiêu Gốc -'!$B$2:$G$121,2,0)</f>
        <v>#N/A</v>
      </c>
      <c r="N38" s="299" t="s">
        <v>160</v>
      </c>
      <c r="O38" s="292" t="s">
        <v>33</v>
      </c>
      <c r="P38" s="165" t="str">
        <f>VLOOKUP(U38,'[1]- DLiêu Gốc -'!$B$2:$G$56,5,0)</f>
        <v>A2</v>
      </c>
      <c r="Q38" s="165" t="str">
        <f>VLOOKUP(U38,'[1]- DLiêu Gốc -'!$B$2:$G$56,6,0)</f>
        <v>A2.1</v>
      </c>
      <c r="R38" s="139" t="s">
        <v>34</v>
      </c>
      <c r="S38" s="277" t="str">
        <f t="shared" si="1"/>
        <v>Giảng viên chính (hạng II)</v>
      </c>
      <c r="T38" s="278" t="str">
        <f t="shared" si="2"/>
        <v>V.07.01.02</v>
      </c>
      <c r="U38" s="180" t="s">
        <v>45</v>
      </c>
      <c r="V38" s="141" t="str">
        <f>VLOOKUP(U38,'[1]- DLiêu Gốc -'!$B$1:$G$121,2,0)</f>
        <v>V.07.01.02</v>
      </c>
      <c r="W38" s="274" t="str">
        <f t="shared" si="3"/>
        <v>Lương</v>
      </c>
      <c r="X38" s="274">
        <v>1</v>
      </c>
      <c r="Y38" s="274" t="str">
        <f t="shared" si="4"/>
        <v>/</v>
      </c>
      <c r="Z38" s="274">
        <f t="shared" si="5"/>
        <v>8</v>
      </c>
      <c r="AA38" s="274">
        <f t="shared" si="6"/>
        <v>4.4000000000000004</v>
      </c>
      <c r="AB38" s="274">
        <f t="shared" si="7"/>
        <v>2</v>
      </c>
      <c r="AC38" s="274" t="str">
        <f t="shared" si="8"/>
        <v>/</v>
      </c>
      <c r="AD38" s="274">
        <f t="shared" si="9"/>
        <v>8</v>
      </c>
      <c r="AE38" s="274">
        <f t="shared" si="10"/>
        <v>4.74</v>
      </c>
      <c r="AF38" s="274" t="s">
        <v>9</v>
      </c>
      <c r="AG38" s="274" t="s">
        <v>10</v>
      </c>
      <c r="AH38" s="274" t="s">
        <v>9</v>
      </c>
      <c r="AI38" s="274" t="s">
        <v>10</v>
      </c>
      <c r="AJ38" s="274">
        <v>2014</v>
      </c>
      <c r="AK38" s="147"/>
      <c r="AL38" s="141"/>
      <c r="AM38" s="274">
        <f t="shared" si="11"/>
        <v>3</v>
      </c>
      <c r="AN38" s="274">
        <f t="shared" si="12"/>
        <v>-24169</v>
      </c>
      <c r="AO38" s="180"/>
      <c r="AP38" s="180"/>
      <c r="AQ38" s="274">
        <f>VLOOKUP(U38,'[1]- DLiêu Gốc -'!$B$1:$E$56,3,0)</f>
        <v>4.4000000000000004</v>
      </c>
      <c r="AR38" s="274">
        <f>VLOOKUP(U38,'[1]- DLiêu Gốc -'!$B$1:$E$56,4,0)</f>
        <v>0.34</v>
      </c>
      <c r="AT38" s="274" t="str">
        <f t="shared" si="13"/>
        <v>PCTN</v>
      </c>
      <c r="AU38" s="279">
        <v>18</v>
      </c>
      <c r="AV38" s="280" t="s">
        <v>38</v>
      </c>
      <c r="AW38" s="279">
        <f t="shared" si="14"/>
        <v>19</v>
      </c>
      <c r="AX38" s="281" t="s">
        <v>38</v>
      </c>
      <c r="AY38" s="282">
        <v>5</v>
      </c>
      <c r="AZ38" s="169" t="s">
        <v>10</v>
      </c>
      <c r="BA38" s="283">
        <v>2016</v>
      </c>
      <c r="BB38" s="253"/>
      <c r="BC38" s="253"/>
      <c r="BD38" s="180"/>
      <c r="BE38" s="253">
        <v>5</v>
      </c>
      <c r="BF38" s="180">
        <f t="shared" si="15"/>
        <v>-24197</v>
      </c>
      <c r="BG38" s="140" t="str">
        <f t="shared" si="16"/>
        <v>- - -</v>
      </c>
      <c r="BH38" s="253" t="str">
        <f t="shared" si="17"/>
        <v>VC</v>
      </c>
      <c r="BI38" s="139"/>
      <c r="BJ38" s="347"/>
      <c r="BK38" s="347" t="s">
        <v>93</v>
      </c>
      <c r="BL38" s="327" t="str">
        <f t="shared" si="18"/>
        <v>A</v>
      </c>
      <c r="BM38" s="348" t="str">
        <f t="shared" si="19"/>
        <v>=&gt; s</v>
      </c>
      <c r="BN38" s="327">
        <f t="shared" si="20"/>
        <v>24193</v>
      </c>
      <c r="BO38" s="347" t="str">
        <f t="shared" si="21"/>
        <v>---</v>
      </c>
      <c r="BP38" s="327"/>
      <c r="BQ38" s="349"/>
      <c r="BR38" s="349"/>
      <c r="BS38" s="350"/>
      <c r="BT38" s="351" t="str">
        <f t="shared" si="22"/>
        <v>- - -</v>
      </c>
      <c r="BU38" s="351" t="str">
        <f t="shared" si="23"/>
        <v>NN</v>
      </c>
      <c r="BV38" s="351">
        <v>1</v>
      </c>
      <c r="BW38" s="351" t="s">
        <v>31</v>
      </c>
      <c r="BX38" s="351"/>
      <c r="BY38" s="351"/>
      <c r="BZ38" s="349" t="str">
        <f t="shared" si="24"/>
        <v>- - -</v>
      </c>
      <c r="CA38" s="327"/>
      <c r="CB38" s="327"/>
      <c r="CC38" s="352"/>
      <c r="CD38" s="352"/>
      <c r="CE38" s="351" t="str">
        <f t="shared" si="25"/>
        <v>---</v>
      </c>
      <c r="CF38" s="327" t="str">
        <f t="shared" si="26"/>
        <v>/-/ /-/</v>
      </c>
      <c r="CG38" s="327">
        <f t="shared" si="27"/>
        <v>8</v>
      </c>
      <c r="CH38" s="327">
        <f t="shared" si="28"/>
        <v>2026</v>
      </c>
      <c r="CI38" s="351">
        <f t="shared" si="29"/>
        <v>5</v>
      </c>
      <c r="CJ38" s="351">
        <f t="shared" si="30"/>
        <v>2026</v>
      </c>
      <c r="CK38" s="347">
        <f t="shared" si="31"/>
        <v>2</v>
      </c>
      <c r="CL38" s="327">
        <f t="shared" si="32"/>
        <v>2026</v>
      </c>
      <c r="CM38" s="327" t="str">
        <f t="shared" si="33"/>
        <v>- - -</v>
      </c>
      <c r="CN38" s="327" t="str">
        <f t="shared" si="34"/>
        <v>. .</v>
      </c>
      <c r="CO38" s="327"/>
      <c r="CP38" s="348">
        <f t="shared" si="35"/>
        <v>720</v>
      </c>
      <c r="CQ38" s="348">
        <f t="shared" si="36"/>
        <v>-23587</v>
      </c>
      <c r="CR38" s="327">
        <f t="shared" si="37"/>
        <v>-1966</v>
      </c>
      <c r="CS38" s="348" t="str">
        <f t="shared" si="38"/>
        <v>Nam dưới 35</v>
      </c>
      <c r="CT38" s="351"/>
      <c r="CU38" s="351"/>
      <c r="CV38" s="351" t="str">
        <f t="shared" si="39"/>
        <v>Đến 30</v>
      </c>
      <c r="CW38" s="351" t="str">
        <f t="shared" si="40"/>
        <v>--</v>
      </c>
      <c r="CX38" s="351"/>
      <c r="CY38" s="351"/>
      <c r="CZ38" s="351"/>
      <c r="DA38" s="351"/>
      <c r="DB38" s="351"/>
      <c r="DC38" s="351"/>
      <c r="DD38" s="351"/>
      <c r="DE38" s="351"/>
      <c r="DF38" s="351"/>
      <c r="DG38" s="351" t="s">
        <v>160</v>
      </c>
      <c r="DH38" s="351" t="s">
        <v>9</v>
      </c>
      <c r="DI38" s="351" t="s">
        <v>10</v>
      </c>
      <c r="DJ38" s="351" t="s">
        <v>9</v>
      </c>
      <c r="DK38" s="351" t="s">
        <v>10</v>
      </c>
      <c r="DL38" s="423">
        <v>2014</v>
      </c>
      <c r="DM38" s="142">
        <f t="shared" si="41"/>
        <v>0</v>
      </c>
      <c r="DN38" s="142" t="str">
        <f t="shared" si="42"/>
        <v>- - -</v>
      </c>
      <c r="DO38" s="142" t="s">
        <v>9</v>
      </c>
      <c r="DP38" s="142" t="s">
        <v>10</v>
      </c>
      <c r="DQ38" s="142" t="s">
        <v>9</v>
      </c>
      <c r="DR38" s="142" t="s">
        <v>10</v>
      </c>
      <c r="DS38" s="142">
        <v>2014</v>
      </c>
      <c r="DT38" s="142">
        <v>3.66</v>
      </c>
      <c r="DU38" s="142" t="str">
        <f t="shared" si="43"/>
        <v>- - -</v>
      </c>
      <c r="DV38" s="142" t="str">
        <f t="shared" si="44"/>
        <v>---</v>
      </c>
    </row>
    <row r="39" spans="1:126" s="142" customFormat="1" ht="34.5" customHeight="1" x14ac:dyDescent="0.25">
      <c r="A39" s="139">
        <v>365</v>
      </c>
      <c r="B39" s="273">
        <v>24</v>
      </c>
      <c r="C39" s="139" t="str">
        <f t="shared" si="0"/>
        <v>Bà</v>
      </c>
      <c r="D39" s="328" t="s">
        <v>158</v>
      </c>
      <c r="E39" s="139" t="s">
        <v>32</v>
      </c>
      <c r="F39" s="276" t="s">
        <v>159</v>
      </c>
      <c r="G39" s="276" t="s">
        <v>10</v>
      </c>
      <c r="H39" s="276" t="s">
        <v>9</v>
      </c>
      <c r="I39" s="276" t="s">
        <v>10</v>
      </c>
      <c r="J39" s="139">
        <v>1972</v>
      </c>
      <c r="K39" s="139"/>
      <c r="L39" s="139"/>
      <c r="M39" s="143" t="e">
        <f>VLOOKUP(L39,'[1]- DLiêu Gốc -'!$B$2:$G$121,2,0)</f>
        <v>#N/A</v>
      </c>
      <c r="N39" s="299" t="s">
        <v>160</v>
      </c>
      <c r="O39" s="292" t="s">
        <v>33</v>
      </c>
      <c r="P39" s="165" t="str">
        <f>VLOOKUP(U39,'[1]- DLiêu Gốc -'!$B$2:$G$56,5,0)</f>
        <v>A1</v>
      </c>
      <c r="Q39" s="165" t="str">
        <f>VLOOKUP(U39,'[1]- DLiêu Gốc -'!$B$2:$G$56,6,0)</f>
        <v>- - -</v>
      </c>
      <c r="R39" s="139" t="s">
        <v>34</v>
      </c>
      <c r="S39" s="277" t="str">
        <f t="shared" si="1"/>
        <v>Giảng viên (hạng III)</v>
      </c>
      <c r="T39" s="278" t="str">
        <f t="shared" si="2"/>
        <v>V.07.01.03</v>
      </c>
      <c r="U39" s="180" t="s">
        <v>35</v>
      </c>
      <c r="V39" s="141" t="str">
        <f>VLOOKUP(U39,'[1]- DLiêu Gốc -'!$B$1:$G$121,2,0)</f>
        <v>V.07.01.03</v>
      </c>
      <c r="W39" s="274" t="str">
        <f t="shared" si="3"/>
        <v>Lương</v>
      </c>
      <c r="X39" s="274">
        <v>6</v>
      </c>
      <c r="Y39" s="274" t="str">
        <f t="shared" si="4"/>
        <v>/</v>
      </c>
      <c r="Z39" s="274">
        <f t="shared" si="5"/>
        <v>9</v>
      </c>
      <c r="AA39" s="274">
        <f t="shared" si="6"/>
        <v>3.99</v>
      </c>
      <c r="AB39" s="274">
        <f t="shared" si="7"/>
        <v>7</v>
      </c>
      <c r="AC39" s="274" t="str">
        <f t="shared" si="8"/>
        <v>/</v>
      </c>
      <c r="AD39" s="274">
        <f t="shared" si="9"/>
        <v>9</v>
      </c>
      <c r="AE39" s="274">
        <f t="shared" si="10"/>
        <v>4.32</v>
      </c>
      <c r="AF39" s="274" t="s">
        <v>9</v>
      </c>
      <c r="AG39" s="274" t="s">
        <v>10</v>
      </c>
      <c r="AH39" s="274" t="s">
        <v>95</v>
      </c>
      <c r="AI39" s="274" t="s">
        <v>10</v>
      </c>
      <c r="AJ39" s="274">
        <v>2016</v>
      </c>
      <c r="AK39" s="147"/>
      <c r="AL39" s="141">
        <v>5</v>
      </c>
      <c r="AM39" s="274">
        <f t="shared" si="11"/>
        <v>3</v>
      </c>
      <c r="AN39" s="274">
        <f t="shared" si="12"/>
        <v>-24197</v>
      </c>
      <c r="AO39" s="180"/>
      <c r="AP39" s="180"/>
      <c r="AQ39" s="274">
        <f>VLOOKUP(U39,'[1]- DLiêu Gốc -'!$B$1:$E$56,3,0)</f>
        <v>2.34</v>
      </c>
      <c r="AR39" s="274">
        <f>VLOOKUP(U39,'[1]- DLiêu Gốc -'!$B$1:$E$56,4,0)</f>
        <v>0.33</v>
      </c>
      <c r="AT39" s="274" t="str">
        <f t="shared" si="13"/>
        <v>PCTN</v>
      </c>
      <c r="AU39" s="279">
        <v>12</v>
      </c>
      <c r="AV39" s="280" t="s">
        <v>38</v>
      </c>
      <c r="AW39" s="279">
        <f t="shared" si="14"/>
        <v>13</v>
      </c>
      <c r="AX39" s="281" t="s">
        <v>38</v>
      </c>
      <c r="AY39" s="282">
        <v>5</v>
      </c>
      <c r="AZ39" s="169" t="s">
        <v>10</v>
      </c>
      <c r="BA39" s="283">
        <v>2016</v>
      </c>
      <c r="BB39" s="253"/>
      <c r="BC39" s="253"/>
      <c r="BD39" s="180"/>
      <c r="BE39" s="253">
        <v>5</v>
      </c>
      <c r="BF39" s="180">
        <f t="shared" si="15"/>
        <v>-24197</v>
      </c>
      <c r="BG39" s="140" t="str">
        <f t="shared" si="16"/>
        <v>- - -</v>
      </c>
      <c r="BH39" s="253" t="str">
        <f t="shared" si="17"/>
        <v>VC</v>
      </c>
      <c r="BI39" s="139"/>
      <c r="BJ39" s="347"/>
      <c r="BK39" s="347" t="s">
        <v>93</v>
      </c>
      <c r="BL39" s="327" t="str">
        <f t="shared" si="18"/>
        <v>A</v>
      </c>
      <c r="BM39" s="348" t="str">
        <f t="shared" si="19"/>
        <v>=&gt; s</v>
      </c>
      <c r="BN39" s="327">
        <f t="shared" si="20"/>
        <v>24221</v>
      </c>
      <c r="BO39" s="347" t="str">
        <f t="shared" si="21"/>
        <v>---</v>
      </c>
      <c r="BP39" s="327"/>
      <c r="BQ39" s="349"/>
      <c r="BR39" s="349"/>
      <c r="BS39" s="350"/>
      <c r="BT39" s="351" t="str">
        <f t="shared" si="22"/>
        <v>- - -</v>
      </c>
      <c r="BU39" s="351" t="str">
        <f t="shared" si="23"/>
        <v>- - -</v>
      </c>
      <c r="BV39" s="351"/>
      <c r="BW39" s="351"/>
      <c r="BX39" s="351"/>
      <c r="BY39" s="351"/>
      <c r="BZ39" s="349" t="str">
        <f t="shared" si="24"/>
        <v>- - -</v>
      </c>
      <c r="CA39" s="327"/>
      <c r="CB39" s="327"/>
      <c r="CC39" s="352"/>
      <c r="CD39" s="352"/>
      <c r="CE39" s="351" t="str">
        <f t="shared" si="25"/>
        <v>---</v>
      </c>
      <c r="CF39" s="327" t="str">
        <f t="shared" si="26"/>
        <v>/-/ /-/</v>
      </c>
      <c r="CG39" s="327">
        <f t="shared" si="27"/>
        <v>2</v>
      </c>
      <c r="CH39" s="327">
        <f t="shared" si="28"/>
        <v>2027</v>
      </c>
      <c r="CI39" s="351">
        <f t="shared" si="29"/>
        <v>11</v>
      </c>
      <c r="CJ39" s="351">
        <f t="shared" si="30"/>
        <v>2026</v>
      </c>
      <c r="CK39" s="347">
        <f t="shared" si="31"/>
        <v>8</v>
      </c>
      <c r="CL39" s="327">
        <f t="shared" si="32"/>
        <v>2026</v>
      </c>
      <c r="CM39" s="327" t="str">
        <f t="shared" si="33"/>
        <v>- - -</v>
      </c>
      <c r="CN39" s="327" t="str">
        <f t="shared" si="34"/>
        <v>. .</v>
      </c>
      <c r="CO39" s="327"/>
      <c r="CP39" s="348">
        <f t="shared" si="35"/>
        <v>660</v>
      </c>
      <c r="CQ39" s="348">
        <f t="shared" si="36"/>
        <v>-23653</v>
      </c>
      <c r="CR39" s="327">
        <f t="shared" si="37"/>
        <v>-1972</v>
      </c>
      <c r="CS39" s="348" t="str">
        <f t="shared" si="38"/>
        <v>Nữ dưới 30</v>
      </c>
      <c r="CT39" s="351"/>
      <c r="CU39" s="351"/>
      <c r="CV39" s="351" t="str">
        <f t="shared" si="39"/>
        <v>Đến 30</v>
      </c>
      <c r="CW39" s="351" t="str">
        <f t="shared" si="40"/>
        <v>TD</v>
      </c>
      <c r="CX39" s="351">
        <v>2008</v>
      </c>
      <c r="CY39" s="351"/>
      <c r="CZ39" s="351"/>
      <c r="DA39" s="351"/>
      <c r="DB39" s="351"/>
      <c r="DC39" s="351"/>
      <c r="DD39" s="351"/>
      <c r="DE39" s="351"/>
      <c r="DF39" s="351"/>
      <c r="DG39" s="351" t="s">
        <v>160</v>
      </c>
      <c r="DH39" s="351" t="s">
        <v>9</v>
      </c>
      <c r="DI39" s="351" t="s">
        <v>10</v>
      </c>
      <c r="DJ39" s="351" t="s">
        <v>95</v>
      </c>
      <c r="DK39" s="351" t="s">
        <v>10</v>
      </c>
      <c r="DL39" s="423">
        <v>2013</v>
      </c>
      <c r="DM39" s="142">
        <f t="shared" si="41"/>
        <v>0</v>
      </c>
      <c r="DN39" s="142" t="str">
        <f t="shared" si="42"/>
        <v>- - -</v>
      </c>
      <c r="DO39" s="142" t="s">
        <v>9</v>
      </c>
      <c r="DP39" s="142" t="s">
        <v>10</v>
      </c>
      <c r="DQ39" s="142" t="s">
        <v>95</v>
      </c>
      <c r="DR39" s="142" t="s">
        <v>10</v>
      </c>
      <c r="DS39" s="142">
        <v>2013</v>
      </c>
      <c r="DU39" s="142" t="str">
        <f t="shared" si="43"/>
        <v>- - -</v>
      </c>
      <c r="DV39" s="142" t="str">
        <f t="shared" si="44"/>
        <v>---</v>
      </c>
    </row>
    <row r="40" spans="1:126" s="142" customFormat="1" ht="34.5" customHeight="1" x14ac:dyDescent="0.25">
      <c r="A40" s="139">
        <v>449</v>
      </c>
      <c r="B40" s="273">
        <v>25</v>
      </c>
      <c r="C40" s="139" t="str">
        <f t="shared" si="0"/>
        <v>Bà</v>
      </c>
      <c r="D40" s="328" t="s">
        <v>209</v>
      </c>
      <c r="E40" s="139" t="s">
        <v>32</v>
      </c>
      <c r="F40" s="276" t="s">
        <v>164</v>
      </c>
      <c r="G40" s="276" t="s">
        <v>10</v>
      </c>
      <c r="H40" s="276" t="s">
        <v>40</v>
      </c>
      <c r="I40" s="276" t="s">
        <v>10</v>
      </c>
      <c r="J40" s="139" t="s">
        <v>210</v>
      </c>
      <c r="K40" s="139"/>
      <c r="L40" s="139"/>
      <c r="M40" s="143" t="e">
        <f>VLOOKUP(L40,'[1]- DLiêu Gốc -'!$B$2:$G$121,2,0)</f>
        <v>#N/A</v>
      </c>
      <c r="N40" s="329"/>
      <c r="O40" s="292" t="s">
        <v>123</v>
      </c>
      <c r="P40" s="165" t="str">
        <f>VLOOKUP(U40,'[1]- DLiêu Gốc -'!$B$2:$G$56,5,0)</f>
        <v>A1</v>
      </c>
      <c r="Q40" s="165" t="str">
        <f>VLOOKUP(U40,'[1]- DLiêu Gốc -'!$B$2:$G$56,6,0)</f>
        <v>- - -</v>
      </c>
      <c r="R40" s="139" t="s">
        <v>34</v>
      </c>
      <c r="S40" s="277" t="str">
        <f t="shared" si="1"/>
        <v>Giảng viên (hạng III)</v>
      </c>
      <c r="T40" s="278" t="str">
        <f t="shared" si="2"/>
        <v>V.07.01.03</v>
      </c>
      <c r="U40" s="180" t="s">
        <v>35</v>
      </c>
      <c r="V40" s="141" t="str">
        <f>VLOOKUP(U40,'[1]- DLiêu Gốc -'!$B$1:$G$121,2,0)</f>
        <v>V.07.01.03</v>
      </c>
      <c r="W40" s="274" t="str">
        <f t="shared" si="3"/>
        <v>Lương</v>
      </c>
      <c r="X40" s="274">
        <v>4</v>
      </c>
      <c r="Y40" s="274" t="str">
        <f t="shared" si="4"/>
        <v>/</v>
      </c>
      <c r="Z40" s="274">
        <f t="shared" si="5"/>
        <v>9</v>
      </c>
      <c r="AA40" s="274">
        <f t="shared" si="6"/>
        <v>3.33</v>
      </c>
      <c r="AB40" s="274">
        <f t="shared" si="7"/>
        <v>5</v>
      </c>
      <c r="AC40" s="274" t="str">
        <f t="shared" si="8"/>
        <v>/</v>
      </c>
      <c r="AD40" s="274">
        <f t="shared" si="9"/>
        <v>9</v>
      </c>
      <c r="AE40" s="274">
        <f t="shared" si="10"/>
        <v>3.66</v>
      </c>
      <c r="AF40" s="274" t="s">
        <v>9</v>
      </c>
      <c r="AG40" s="274" t="s">
        <v>10</v>
      </c>
      <c r="AH40" s="274" t="s">
        <v>42</v>
      </c>
      <c r="AI40" s="274" t="s">
        <v>10</v>
      </c>
      <c r="AJ40" s="274">
        <v>2014</v>
      </c>
      <c r="AK40" s="147"/>
      <c r="AL40" s="141"/>
      <c r="AM40" s="274">
        <f t="shared" si="11"/>
        <v>3</v>
      </c>
      <c r="AN40" s="274">
        <f t="shared" si="12"/>
        <v>-24180</v>
      </c>
      <c r="AO40" s="180"/>
      <c r="AP40" s="180"/>
      <c r="AQ40" s="274">
        <f>VLOOKUP(U40,'[1]- DLiêu Gốc -'!$B$1:$E$56,3,0)</f>
        <v>2.34</v>
      </c>
      <c r="AR40" s="274">
        <f>VLOOKUP(U40,'[1]- DLiêu Gốc -'!$B$1:$E$56,4,0)</f>
        <v>0.33</v>
      </c>
      <c r="AT40" s="274" t="str">
        <f t="shared" si="13"/>
        <v>PCTN</v>
      </c>
      <c r="AU40" s="279">
        <v>12</v>
      </c>
      <c r="AV40" s="280" t="s">
        <v>38</v>
      </c>
      <c r="AW40" s="279">
        <f t="shared" si="14"/>
        <v>13</v>
      </c>
      <c r="AX40" s="281" t="s">
        <v>38</v>
      </c>
      <c r="AY40" s="282">
        <v>5</v>
      </c>
      <c r="AZ40" s="169" t="s">
        <v>10</v>
      </c>
      <c r="BA40" s="283">
        <v>2016</v>
      </c>
      <c r="BB40" s="253"/>
      <c r="BC40" s="253"/>
      <c r="BD40" s="180"/>
      <c r="BE40" s="253">
        <v>5</v>
      </c>
      <c r="BF40" s="180">
        <f t="shared" si="15"/>
        <v>-24197</v>
      </c>
      <c r="BG40" s="140" t="str">
        <f t="shared" si="16"/>
        <v>- - -</v>
      </c>
      <c r="BH40" s="253" t="str">
        <f t="shared" si="17"/>
        <v>VC</v>
      </c>
      <c r="BI40" s="139"/>
      <c r="BJ40" s="347"/>
      <c r="BK40" s="347" t="s">
        <v>93</v>
      </c>
      <c r="BL40" s="327" t="str">
        <f t="shared" si="18"/>
        <v>A</v>
      </c>
      <c r="BM40" s="348" t="str">
        <f t="shared" si="19"/>
        <v>=&gt; s</v>
      </c>
      <c r="BN40" s="327">
        <f t="shared" si="20"/>
        <v>24204</v>
      </c>
      <c r="BO40" s="347" t="str">
        <f t="shared" si="21"/>
        <v>---</v>
      </c>
      <c r="BP40" s="327"/>
      <c r="BQ40" s="349"/>
      <c r="BR40" s="349"/>
      <c r="BS40" s="350"/>
      <c r="BT40" s="351" t="str">
        <f t="shared" si="22"/>
        <v>- - -</v>
      </c>
      <c r="BU40" s="351" t="str">
        <f t="shared" si="23"/>
        <v>- - -</v>
      </c>
      <c r="BV40" s="351"/>
      <c r="BW40" s="351"/>
      <c r="BX40" s="351"/>
      <c r="BY40" s="351"/>
      <c r="BZ40" s="349" t="str">
        <f t="shared" si="24"/>
        <v>- - -</v>
      </c>
      <c r="CA40" s="327"/>
      <c r="CB40" s="327"/>
      <c r="CC40" s="352"/>
      <c r="CD40" s="352"/>
      <c r="CE40" s="351" t="str">
        <f t="shared" si="25"/>
        <v>---</v>
      </c>
      <c r="CF40" s="327" t="str">
        <f t="shared" si="26"/>
        <v>/-/ /-/</v>
      </c>
      <c r="CG40" s="327">
        <f t="shared" si="27"/>
        <v>12</v>
      </c>
      <c r="CH40" s="327">
        <f t="shared" si="28"/>
        <v>2034</v>
      </c>
      <c r="CI40" s="351">
        <f t="shared" si="29"/>
        <v>9</v>
      </c>
      <c r="CJ40" s="351">
        <f t="shared" si="30"/>
        <v>2034</v>
      </c>
      <c r="CK40" s="347">
        <f t="shared" si="31"/>
        <v>6</v>
      </c>
      <c r="CL40" s="327">
        <f t="shared" si="32"/>
        <v>2034</v>
      </c>
      <c r="CM40" s="327" t="str">
        <f t="shared" si="33"/>
        <v>- - -</v>
      </c>
      <c r="CN40" s="327" t="str">
        <f t="shared" si="34"/>
        <v>. .</v>
      </c>
      <c r="CO40" s="327"/>
      <c r="CP40" s="348">
        <f t="shared" si="35"/>
        <v>660</v>
      </c>
      <c r="CQ40" s="348">
        <f t="shared" si="36"/>
        <v>-23747</v>
      </c>
      <c r="CR40" s="327">
        <f t="shared" si="37"/>
        <v>-1979</v>
      </c>
      <c r="CS40" s="348" t="str">
        <f t="shared" si="38"/>
        <v>Nữ dưới 30</v>
      </c>
      <c r="CT40" s="351"/>
      <c r="CU40" s="351"/>
      <c r="CV40" s="351" t="str">
        <f t="shared" si="39"/>
        <v>Đến 30</v>
      </c>
      <c r="CW40" s="351" t="str">
        <f t="shared" si="40"/>
        <v>--</v>
      </c>
      <c r="CX40" s="351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 t="s">
        <v>9</v>
      </c>
      <c r="DI40" s="351" t="s">
        <v>10</v>
      </c>
      <c r="DJ40" s="351" t="s">
        <v>42</v>
      </c>
      <c r="DK40" s="351" t="s">
        <v>10</v>
      </c>
      <c r="DL40" s="423" t="s">
        <v>31</v>
      </c>
      <c r="DM40" s="142">
        <f t="shared" si="41"/>
        <v>0</v>
      </c>
      <c r="DN40" s="142" t="str">
        <f t="shared" si="42"/>
        <v>- - -</v>
      </c>
      <c r="DO40" s="142" t="s">
        <v>9</v>
      </c>
      <c r="DP40" s="142" t="s">
        <v>10</v>
      </c>
      <c r="DQ40" s="142" t="s">
        <v>42</v>
      </c>
      <c r="DR40" s="142" t="s">
        <v>10</v>
      </c>
      <c r="DS40" s="142" t="s">
        <v>31</v>
      </c>
      <c r="DU40" s="142" t="str">
        <f t="shared" si="43"/>
        <v>- - -</v>
      </c>
      <c r="DV40" s="142" t="str">
        <f t="shared" si="44"/>
        <v>---</v>
      </c>
    </row>
    <row r="41" spans="1:126" s="142" customFormat="1" ht="63" customHeight="1" x14ac:dyDescent="0.25">
      <c r="A41" s="139">
        <v>624</v>
      </c>
      <c r="B41" s="273">
        <v>26</v>
      </c>
      <c r="C41" s="139" t="str">
        <f t="shared" si="0"/>
        <v>Bà</v>
      </c>
      <c r="D41" s="328" t="s">
        <v>211</v>
      </c>
      <c r="E41" s="139" t="s">
        <v>32</v>
      </c>
      <c r="F41" s="276" t="s">
        <v>44</v>
      </c>
      <c r="G41" s="276" t="s">
        <v>10</v>
      </c>
      <c r="H41" s="276" t="s">
        <v>11</v>
      </c>
      <c r="I41" s="276" t="s">
        <v>10</v>
      </c>
      <c r="J41" s="139">
        <v>1977</v>
      </c>
      <c r="K41" s="139"/>
      <c r="L41" s="139"/>
      <c r="M41" s="143" t="e">
        <f>VLOOKUP(L41,'[1]- DLiêu Gốc -'!$B$2:$G$121,2,0)</f>
        <v>#N/A</v>
      </c>
      <c r="N41" s="329" t="s">
        <v>212</v>
      </c>
      <c r="O41" s="292" t="s">
        <v>106</v>
      </c>
      <c r="P41" s="165" t="str">
        <f>VLOOKUP(U41,'[1]- DLiêu Gốc -'!$B$2:$G$56,5,0)</f>
        <v>A1</v>
      </c>
      <c r="Q41" s="165" t="str">
        <f>VLOOKUP(U41,'[1]- DLiêu Gốc -'!$B$2:$G$56,6,0)</f>
        <v>- - -</v>
      </c>
      <c r="R41" s="139" t="s">
        <v>34</v>
      </c>
      <c r="S41" s="277" t="str">
        <f t="shared" si="1"/>
        <v>Giảng viên (hạng III)</v>
      </c>
      <c r="T41" s="278" t="str">
        <f t="shared" si="2"/>
        <v>V.07.01.03</v>
      </c>
      <c r="U41" s="180" t="s">
        <v>35</v>
      </c>
      <c r="V41" s="141" t="str">
        <f>VLOOKUP(U41,'[1]- DLiêu Gốc -'!$B$1:$G$121,2,0)</f>
        <v>V.07.01.03</v>
      </c>
      <c r="W41" s="274" t="str">
        <f t="shared" si="3"/>
        <v>Lương</v>
      </c>
      <c r="X41" s="274">
        <v>4</v>
      </c>
      <c r="Y41" s="274" t="str">
        <f t="shared" si="4"/>
        <v>/</v>
      </c>
      <c r="Z41" s="274">
        <f t="shared" si="5"/>
        <v>9</v>
      </c>
      <c r="AA41" s="274">
        <f t="shared" si="6"/>
        <v>3.33</v>
      </c>
      <c r="AB41" s="274">
        <f t="shared" si="7"/>
        <v>5</v>
      </c>
      <c r="AC41" s="274" t="str">
        <f t="shared" si="8"/>
        <v>/</v>
      </c>
      <c r="AD41" s="274">
        <f t="shared" si="9"/>
        <v>9</v>
      </c>
      <c r="AE41" s="274">
        <f t="shared" si="10"/>
        <v>3.66</v>
      </c>
      <c r="AF41" s="274" t="s">
        <v>9</v>
      </c>
      <c r="AG41" s="274" t="s">
        <v>10</v>
      </c>
      <c r="AH41" s="274" t="s">
        <v>9</v>
      </c>
      <c r="AI41" s="274" t="s">
        <v>10</v>
      </c>
      <c r="AJ41" s="274">
        <v>2015</v>
      </c>
      <c r="AK41" s="147"/>
      <c r="AL41" s="141">
        <v>1</v>
      </c>
      <c r="AM41" s="274">
        <f t="shared" si="11"/>
        <v>3</v>
      </c>
      <c r="AN41" s="274">
        <f t="shared" si="12"/>
        <v>-24181</v>
      </c>
      <c r="AO41" s="180"/>
      <c r="AP41" s="180"/>
      <c r="AQ41" s="274">
        <f>VLOOKUP(U41,'[1]- DLiêu Gốc -'!$B$1:$E$56,3,0)</f>
        <v>2.34</v>
      </c>
      <c r="AR41" s="274">
        <f>VLOOKUP(U41,'[1]- DLiêu Gốc -'!$B$1:$E$56,4,0)</f>
        <v>0.33</v>
      </c>
      <c r="AT41" s="274" t="str">
        <f t="shared" si="13"/>
        <v>PCTN</v>
      </c>
      <c r="AU41" s="279">
        <v>12</v>
      </c>
      <c r="AV41" s="280" t="s">
        <v>38</v>
      </c>
      <c r="AW41" s="279">
        <f t="shared" si="14"/>
        <v>13</v>
      </c>
      <c r="AX41" s="281" t="s">
        <v>38</v>
      </c>
      <c r="AY41" s="282">
        <v>5</v>
      </c>
      <c r="AZ41" s="169" t="s">
        <v>10</v>
      </c>
      <c r="BA41" s="283">
        <v>2016</v>
      </c>
      <c r="BB41" s="253"/>
      <c r="BC41" s="253"/>
      <c r="BD41" s="180"/>
      <c r="BE41" s="253">
        <v>5</v>
      </c>
      <c r="BF41" s="180">
        <f t="shared" si="15"/>
        <v>-24197</v>
      </c>
      <c r="BG41" s="140" t="str">
        <f t="shared" si="16"/>
        <v>- - -</v>
      </c>
      <c r="BH41" s="253" t="str">
        <f t="shared" si="17"/>
        <v>VC</v>
      </c>
      <c r="BI41" s="139"/>
      <c r="BJ41" s="347"/>
      <c r="BK41" s="347" t="s">
        <v>93</v>
      </c>
      <c r="BL41" s="327" t="str">
        <f t="shared" si="18"/>
        <v>A</v>
      </c>
      <c r="BM41" s="348" t="str">
        <f t="shared" si="19"/>
        <v>=&gt; s</v>
      </c>
      <c r="BN41" s="327">
        <f t="shared" si="20"/>
        <v>24205</v>
      </c>
      <c r="BO41" s="347" t="str">
        <f t="shared" si="21"/>
        <v>---</v>
      </c>
      <c r="BP41" s="327"/>
      <c r="BQ41" s="349"/>
      <c r="BR41" s="349"/>
      <c r="BS41" s="350"/>
      <c r="BT41" s="351" t="str">
        <f t="shared" si="22"/>
        <v>- - -</v>
      </c>
      <c r="BU41" s="351" t="str">
        <f t="shared" si="23"/>
        <v>- - -</v>
      </c>
      <c r="BV41" s="351"/>
      <c r="BW41" s="351"/>
      <c r="BX41" s="351"/>
      <c r="BY41" s="351"/>
      <c r="BZ41" s="349" t="str">
        <f t="shared" si="24"/>
        <v>- - -</v>
      </c>
      <c r="CA41" s="327"/>
      <c r="CB41" s="327"/>
      <c r="CC41" s="352"/>
      <c r="CD41" s="352"/>
      <c r="CE41" s="351" t="str">
        <f t="shared" si="25"/>
        <v>---</v>
      </c>
      <c r="CF41" s="327" t="str">
        <f t="shared" si="26"/>
        <v>/-/ /-/</v>
      </c>
      <c r="CG41" s="327">
        <f t="shared" si="27"/>
        <v>8</v>
      </c>
      <c r="CH41" s="327">
        <f t="shared" si="28"/>
        <v>2032</v>
      </c>
      <c r="CI41" s="351">
        <f t="shared" si="29"/>
        <v>5</v>
      </c>
      <c r="CJ41" s="351">
        <f t="shared" si="30"/>
        <v>2032</v>
      </c>
      <c r="CK41" s="347">
        <f t="shared" si="31"/>
        <v>2</v>
      </c>
      <c r="CL41" s="327">
        <f t="shared" si="32"/>
        <v>2032</v>
      </c>
      <c r="CM41" s="327" t="str">
        <f t="shared" si="33"/>
        <v>- - -</v>
      </c>
      <c r="CN41" s="327" t="str">
        <f t="shared" si="34"/>
        <v>. .</v>
      </c>
      <c r="CO41" s="327"/>
      <c r="CP41" s="348">
        <f t="shared" si="35"/>
        <v>660</v>
      </c>
      <c r="CQ41" s="348">
        <f t="shared" si="36"/>
        <v>-23719</v>
      </c>
      <c r="CR41" s="327">
        <f t="shared" si="37"/>
        <v>-1977</v>
      </c>
      <c r="CS41" s="348" t="str">
        <f t="shared" si="38"/>
        <v>Nữ dưới 30</v>
      </c>
      <c r="CT41" s="351"/>
      <c r="CU41" s="351"/>
      <c r="CV41" s="351" t="str">
        <f t="shared" si="39"/>
        <v>Đến 30</v>
      </c>
      <c r="CW41" s="351" t="str">
        <f t="shared" si="40"/>
        <v>TD</v>
      </c>
      <c r="CX41" s="351">
        <v>2012</v>
      </c>
      <c r="CY41" s="351"/>
      <c r="CZ41" s="351"/>
      <c r="DA41" s="351"/>
      <c r="DB41" s="351"/>
      <c r="DC41" s="351"/>
      <c r="DD41" s="351"/>
      <c r="DE41" s="351"/>
      <c r="DF41" s="351"/>
      <c r="DG41" s="351" t="s">
        <v>212</v>
      </c>
      <c r="DH41" s="351" t="s">
        <v>9</v>
      </c>
      <c r="DI41" s="351" t="s">
        <v>10</v>
      </c>
      <c r="DJ41" s="351" t="s">
        <v>9</v>
      </c>
      <c r="DK41" s="351" t="s">
        <v>10</v>
      </c>
      <c r="DL41" s="423" t="s">
        <v>108</v>
      </c>
      <c r="DM41" s="142">
        <f t="shared" si="41"/>
        <v>0</v>
      </c>
      <c r="DN41" s="142" t="str">
        <f t="shared" si="42"/>
        <v>- - -</v>
      </c>
      <c r="DO41" s="142" t="s">
        <v>9</v>
      </c>
      <c r="DP41" s="142" t="s">
        <v>10</v>
      </c>
      <c r="DQ41" s="142" t="s">
        <v>9</v>
      </c>
      <c r="DR41" s="142" t="s">
        <v>10</v>
      </c>
      <c r="DS41" s="142" t="s">
        <v>108</v>
      </c>
      <c r="DU41" s="142" t="str">
        <f t="shared" si="43"/>
        <v>- - -</v>
      </c>
      <c r="DV41" s="142" t="str">
        <f t="shared" si="44"/>
        <v>---</v>
      </c>
    </row>
    <row r="42" spans="1:126" s="142" customFormat="1" ht="63.75" customHeight="1" x14ac:dyDescent="0.25">
      <c r="A42" s="139">
        <v>630</v>
      </c>
      <c r="B42" s="273">
        <v>27</v>
      </c>
      <c r="C42" s="139" t="str">
        <f t="shared" si="0"/>
        <v>Bà</v>
      </c>
      <c r="D42" s="328" t="s">
        <v>213</v>
      </c>
      <c r="E42" s="139" t="s">
        <v>32</v>
      </c>
      <c r="F42" s="276" t="s">
        <v>174</v>
      </c>
      <c r="G42" s="276" t="s">
        <v>10</v>
      </c>
      <c r="H42" s="276">
        <v>5</v>
      </c>
      <c r="I42" s="276" t="s">
        <v>10</v>
      </c>
      <c r="J42" s="139">
        <v>1977</v>
      </c>
      <c r="K42" s="139" t="e">
        <f>IF(AND((M42+0)&gt;0.3,(M42+0)&lt;1.5),"CVụ","- -")</f>
        <v>#VALUE!</v>
      </c>
      <c r="L42" s="139" t="s">
        <v>105</v>
      </c>
      <c r="M42" s="143" t="str">
        <f>VLOOKUP(L42,'[1]- DLiêu Gốc -'!$B$2:$G$121,2,0)</f>
        <v>0,4</v>
      </c>
      <c r="N42" s="329" t="s">
        <v>212</v>
      </c>
      <c r="O42" s="292" t="s">
        <v>106</v>
      </c>
      <c r="P42" s="165" t="str">
        <f>VLOOKUP(U42,'[1]- DLiêu Gốc -'!$B$2:$G$56,5,0)</f>
        <v>A1</v>
      </c>
      <c r="Q42" s="165" t="str">
        <f>VLOOKUP(U42,'[1]- DLiêu Gốc -'!$B$2:$G$56,6,0)</f>
        <v>- - -</v>
      </c>
      <c r="R42" s="139" t="s">
        <v>34</v>
      </c>
      <c r="S42" s="277" t="str">
        <f t="shared" si="1"/>
        <v>Giảng viên (hạng III)</v>
      </c>
      <c r="T42" s="278" t="str">
        <f t="shared" si="2"/>
        <v>V.07.01.03</v>
      </c>
      <c r="U42" s="180" t="s">
        <v>35</v>
      </c>
      <c r="V42" s="141" t="str">
        <f>VLOOKUP(U42,'[1]- DLiêu Gốc -'!$B$1:$G$121,2,0)</f>
        <v>V.07.01.03</v>
      </c>
      <c r="W42" s="274" t="str">
        <f t="shared" si="3"/>
        <v>Lương</v>
      </c>
      <c r="X42" s="274">
        <v>4</v>
      </c>
      <c r="Y42" s="274" t="str">
        <f t="shared" si="4"/>
        <v>/</v>
      </c>
      <c r="Z42" s="274">
        <f t="shared" si="5"/>
        <v>9</v>
      </c>
      <c r="AA42" s="274">
        <f t="shared" si="6"/>
        <v>3.33</v>
      </c>
      <c r="AB42" s="274">
        <f t="shared" si="7"/>
        <v>5</v>
      </c>
      <c r="AC42" s="274" t="str">
        <f t="shared" si="8"/>
        <v>/</v>
      </c>
      <c r="AD42" s="274">
        <f t="shared" si="9"/>
        <v>9</v>
      </c>
      <c r="AE42" s="274">
        <f t="shared" si="10"/>
        <v>3.66</v>
      </c>
      <c r="AF42" s="274" t="s">
        <v>9</v>
      </c>
      <c r="AG42" s="274" t="s">
        <v>10</v>
      </c>
      <c r="AH42" s="274" t="s">
        <v>42</v>
      </c>
      <c r="AI42" s="274" t="s">
        <v>10</v>
      </c>
      <c r="AJ42" s="274">
        <v>2014</v>
      </c>
      <c r="AK42" s="147"/>
      <c r="AL42" s="141"/>
      <c r="AM42" s="274">
        <f t="shared" si="11"/>
        <v>3</v>
      </c>
      <c r="AN42" s="274">
        <f t="shared" si="12"/>
        <v>-24180</v>
      </c>
      <c r="AO42" s="180"/>
      <c r="AP42" s="180"/>
      <c r="AQ42" s="274">
        <f>VLOOKUP(U42,'[1]- DLiêu Gốc -'!$B$1:$E$56,3,0)</f>
        <v>2.34</v>
      </c>
      <c r="AR42" s="274">
        <f>VLOOKUP(U42,'[1]- DLiêu Gốc -'!$B$1:$E$56,4,0)</f>
        <v>0.33</v>
      </c>
      <c r="AT42" s="274" t="str">
        <f t="shared" si="13"/>
        <v>PCTN</v>
      </c>
      <c r="AU42" s="279">
        <v>12</v>
      </c>
      <c r="AV42" s="280" t="s">
        <v>38</v>
      </c>
      <c r="AW42" s="279">
        <f t="shared" si="14"/>
        <v>13</v>
      </c>
      <c r="AX42" s="281" t="s">
        <v>38</v>
      </c>
      <c r="AY42" s="282">
        <v>5</v>
      </c>
      <c r="AZ42" s="169" t="s">
        <v>10</v>
      </c>
      <c r="BA42" s="283">
        <v>2016</v>
      </c>
      <c r="BB42" s="253"/>
      <c r="BC42" s="253"/>
      <c r="BD42" s="180"/>
      <c r="BE42" s="253">
        <v>5</v>
      </c>
      <c r="BF42" s="180">
        <f t="shared" si="15"/>
        <v>-24197</v>
      </c>
      <c r="BG42" s="140" t="str">
        <f t="shared" si="16"/>
        <v>- - -</v>
      </c>
      <c r="BH42" s="253" t="str">
        <f t="shared" si="17"/>
        <v>VC</v>
      </c>
      <c r="BI42" s="139"/>
      <c r="BJ42" s="347"/>
      <c r="BK42" s="347" t="s">
        <v>93</v>
      </c>
      <c r="BL42" s="327" t="str">
        <f t="shared" si="18"/>
        <v>A</v>
      </c>
      <c r="BM42" s="348" t="str">
        <f t="shared" si="19"/>
        <v>=&gt; s</v>
      </c>
      <c r="BN42" s="327">
        <f t="shared" si="20"/>
        <v>24204</v>
      </c>
      <c r="BO42" s="347" t="str">
        <f t="shared" si="21"/>
        <v>---</v>
      </c>
      <c r="BP42" s="327"/>
      <c r="BQ42" s="349"/>
      <c r="BR42" s="349"/>
      <c r="BS42" s="350"/>
      <c r="BT42" s="351" t="str">
        <f t="shared" si="22"/>
        <v>- - -</v>
      </c>
      <c r="BU42" s="351" t="str">
        <f t="shared" si="23"/>
        <v>- - -</v>
      </c>
      <c r="BV42" s="351"/>
      <c r="BW42" s="351"/>
      <c r="BX42" s="351"/>
      <c r="BY42" s="351"/>
      <c r="BZ42" s="349" t="str">
        <f t="shared" si="24"/>
        <v>- - -</v>
      </c>
      <c r="CA42" s="327"/>
      <c r="CB42" s="327"/>
      <c r="CC42" s="352"/>
      <c r="CD42" s="352"/>
      <c r="CE42" s="351" t="str">
        <f t="shared" si="25"/>
        <v>---</v>
      </c>
      <c r="CF42" s="327" t="str">
        <f t="shared" si="26"/>
        <v>/-/ /-/</v>
      </c>
      <c r="CG42" s="327">
        <f t="shared" si="27"/>
        <v>6</v>
      </c>
      <c r="CH42" s="327">
        <f t="shared" si="28"/>
        <v>2032</v>
      </c>
      <c r="CI42" s="351">
        <f t="shared" si="29"/>
        <v>3</v>
      </c>
      <c r="CJ42" s="351">
        <f t="shared" si="30"/>
        <v>2032</v>
      </c>
      <c r="CK42" s="347">
        <f t="shared" si="31"/>
        <v>12</v>
      </c>
      <c r="CL42" s="327">
        <f t="shared" si="32"/>
        <v>2031</v>
      </c>
      <c r="CM42" s="327" t="str">
        <f t="shared" si="33"/>
        <v>- - -</v>
      </c>
      <c r="CN42" s="327" t="str">
        <f t="shared" si="34"/>
        <v>. .</v>
      </c>
      <c r="CO42" s="327"/>
      <c r="CP42" s="348">
        <f t="shared" si="35"/>
        <v>660</v>
      </c>
      <c r="CQ42" s="348">
        <f t="shared" si="36"/>
        <v>-23717</v>
      </c>
      <c r="CR42" s="327">
        <f t="shared" si="37"/>
        <v>-1977</v>
      </c>
      <c r="CS42" s="348" t="str">
        <f t="shared" si="38"/>
        <v>Nữ dưới 30</v>
      </c>
      <c r="CT42" s="351"/>
      <c r="CU42" s="351"/>
      <c r="CV42" s="351" t="str">
        <f t="shared" si="39"/>
        <v>Đến 30</v>
      </c>
      <c r="CW42" s="351" t="str">
        <f t="shared" si="40"/>
        <v>TD</v>
      </c>
      <c r="CX42" s="351">
        <v>2008</v>
      </c>
      <c r="CY42" s="351"/>
      <c r="CZ42" s="351"/>
      <c r="DA42" s="351"/>
      <c r="DB42" s="351"/>
      <c r="DC42" s="351"/>
      <c r="DD42" s="351"/>
      <c r="DE42" s="351"/>
      <c r="DF42" s="351"/>
      <c r="DG42" s="351" t="s">
        <v>212</v>
      </c>
      <c r="DH42" s="351" t="s">
        <v>9</v>
      </c>
      <c r="DI42" s="351" t="s">
        <v>10</v>
      </c>
      <c r="DJ42" s="351" t="s">
        <v>42</v>
      </c>
      <c r="DK42" s="351" t="s">
        <v>10</v>
      </c>
      <c r="DL42" s="423" t="s">
        <v>31</v>
      </c>
      <c r="DM42" s="142">
        <f t="shared" si="41"/>
        <v>0</v>
      </c>
      <c r="DN42" s="142" t="str">
        <f t="shared" si="42"/>
        <v>- - -</v>
      </c>
      <c r="DO42" s="142" t="s">
        <v>9</v>
      </c>
      <c r="DP42" s="142" t="s">
        <v>10</v>
      </c>
      <c r="DQ42" s="142" t="s">
        <v>42</v>
      </c>
      <c r="DR42" s="142" t="s">
        <v>10</v>
      </c>
      <c r="DS42" s="142" t="s">
        <v>31</v>
      </c>
      <c r="DU42" s="142" t="str">
        <f t="shared" si="43"/>
        <v>- - -</v>
      </c>
      <c r="DV42" s="142" t="str">
        <f t="shared" si="44"/>
        <v>---</v>
      </c>
    </row>
    <row r="43" spans="1:126" s="142" customFormat="1" ht="63.75" customHeight="1" x14ac:dyDescent="0.25">
      <c r="A43" s="139">
        <v>631</v>
      </c>
      <c r="B43" s="273">
        <v>28</v>
      </c>
      <c r="C43" s="139" t="str">
        <f t="shared" si="0"/>
        <v>Ông</v>
      </c>
      <c r="D43" s="328" t="s">
        <v>214</v>
      </c>
      <c r="E43" s="139" t="s">
        <v>39</v>
      </c>
      <c r="F43" s="276" t="s">
        <v>37</v>
      </c>
      <c r="G43" s="276" t="s">
        <v>10</v>
      </c>
      <c r="H43" s="276">
        <v>8</v>
      </c>
      <c r="I43" s="276" t="s">
        <v>10</v>
      </c>
      <c r="J43" s="139">
        <v>1963</v>
      </c>
      <c r="K43" s="139"/>
      <c r="L43" s="139"/>
      <c r="M43" s="143" t="e">
        <f>VLOOKUP(L43,'[1]- DLiêu Gốc -'!$B$2:$G$121,2,0)</f>
        <v>#N/A</v>
      </c>
      <c r="N43" s="329" t="s">
        <v>212</v>
      </c>
      <c r="O43" s="292" t="s">
        <v>106</v>
      </c>
      <c r="P43" s="165" t="str">
        <f>VLOOKUP(U43,'[1]- DLiêu Gốc -'!$B$2:$G$56,5,0)</f>
        <v>A1</v>
      </c>
      <c r="Q43" s="165" t="str">
        <f>VLOOKUP(U43,'[1]- DLiêu Gốc -'!$B$2:$G$56,6,0)</f>
        <v>- - -</v>
      </c>
      <c r="R43" s="139" t="s">
        <v>34</v>
      </c>
      <c r="S43" s="277" t="str">
        <f t="shared" si="1"/>
        <v>Giảng viên (hạng III)</v>
      </c>
      <c r="T43" s="278" t="str">
        <f t="shared" si="2"/>
        <v>V.07.01.03</v>
      </c>
      <c r="U43" s="180" t="s">
        <v>35</v>
      </c>
      <c r="V43" s="141" t="str">
        <f>VLOOKUP(U43,'[1]- DLiêu Gốc -'!$B$1:$G$121,2,0)</f>
        <v>V.07.01.03</v>
      </c>
      <c r="W43" s="274" t="str">
        <f t="shared" si="3"/>
        <v>Lương</v>
      </c>
      <c r="X43" s="274">
        <v>5</v>
      </c>
      <c r="Y43" s="274" t="str">
        <f t="shared" si="4"/>
        <v>/</v>
      </c>
      <c r="Z43" s="274">
        <f t="shared" si="5"/>
        <v>9</v>
      </c>
      <c r="AA43" s="274">
        <f t="shared" si="6"/>
        <v>3.66</v>
      </c>
      <c r="AB43" s="274">
        <f t="shared" si="7"/>
        <v>6</v>
      </c>
      <c r="AC43" s="274" t="str">
        <f t="shared" si="8"/>
        <v>/</v>
      </c>
      <c r="AD43" s="274">
        <f t="shared" si="9"/>
        <v>9</v>
      </c>
      <c r="AE43" s="274">
        <f t="shared" si="10"/>
        <v>3.99</v>
      </c>
      <c r="AF43" s="274" t="s">
        <v>9</v>
      </c>
      <c r="AG43" s="274" t="s">
        <v>10</v>
      </c>
      <c r="AH43" s="274" t="s">
        <v>30</v>
      </c>
      <c r="AI43" s="274" t="s">
        <v>10</v>
      </c>
      <c r="AJ43" s="274">
        <v>2014</v>
      </c>
      <c r="AK43" s="147"/>
      <c r="AL43" s="141"/>
      <c r="AM43" s="274">
        <f t="shared" si="11"/>
        <v>3</v>
      </c>
      <c r="AN43" s="274">
        <f t="shared" si="12"/>
        <v>-24176</v>
      </c>
      <c r="AO43" s="180"/>
      <c r="AP43" s="180"/>
      <c r="AQ43" s="274">
        <f>VLOOKUP(U43,'[1]- DLiêu Gốc -'!$B$1:$E$56,3,0)</f>
        <v>2.34</v>
      </c>
      <c r="AR43" s="274">
        <f>VLOOKUP(U43,'[1]- DLiêu Gốc -'!$B$1:$E$56,4,0)</f>
        <v>0.33</v>
      </c>
      <c r="AT43" s="274" t="str">
        <f t="shared" si="13"/>
        <v>PCTN</v>
      </c>
      <c r="AU43" s="279">
        <v>12</v>
      </c>
      <c r="AV43" s="280" t="s">
        <v>38</v>
      </c>
      <c r="AW43" s="279">
        <f t="shared" si="14"/>
        <v>13</v>
      </c>
      <c r="AX43" s="281" t="s">
        <v>38</v>
      </c>
      <c r="AY43" s="282">
        <v>5</v>
      </c>
      <c r="AZ43" s="169" t="s">
        <v>10</v>
      </c>
      <c r="BA43" s="283">
        <v>2016</v>
      </c>
      <c r="BB43" s="253"/>
      <c r="BC43" s="253"/>
      <c r="BD43" s="180"/>
      <c r="BE43" s="253">
        <v>5</v>
      </c>
      <c r="BF43" s="180">
        <f t="shared" si="15"/>
        <v>-24197</v>
      </c>
      <c r="BG43" s="140" t="str">
        <f t="shared" si="16"/>
        <v>- - -</v>
      </c>
      <c r="BH43" s="253" t="str">
        <f t="shared" si="17"/>
        <v>VC</v>
      </c>
      <c r="BI43" s="139"/>
      <c r="BJ43" s="347"/>
      <c r="BK43" s="347" t="s">
        <v>93</v>
      </c>
      <c r="BL43" s="327" t="str">
        <f t="shared" si="18"/>
        <v>A</v>
      </c>
      <c r="BM43" s="348" t="str">
        <f t="shared" si="19"/>
        <v>=&gt; s</v>
      </c>
      <c r="BN43" s="327">
        <f t="shared" si="20"/>
        <v>24200</v>
      </c>
      <c r="BO43" s="347" t="str">
        <f t="shared" si="21"/>
        <v>---</v>
      </c>
      <c r="BP43" s="327"/>
      <c r="BQ43" s="349"/>
      <c r="BR43" s="349"/>
      <c r="BS43" s="350"/>
      <c r="BT43" s="351" t="str">
        <f t="shared" si="22"/>
        <v>- - -</v>
      </c>
      <c r="BU43" s="351" t="str">
        <f t="shared" si="23"/>
        <v>- - -</v>
      </c>
      <c r="BV43" s="351"/>
      <c r="BW43" s="351"/>
      <c r="BX43" s="351"/>
      <c r="BY43" s="351"/>
      <c r="BZ43" s="349" t="str">
        <f t="shared" si="24"/>
        <v>- - -</v>
      </c>
      <c r="CA43" s="327"/>
      <c r="CB43" s="327"/>
      <c r="CC43" s="352"/>
      <c r="CD43" s="352"/>
      <c r="CE43" s="351" t="str">
        <f t="shared" si="25"/>
        <v>---</v>
      </c>
      <c r="CF43" s="327" t="str">
        <f t="shared" si="26"/>
        <v>/-/ /-/</v>
      </c>
      <c r="CG43" s="327">
        <f t="shared" si="27"/>
        <v>9</v>
      </c>
      <c r="CH43" s="327">
        <f t="shared" si="28"/>
        <v>2023</v>
      </c>
      <c r="CI43" s="351">
        <f t="shared" si="29"/>
        <v>6</v>
      </c>
      <c r="CJ43" s="351">
        <f t="shared" si="30"/>
        <v>2023</v>
      </c>
      <c r="CK43" s="347">
        <f t="shared" si="31"/>
        <v>3</v>
      </c>
      <c r="CL43" s="327">
        <f t="shared" si="32"/>
        <v>2023</v>
      </c>
      <c r="CM43" s="327" t="str">
        <f t="shared" si="33"/>
        <v>- - -</v>
      </c>
      <c r="CN43" s="327" t="str">
        <f t="shared" si="34"/>
        <v>. .</v>
      </c>
      <c r="CO43" s="327"/>
      <c r="CP43" s="348">
        <f t="shared" si="35"/>
        <v>720</v>
      </c>
      <c r="CQ43" s="348">
        <f t="shared" si="36"/>
        <v>-23552</v>
      </c>
      <c r="CR43" s="327">
        <f t="shared" si="37"/>
        <v>-1963</v>
      </c>
      <c r="CS43" s="348" t="str">
        <f t="shared" si="38"/>
        <v>Nam dưới 35</v>
      </c>
      <c r="CT43" s="351"/>
      <c r="CU43" s="351"/>
      <c r="CV43" s="351" t="str">
        <f t="shared" si="39"/>
        <v>Đến 30</v>
      </c>
      <c r="CW43" s="351" t="str">
        <f t="shared" si="40"/>
        <v>TD</v>
      </c>
      <c r="CX43" s="351">
        <v>2009</v>
      </c>
      <c r="CY43" s="351"/>
      <c r="CZ43" s="351"/>
      <c r="DA43" s="351"/>
      <c r="DB43" s="351"/>
      <c r="DC43" s="351"/>
      <c r="DD43" s="351"/>
      <c r="DE43" s="351"/>
      <c r="DF43" s="351"/>
      <c r="DG43" s="351" t="s">
        <v>212</v>
      </c>
      <c r="DH43" s="351" t="s">
        <v>9</v>
      </c>
      <c r="DI43" s="351" t="s">
        <v>10</v>
      </c>
      <c r="DJ43" s="351" t="s">
        <v>30</v>
      </c>
      <c r="DK43" s="351" t="s">
        <v>10</v>
      </c>
      <c r="DL43" s="423" t="s">
        <v>31</v>
      </c>
      <c r="DM43" s="142">
        <f t="shared" si="41"/>
        <v>0</v>
      </c>
      <c r="DN43" s="142" t="str">
        <f t="shared" si="42"/>
        <v>- - -</v>
      </c>
      <c r="DO43" s="142" t="s">
        <v>9</v>
      </c>
      <c r="DP43" s="142" t="s">
        <v>10</v>
      </c>
      <c r="DQ43" s="142" t="s">
        <v>30</v>
      </c>
      <c r="DR43" s="142" t="s">
        <v>10</v>
      </c>
      <c r="DS43" s="142" t="s">
        <v>31</v>
      </c>
      <c r="DU43" s="142" t="str">
        <f t="shared" si="43"/>
        <v>- - -</v>
      </c>
      <c r="DV43" s="142" t="str">
        <f t="shared" si="44"/>
        <v>---</v>
      </c>
    </row>
    <row r="44" spans="1:126" s="142" customFormat="1" ht="65.25" customHeight="1" x14ac:dyDescent="0.25">
      <c r="A44" s="139">
        <v>632</v>
      </c>
      <c r="B44" s="273">
        <v>29</v>
      </c>
      <c r="C44" s="139" t="str">
        <f t="shared" si="0"/>
        <v>Ông</v>
      </c>
      <c r="D44" s="328" t="s">
        <v>215</v>
      </c>
      <c r="E44" s="139" t="s">
        <v>39</v>
      </c>
      <c r="F44" s="276" t="s">
        <v>9</v>
      </c>
      <c r="G44" s="276" t="s">
        <v>10</v>
      </c>
      <c r="H44" s="276" t="s">
        <v>40</v>
      </c>
      <c r="I44" s="276" t="s">
        <v>10</v>
      </c>
      <c r="J44" s="139" t="s">
        <v>139</v>
      </c>
      <c r="K44" s="139"/>
      <c r="L44" s="139"/>
      <c r="M44" s="143" t="e">
        <f>VLOOKUP(L44,'[1]- DLiêu Gốc -'!$B$2:$G$121,2,0)</f>
        <v>#N/A</v>
      </c>
      <c r="N44" s="329" t="s">
        <v>212</v>
      </c>
      <c r="O44" s="292" t="s">
        <v>106</v>
      </c>
      <c r="P44" s="165" t="str">
        <f>VLOOKUP(U44,'[1]- DLiêu Gốc -'!$B$2:$G$56,5,0)</f>
        <v>A1</v>
      </c>
      <c r="Q44" s="165" t="str">
        <f>VLOOKUP(U44,'[1]- DLiêu Gốc -'!$B$2:$G$56,6,0)</f>
        <v>- - -</v>
      </c>
      <c r="R44" s="139" t="s">
        <v>34</v>
      </c>
      <c r="S44" s="277" t="str">
        <f t="shared" si="1"/>
        <v>Giảng viên (hạng III)</v>
      </c>
      <c r="T44" s="278" t="str">
        <f t="shared" si="2"/>
        <v>V.07.01.03</v>
      </c>
      <c r="U44" s="180" t="s">
        <v>35</v>
      </c>
      <c r="V44" s="141" t="str">
        <f>VLOOKUP(U44,'[1]- DLiêu Gốc -'!$B$1:$G$121,2,0)</f>
        <v>V.07.01.03</v>
      </c>
      <c r="W44" s="274" t="str">
        <f t="shared" si="3"/>
        <v>Lương</v>
      </c>
      <c r="X44" s="274">
        <v>4</v>
      </c>
      <c r="Y44" s="274" t="str">
        <f t="shared" si="4"/>
        <v>/</v>
      </c>
      <c r="Z44" s="274">
        <f t="shared" si="5"/>
        <v>9</v>
      </c>
      <c r="AA44" s="274">
        <f t="shared" si="6"/>
        <v>3.33</v>
      </c>
      <c r="AB44" s="274">
        <f t="shared" si="7"/>
        <v>5</v>
      </c>
      <c r="AC44" s="274" t="str">
        <f t="shared" si="8"/>
        <v>/</v>
      </c>
      <c r="AD44" s="274">
        <f t="shared" si="9"/>
        <v>9</v>
      </c>
      <c r="AE44" s="274">
        <f t="shared" si="10"/>
        <v>3.66</v>
      </c>
      <c r="AF44" s="274" t="s">
        <v>9</v>
      </c>
      <c r="AG44" s="274" t="s">
        <v>10</v>
      </c>
      <c r="AH44" s="274" t="s">
        <v>37</v>
      </c>
      <c r="AI44" s="274" t="s">
        <v>10</v>
      </c>
      <c r="AJ44" s="274">
        <v>2015</v>
      </c>
      <c r="AK44" s="147"/>
      <c r="AL44" s="141"/>
      <c r="AM44" s="274">
        <f t="shared" si="11"/>
        <v>3</v>
      </c>
      <c r="AN44" s="274">
        <f t="shared" si="12"/>
        <v>-24182</v>
      </c>
      <c r="AO44" s="180"/>
      <c r="AP44" s="180"/>
      <c r="AQ44" s="274">
        <f>VLOOKUP(U44,'[1]- DLiêu Gốc -'!$B$1:$E$56,3,0)</f>
        <v>2.34</v>
      </c>
      <c r="AR44" s="274">
        <f>VLOOKUP(U44,'[1]- DLiêu Gốc -'!$B$1:$E$56,4,0)</f>
        <v>0.33</v>
      </c>
      <c r="AT44" s="274" t="str">
        <f t="shared" si="13"/>
        <v>PCTN</v>
      </c>
      <c r="AU44" s="279">
        <v>12</v>
      </c>
      <c r="AV44" s="280" t="s">
        <v>38</v>
      </c>
      <c r="AW44" s="279">
        <f t="shared" si="14"/>
        <v>13</v>
      </c>
      <c r="AX44" s="281" t="s">
        <v>38</v>
      </c>
      <c r="AY44" s="282">
        <v>5</v>
      </c>
      <c r="AZ44" s="169" t="s">
        <v>10</v>
      </c>
      <c r="BA44" s="283">
        <v>2016</v>
      </c>
      <c r="BB44" s="253"/>
      <c r="BC44" s="253"/>
      <c r="BD44" s="180"/>
      <c r="BE44" s="253">
        <v>5</v>
      </c>
      <c r="BF44" s="180">
        <f t="shared" si="15"/>
        <v>-24197</v>
      </c>
      <c r="BG44" s="140" t="str">
        <f t="shared" si="16"/>
        <v>- - -</v>
      </c>
      <c r="BH44" s="253" t="str">
        <f t="shared" si="17"/>
        <v>VC</v>
      </c>
      <c r="BI44" s="139"/>
      <c r="BJ44" s="347"/>
      <c r="BK44" s="347" t="s">
        <v>93</v>
      </c>
      <c r="BL44" s="327" t="str">
        <f t="shared" si="18"/>
        <v>A</v>
      </c>
      <c r="BM44" s="348" t="str">
        <f t="shared" si="19"/>
        <v>=&gt; s</v>
      </c>
      <c r="BN44" s="327">
        <f t="shared" si="20"/>
        <v>24206</v>
      </c>
      <c r="BO44" s="347" t="str">
        <f t="shared" si="21"/>
        <v>---</v>
      </c>
      <c r="BP44" s="327"/>
      <c r="BQ44" s="349"/>
      <c r="BR44" s="349"/>
      <c r="BS44" s="350"/>
      <c r="BT44" s="351" t="str">
        <f t="shared" si="22"/>
        <v>- - -</v>
      </c>
      <c r="BU44" s="351" t="str">
        <f t="shared" si="23"/>
        <v>- - -</v>
      </c>
      <c r="BV44" s="351"/>
      <c r="BW44" s="351"/>
      <c r="BX44" s="351"/>
      <c r="BY44" s="351"/>
      <c r="BZ44" s="349" t="str">
        <f t="shared" si="24"/>
        <v>- - -</v>
      </c>
      <c r="CA44" s="327"/>
      <c r="CB44" s="327"/>
      <c r="CC44" s="352"/>
      <c r="CD44" s="352"/>
      <c r="CE44" s="351" t="str">
        <f t="shared" si="25"/>
        <v>---</v>
      </c>
      <c r="CF44" s="327" t="str">
        <f t="shared" si="26"/>
        <v>/-/ /-/</v>
      </c>
      <c r="CG44" s="327">
        <f t="shared" si="27"/>
        <v>12</v>
      </c>
      <c r="CH44" s="327">
        <f t="shared" si="28"/>
        <v>2037</v>
      </c>
      <c r="CI44" s="351">
        <f t="shared" si="29"/>
        <v>9</v>
      </c>
      <c r="CJ44" s="351">
        <f t="shared" si="30"/>
        <v>2037</v>
      </c>
      <c r="CK44" s="347">
        <f t="shared" si="31"/>
        <v>6</v>
      </c>
      <c r="CL44" s="327">
        <f t="shared" si="32"/>
        <v>2037</v>
      </c>
      <c r="CM44" s="327" t="str">
        <f t="shared" si="33"/>
        <v>- - -</v>
      </c>
      <c r="CN44" s="327" t="str">
        <f t="shared" si="34"/>
        <v>. .</v>
      </c>
      <c r="CO44" s="327"/>
      <c r="CP44" s="348">
        <f t="shared" si="35"/>
        <v>720</v>
      </c>
      <c r="CQ44" s="348">
        <f t="shared" si="36"/>
        <v>-23723</v>
      </c>
      <c r="CR44" s="327">
        <f t="shared" si="37"/>
        <v>-1977</v>
      </c>
      <c r="CS44" s="348" t="str">
        <f t="shared" si="38"/>
        <v>Nam dưới 35</v>
      </c>
      <c r="CT44" s="351"/>
      <c r="CU44" s="351"/>
      <c r="CV44" s="351" t="str">
        <f t="shared" si="39"/>
        <v>Đến 30</v>
      </c>
      <c r="CW44" s="351" t="str">
        <f t="shared" si="40"/>
        <v>TD</v>
      </c>
      <c r="CX44" s="351">
        <v>2009</v>
      </c>
      <c r="CY44" s="351"/>
      <c r="CZ44" s="351"/>
      <c r="DA44" s="351"/>
      <c r="DB44" s="351"/>
      <c r="DC44" s="351"/>
      <c r="DD44" s="351"/>
      <c r="DE44" s="351"/>
      <c r="DF44" s="351"/>
      <c r="DG44" s="351" t="s">
        <v>212</v>
      </c>
      <c r="DH44" s="351" t="s">
        <v>9</v>
      </c>
      <c r="DI44" s="351" t="s">
        <v>10</v>
      </c>
      <c r="DJ44" s="351" t="s">
        <v>37</v>
      </c>
      <c r="DK44" s="351" t="s">
        <v>10</v>
      </c>
      <c r="DL44" s="423" t="s">
        <v>108</v>
      </c>
      <c r="DM44" s="142">
        <f t="shared" si="41"/>
        <v>0</v>
      </c>
      <c r="DN44" s="142" t="str">
        <f t="shared" si="42"/>
        <v>- - -</v>
      </c>
      <c r="DO44" s="142" t="s">
        <v>9</v>
      </c>
      <c r="DP44" s="142" t="s">
        <v>10</v>
      </c>
      <c r="DQ44" s="142" t="s">
        <v>37</v>
      </c>
      <c r="DR44" s="142" t="s">
        <v>10</v>
      </c>
      <c r="DS44" s="142" t="s">
        <v>108</v>
      </c>
      <c r="DU44" s="142" t="str">
        <f t="shared" si="43"/>
        <v>- - -</v>
      </c>
      <c r="DV44" s="142" t="str">
        <f t="shared" si="44"/>
        <v>---</v>
      </c>
    </row>
    <row r="45" spans="1:126" s="142" customFormat="1" ht="35.25" customHeight="1" x14ac:dyDescent="0.25">
      <c r="A45" s="139">
        <v>634</v>
      </c>
      <c r="B45" s="273">
        <v>30</v>
      </c>
      <c r="C45" s="139" t="str">
        <f t="shared" si="0"/>
        <v>Bà</v>
      </c>
      <c r="D45" s="328" t="s">
        <v>216</v>
      </c>
      <c r="E45" s="139" t="s">
        <v>32</v>
      </c>
      <c r="F45" s="276" t="s">
        <v>37</v>
      </c>
      <c r="G45" s="276" t="s">
        <v>10</v>
      </c>
      <c r="H45" s="276" t="s">
        <v>37</v>
      </c>
      <c r="I45" s="276" t="s">
        <v>10</v>
      </c>
      <c r="J45" s="139">
        <v>1963</v>
      </c>
      <c r="K45" s="139"/>
      <c r="L45" s="139"/>
      <c r="M45" s="143" t="e">
        <f>VLOOKUP(L45,'[1]- DLiêu Gốc -'!$B$2:$G$121,2,0)</f>
        <v>#N/A</v>
      </c>
      <c r="N45" s="329" t="s">
        <v>217</v>
      </c>
      <c r="O45" s="292" t="s">
        <v>106</v>
      </c>
      <c r="P45" s="165" t="str">
        <f>VLOOKUP(U45,'[1]- DLiêu Gốc -'!$B$2:$G$56,5,0)</f>
        <v>A1</v>
      </c>
      <c r="Q45" s="165" t="str">
        <f>VLOOKUP(U45,'[1]- DLiêu Gốc -'!$B$2:$G$56,6,0)</f>
        <v>- - -</v>
      </c>
      <c r="R45" s="139" t="s">
        <v>34</v>
      </c>
      <c r="S45" s="277" t="str">
        <f t="shared" si="1"/>
        <v>Giảng viên (hạng III)</v>
      </c>
      <c r="T45" s="278" t="str">
        <f t="shared" si="2"/>
        <v>V.07.01.03</v>
      </c>
      <c r="U45" s="180" t="s">
        <v>35</v>
      </c>
      <c r="V45" s="141" t="str">
        <f>VLOOKUP(U45,'[1]- DLiêu Gốc -'!$B$1:$G$121,2,0)</f>
        <v>V.07.01.03</v>
      </c>
      <c r="W45" s="274" t="str">
        <f t="shared" si="3"/>
        <v>Lương</v>
      </c>
      <c r="X45" s="274">
        <v>5</v>
      </c>
      <c r="Y45" s="274" t="str">
        <f t="shared" si="4"/>
        <v>/</v>
      </c>
      <c r="Z45" s="274">
        <f t="shared" si="5"/>
        <v>9</v>
      </c>
      <c r="AA45" s="274">
        <f t="shared" si="6"/>
        <v>3.66</v>
      </c>
      <c r="AB45" s="274">
        <f t="shared" si="7"/>
        <v>6</v>
      </c>
      <c r="AC45" s="274" t="str">
        <f t="shared" si="8"/>
        <v>/</v>
      </c>
      <c r="AD45" s="274">
        <f t="shared" si="9"/>
        <v>9</v>
      </c>
      <c r="AE45" s="274">
        <f t="shared" si="10"/>
        <v>3.99</v>
      </c>
      <c r="AF45" s="274" t="s">
        <v>9</v>
      </c>
      <c r="AG45" s="274" t="s">
        <v>10</v>
      </c>
      <c r="AH45" s="274" t="s">
        <v>30</v>
      </c>
      <c r="AI45" s="274" t="s">
        <v>10</v>
      </c>
      <c r="AJ45" s="274">
        <v>2013</v>
      </c>
      <c r="AK45" s="147"/>
      <c r="AL45" s="141"/>
      <c r="AM45" s="274">
        <f t="shared" si="11"/>
        <v>3</v>
      </c>
      <c r="AN45" s="274">
        <f t="shared" si="12"/>
        <v>-24164</v>
      </c>
      <c r="AO45" s="180"/>
      <c r="AP45" s="180"/>
      <c r="AQ45" s="274">
        <f>VLOOKUP(U45,'[1]- DLiêu Gốc -'!$B$1:$E$56,3,0)</f>
        <v>2.34</v>
      </c>
      <c r="AR45" s="274">
        <f>VLOOKUP(U45,'[1]- DLiêu Gốc -'!$B$1:$E$56,4,0)</f>
        <v>0.33</v>
      </c>
      <c r="AT45" s="274" t="str">
        <f t="shared" si="13"/>
        <v>PCTN</v>
      </c>
      <c r="AU45" s="279">
        <v>12</v>
      </c>
      <c r="AV45" s="280" t="s">
        <v>38</v>
      </c>
      <c r="AW45" s="279">
        <f t="shared" si="14"/>
        <v>13</v>
      </c>
      <c r="AX45" s="281" t="s">
        <v>38</v>
      </c>
      <c r="AY45" s="282">
        <v>5</v>
      </c>
      <c r="AZ45" s="169" t="s">
        <v>10</v>
      </c>
      <c r="BA45" s="283">
        <v>2016</v>
      </c>
      <c r="BB45" s="253"/>
      <c r="BC45" s="253"/>
      <c r="BD45" s="180"/>
      <c r="BE45" s="253">
        <v>5</v>
      </c>
      <c r="BF45" s="180">
        <f t="shared" si="15"/>
        <v>-24197</v>
      </c>
      <c r="BG45" s="140" t="str">
        <f t="shared" si="16"/>
        <v>- - -</v>
      </c>
      <c r="BH45" s="253" t="str">
        <f t="shared" si="17"/>
        <v>VC</v>
      </c>
      <c r="BI45" s="139"/>
      <c r="BJ45" s="347"/>
      <c r="BK45" s="347" t="s">
        <v>93</v>
      </c>
      <c r="BL45" s="327" t="str">
        <f t="shared" si="18"/>
        <v>A</v>
      </c>
      <c r="BM45" s="348" t="str">
        <f t="shared" si="19"/>
        <v>=&gt; s</v>
      </c>
      <c r="BN45" s="327">
        <f t="shared" si="20"/>
        <v>24188</v>
      </c>
      <c r="BO45" s="347" t="str">
        <f t="shared" si="21"/>
        <v>---</v>
      </c>
      <c r="BP45" s="327"/>
      <c r="BQ45" s="349"/>
      <c r="BR45" s="349"/>
      <c r="BS45" s="350"/>
      <c r="BT45" s="351" t="str">
        <f t="shared" si="22"/>
        <v>- - -</v>
      </c>
      <c r="BU45" s="351" t="str">
        <f t="shared" si="23"/>
        <v>- - -</v>
      </c>
      <c r="BV45" s="351"/>
      <c r="BW45" s="351"/>
      <c r="BX45" s="351"/>
      <c r="BY45" s="351"/>
      <c r="BZ45" s="349" t="str">
        <f t="shared" si="24"/>
        <v>- - -</v>
      </c>
      <c r="CA45" s="327"/>
      <c r="CB45" s="327"/>
      <c r="CC45" s="352"/>
      <c r="CD45" s="352"/>
      <c r="CE45" s="351" t="str">
        <f t="shared" si="25"/>
        <v>---</v>
      </c>
      <c r="CF45" s="327" t="str">
        <f t="shared" si="26"/>
        <v>/-/ /-/</v>
      </c>
      <c r="CG45" s="327">
        <f t="shared" si="27"/>
        <v>3</v>
      </c>
      <c r="CH45" s="327">
        <f t="shared" si="28"/>
        <v>2018</v>
      </c>
      <c r="CI45" s="351">
        <f t="shared" si="29"/>
        <v>12</v>
      </c>
      <c r="CJ45" s="351">
        <f t="shared" si="30"/>
        <v>2017</v>
      </c>
      <c r="CK45" s="347">
        <f t="shared" si="31"/>
        <v>9</v>
      </c>
      <c r="CL45" s="327">
        <f t="shared" si="32"/>
        <v>2017</v>
      </c>
      <c r="CM45" s="327" t="str">
        <f t="shared" si="33"/>
        <v>- - -</v>
      </c>
      <c r="CN45" s="327" t="str">
        <f t="shared" si="34"/>
        <v>. .</v>
      </c>
      <c r="CO45" s="327"/>
      <c r="CP45" s="348">
        <f t="shared" si="35"/>
        <v>660</v>
      </c>
      <c r="CQ45" s="348">
        <f t="shared" si="36"/>
        <v>-23546</v>
      </c>
      <c r="CR45" s="327">
        <f t="shared" si="37"/>
        <v>-1963</v>
      </c>
      <c r="CS45" s="348" t="str">
        <f t="shared" si="38"/>
        <v>Nữ dưới 30</v>
      </c>
      <c r="CT45" s="351"/>
      <c r="CU45" s="351"/>
      <c r="CV45" s="351" t="str">
        <f t="shared" si="39"/>
        <v>Đến 30</v>
      </c>
      <c r="CW45" s="351" t="str">
        <f t="shared" si="40"/>
        <v>TD</v>
      </c>
      <c r="CX45" s="351">
        <v>2009</v>
      </c>
      <c r="CY45" s="351"/>
      <c r="CZ45" s="351"/>
      <c r="DA45" s="351"/>
      <c r="DB45" s="351"/>
      <c r="DC45" s="351"/>
      <c r="DD45" s="351"/>
      <c r="DE45" s="351"/>
      <c r="DF45" s="351"/>
      <c r="DG45" s="351" t="s">
        <v>217</v>
      </c>
      <c r="DH45" s="351" t="s">
        <v>9</v>
      </c>
      <c r="DI45" s="351" t="s">
        <v>10</v>
      </c>
      <c r="DJ45" s="351" t="s">
        <v>30</v>
      </c>
      <c r="DK45" s="351" t="s">
        <v>10</v>
      </c>
      <c r="DL45" s="423">
        <v>2013</v>
      </c>
      <c r="DM45" s="142">
        <f t="shared" si="41"/>
        <v>0</v>
      </c>
      <c r="DN45" s="142" t="str">
        <f t="shared" si="42"/>
        <v>- - -</v>
      </c>
      <c r="DO45" s="142" t="s">
        <v>9</v>
      </c>
      <c r="DP45" s="142" t="s">
        <v>10</v>
      </c>
      <c r="DQ45" s="142" t="s">
        <v>30</v>
      </c>
      <c r="DR45" s="142" t="s">
        <v>10</v>
      </c>
      <c r="DS45" s="142">
        <v>2013</v>
      </c>
      <c r="DU45" s="142" t="str">
        <f t="shared" si="43"/>
        <v>- - -</v>
      </c>
      <c r="DV45" s="142" t="str">
        <f t="shared" si="44"/>
        <v>---</v>
      </c>
    </row>
    <row r="46" spans="1:126" s="142" customFormat="1" ht="46.5" customHeight="1" x14ac:dyDescent="0.25">
      <c r="A46" s="139">
        <v>640</v>
      </c>
      <c r="B46" s="273">
        <v>31</v>
      </c>
      <c r="C46" s="139" t="str">
        <f t="shared" si="0"/>
        <v>Ông</v>
      </c>
      <c r="D46" s="328" t="s">
        <v>218</v>
      </c>
      <c r="E46" s="139" t="s">
        <v>39</v>
      </c>
      <c r="F46" s="276" t="s">
        <v>146</v>
      </c>
      <c r="G46" s="276" t="s">
        <v>10</v>
      </c>
      <c r="H46" s="276" t="s">
        <v>9</v>
      </c>
      <c r="I46" s="276" t="s">
        <v>10</v>
      </c>
      <c r="J46" s="139" t="s">
        <v>125</v>
      </c>
      <c r="K46" s="139" t="str">
        <f>IF(AND((M46+0)&gt;0.3,(M46+0)&lt;1.5),"CVụ","- -")</f>
        <v>CVụ</v>
      </c>
      <c r="L46" s="139" t="s">
        <v>219</v>
      </c>
      <c r="M46" s="143">
        <f>VLOOKUP(L46,'[1]- DLiêu Gốc -'!$B$2:$G$121,2,0)</f>
        <v>1.1000000000000001</v>
      </c>
      <c r="N46" s="329" t="s">
        <v>220</v>
      </c>
      <c r="O46" s="292" t="s">
        <v>106</v>
      </c>
      <c r="P46" s="165" t="str">
        <f>VLOOKUP(U46,'[1]- DLiêu Gốc -'!$B$2:$G$56,5,0)</f>
        <v>A3</v>
      </c>
      <c r="Q46" s="165" t="str">
        <f>VLOOKUP(U46,'[1]- DLiêu Gốc -'!$B$2:$G$56,6,0)</f>
        <v>A3.1</v>
      </c>
      <c r="R46" s="139" t="s">
        <v>34</v>
      </c>
      <c r="S46" s="277" t="str">
        <f t="shared" si="1"/>
        <v>Giảng viên cao cấp (hạng I)</v>
      </c>
      <c r="T46" s="278" t="str">
        <f t="shared" si="2"/>
        <v>V.07.01.01</v>
      </c>
      <c r="U46" s="180" t="s">
        <v>87</v>
      </c>
      <c r="V46" s="141" t="str">
        <f>VLOOKUP(U46,'[1]- DLiêu Gốc -'!$B$1:$G$121,2,0)</f>
        <v>V.07.01.01</v>
      </c>
      <c r="W46" s="274" t="str">
        <f t="shared" si="3"/>
        <v>Lương</v>
      </c>
      <c r="X46" s="274">
        <v>6</v>
      </c>
      <c r="Y46" s="274" t="str">
        <f t="shared" si="4"/>
        <v>/</v>
      </c>
      <c r="Z46" s="274">
        <f t="shared" si="5"/>
        <v>6</v>
      </c>
      <c r="AA46" s="274">
        <f t="shared" si="6"/>
        <v>8</v>
      </c>
      <c r="AB46" s="274">
        <v>10</v>
      </c>
      <c r="AC46" s="274" t="str">
        <f t="shared" si="8"/>
        <v>%</v>
      </c>
      <c r="AD46" s="274">
        <f t="shared" si="9"/>
        <v>11</v>
      </c>
      <c r="AE46" s="274" t="str">
        <f t="shared" si="10"/>
        <v>%</v>
      </c>
      <c r="AF46" s="274" t="s">
        <v>9</v>
      </c>
      <c r="AG46" s="274" t="s">
        <v>10</v>
      </c>
      <c r="AH46" s="274" t="s">
        <v>107</v>
      </c>
      <c r="AI46" s="274" t="s">
        <v>10</v>
      </c>
      <c r="AJ46" s="274">
        <v>2016</v>
      </c>
      <c r="AK46" s="147"/>
      <c r="AL46" s="141">
        <v>4</v>
      </c>
      <c r="AM46" s="274">
        <f t="shared" si="11"/>
        <v>1</v>
      </c>
      <c r="AN46" s="274">
        <f t="shared" si="12"/>
        <v>-24196</v>
      </c>
      <c r="AO46" s="180"/>
      <c r="AP46" s="180"/>
      <c r="AQ46" s="274">
        <f>VLOOKUP(U46,'[1]- DLiêu Gốc -'!$B$1:$E$56,3,0)</f>
        <v>6.2</v>
      </c>
      <c r="AR46" s="274">
        <f>VLOOKUP(U46,'[1]- DLiêu Gốc -'!$B$1:$E$56,4,0)</f>
        <v>0.36</v>
      </c>
      <c r="AT46" s="274" t="str">
        <f t="shared" si="13"/>
        <v>PCTN</v>
      </c>
      <c r="AU46" s="279">
        <v>28</v>
      </c>
      <c r="AV46" s="280" t="s">
        <v>38</v>
      </c>
      <c r="AW46" s="279">
        <f t="shared" si="14"/>
        <v>29</v>
      </c>
      <c r="AX46" s="281" t="s">
        <v>38</v>
      </c>
      <c r="AY46" s="282" t="s">
        <v>95</v>
      </c>
      <c r="AZ46" s="169" t="s">
        <v>10</v>
      </c>
      <c r="BA46" s="283">
        <v>2016</v>
      </c>
      <c r="BB46" s="253"/>
      <c r="BC46" s="253"/>
      <c r="BD46" s="180"/>
      <c r="BE46" s="253">
        <v>5</v>
      </c>
      <c r="BF46" s="180">
        <f t="shared" si="15"/>
        <v>-24197</v>
      </c>
      <c r="BG46" s="140" t="str">
        <f t="shared" si="16"/>
        <v>- - -</v>
      </c>
      <c r="BH46" s="253" t="str">
        <f t="shared" si="17"/>
        <v>VC</v>
      </c>
      <c r="BI46" s="139"/>
      <c r="BJ46" s="347"/>
      <c r="BK46" s="347" t="s">
        <v>93</v>
      </c>
      <c r="BL46" s="327" t="str">
        <f t="shared" si="18"/>
        <v>A</v>
      </c>
      <c r="BM46" s="348" t="str">
        <f t="shared" si="19"/>
        <v>=&gt; s</v>
      </c>
      <c r="BN46" s="327" t="str">
        <f t="shared" si="20"/>
        <v>---</v>
      </c>
      <c r="BO46" s="347" t="str">
        <f t="shared" si="21"/>
        <v>---</v>
      </c>
      <c r="BP46" s="327"/>
      <c r="BQ46" s="349"/>
      <c r="BR46" s="349"/>
      <c r="BS46" s="350"/>
      <c r="BT46" s="351" t="str">
        <f t="shared" si="22"/>
        <v>- - -</v>
      </c>
      <c r="BU46" s="351" t="str">
        <f t="shared" si="23"/>
        <v>- - -</v>
      </c>
      <c r="BV46" s="351"/>
      <c r="BW46" s="351"/>
      <c r="BX46" s="351"/>
      <c r="BY46" s="351"/>
      <c r="BZ46" s="349" t="str">
        <f t="shared" si="24"/>
        <v>CN</v>
      </c>
      <c r="CA46" s="327">
        <v>10</v>
      </c>
      <c r="CB46" s="327">
        <v>2014</v>
      </c>
      <c r="CC46" s="352"/>
      <c r="CD46" s="352"/>
      <c r="CE46" s="351" t="str">
        <f t="shared" si="25"/>
        <v>---</v>
      </c>
      <c r="CF46" s="327" t="str">
        <f t="shared" si="26"/>
        <v>/-/ /-/</v>
      </c>
      <c r="CG46" s="327">
        <f t="shared" si="27"/>
        <v>2</v>
      </c>
      <c r="CH46" s="327">
        <f t="shared" si="28"/>
        <v>2015</v>
      </c>
      <c r="CI46" s="351">
        <f t="shared" si="29"/>
        <v>11</v>
      </c>
      <c r="CJ46" s="351">
        <f t="shared" si="30"/>
        <v>2014</v>
      </c>
      <c r="CK46" s="347">
        <f t="shared" si="31"/>
        <v>8</v>
      </c>
      <c r="CL46" s="327">
        <f t="shared" si="32"/>
        <v>2014</v>
      </c>
      <c r="CM46" s="327" t="str">
        <f t="shared" si="33"/>
        <v>- - -</v>
      </c>
      <c r="CN46" s="327" t="str">
        <f t="shared" si="34"/>
        <v>. .</v>
      </c>
      <c r="CO46" s="327"/>
      <c r="CP46" s="348">
        <f t="shared" si="35"/>
        <v>720</v>
      </c>
      <c r="CQ46" s="348">
        <f t="shared" si="36"/>
        <v>-23449</v>
      </c>
      <c r="CR46" s="327">
        <f t="shared" si="37"/>
        <v>-1955</v>
      </c>
      <c r="CS46" s="348" t="str">
        <f t="shared" si="38"/>
        <v>Nam dưới 35</v>
      </c>
      <c r="CT46" s="351" t="s">
        <v>221</v>
      </c>
      <c r="CU46" s="351" t="e">
        <f>COUNTIF(#REF!,"Nam dưới 35")</f>
        <v>#REF!</v>
      </c>
      <c r="CV46" s="351" t="str">
        <f t="shared" si="39"/>
        <v>Đến 30</v>
      </c>
      <c r="CW46" s="351" t="str">
        <f t="shared" si="40"/>
        <v>--</v>
      </c>
      <c r="CX46" s="351"/>
      <c r="CY46" s="351"/>
      <c r="CZ46" s="351"/>
      <c r="DA46" s="351"/>
      <c r="DB46" s="351"/>
      <c r="DC46" s="351"/>
      <c r="DD46" s="351"/>
      <c r="DE46" s="351"/>
      <c r="DF46" s="351"/>
      <c r="DG46" s="351"/>
      <c r="DH46" s="351" t="s">
        <v>9</v>
      </c>
      <c r="DI46" s="351" t="s">
        <v>10</v>
      </c>
      <c r="DJ46" s="351" t="s">
        <v>107</v>
      </c>
      <c r="DK46" s="351" t="s">
        <v>10</v>
      </c>
      <c r="DL46" s="423">
        <v>2013</v>
      </c>
      <c r="DM46" s="142">
        <f t="shared" si="41"/>
        <v>0</v>
      </c>
      <c r="DN46" s="142" t="str">
        <f t="shared" si="42"/>
        <v>- - -</v>
      </c>
      <c r="DO46" s="142" t="s">
        <v>9</v>
      </c>
      <c r="DP46" s="142" t="s">
        <v>10</v>
      </c>
      <c r="DQ46" s="142" t="s">
        <v>107</v>
      </c>
      <c r="DR46" s="142" t="s">
        <v>10</v>
      </c>
      <c r="DS46" s="142">
        <v>2013</v>
      </c>
      <c r="DU46" s="142" t="str">
        <f t="shared" si="43"/>
        <v>- - -</v>
      </c>
      <c r="DV46" s="142" t="str">
        <f t="shared" si="44"/>
        <v>---</v>
      </c>
    </row>
    <row r="47" spans="1:126" s="142" customFormat="1" ht="48" customHeight="1" x14ac:dyDescent="0.25">
      <c r="A47" s="139">
        <v>645</v>
      </c>
      <c r="B47" s="273">
        <v>32</v>
      </c>
      <c r="C47" s="139" t="str">
        <f t="shared" si="0"/>
        <v>Ông</v>
      </c>
      <c r="D47" s="328" t="s">
        <v>222</v>
      </c>
      <c r="E47" s="139" t="s">
        <v>39</v>
      </c>
      <c r="F47" s="276" t="s">
        <v>42</v>
      </c>
      <c r="G47" s="276" t="s">
        <v>10</v>
      </c>
      <c r="H47" s="276" t="s">
        <v>40</v>
      </c>
      <c r="I47" s="276" t="s">
        <v>10</v>
      </c>
      <c r="J47" s="139" t="s">
        <v>200</v>
      </c>
      <c r="K47" s="139" t="e">
        <f>IF(AND((M47+0)&gt;0.3,(M47+0)&lt;1.5),"CVụ","- -")</f>
        <v>#VALUE!</v>
      </c>
      <c r="L47" s="139" t="s">
        <v>97</v>
      </c>
      <c r="M47" s="143" t="str">
        <f>VLOOKUP(L47,'[1]- DLiêu Gốc -'!$B$2:$G$121,2,0)</f>
        <v>0,6</v>
      </c>
      <c r="N47" s="329" t="s">
        <v>220</v>
      </c>
      <c r="O47" s="292" t="s">
        <v>106</v>
      </c>
      <c r="P47" s="165" t="str">
        <f>VLOOKUP(U47,'[1]- DLiêu Gốc -'!$B$2:$G$56,5,0)</f>
        <v>A1</v>
      </c>
      <c r="Q47" s="165" t="str">
        <f>VLOOKUP(U47,'[1]- DLiêu Gốc -'!$B$2:$G$56,6,0)</f>
        <v>- - -</v>
      </c>
      <c r="R47" s="139" t="s">
        <v>34</v>
      </c>
      <c r="S47" s="277" t="str">
        <f t="shared" si="1"/>
        <v>Giảng viên (hạng III)</v>
      </c>
      <c r="T47" s="278" t="str">
        <f t="shared" si="2"/>
        <v>V.07.01.03</v>
      </c>
      <c r="U47" s="180" t="s">
        <v>35</v>
      </c>
      <c r="V47" s="141" t="str">
        <f>VLOOKUP(U47,'[1]- DLiêu Gốc -'!$B$1:$G$121,2,0)</f>
        <v>V.07.01.03</v>
      </c>
      <c r="W47" s="274" t="str">
        <f t="shared" si="3"/>
        <v>Lương</v>
      </c>
      <c r="X47" s="274">
        <v>4</v>
      </c>
      <c r="Y47" s="274" t="str">
        <f t="shared" si="4"/>
        <v>/</v>
      </c>
      <c r="Z47" s="274">
        <f t="shared" si="5"/>
        <v>9</v>
      </c>
      <c r="AA47" s="274">
        <f t="shared" si="6"/>
        <v>3.33</v>
      </c>
      <c r="AB47" s="274">
        <f>X47+1</f>
        <v>5</v>
      </c>
      <c r="AC47" s="274" t="str">
        <f t="shared" si="8"/>
        <v>/</v>
      </c>
      <c r="AD47" s="274">
        <f t="shared" si="9"/>
        <v>9</v>
      </c>
      <c r="AE47" s="274">
        <f t="shared" si="10"/>
        <v>3.66</v>
      </c>
      <c r="AF47" s="274" t="s">
        <v>9</v>
      </c>
      <c r="AG47" s="274" t="s">
        <v>10</v>
      </c>
      <c r="AH47" s="274" t="s">
        <v>91</v>
      </c>
      <c r="AI47" s="274" t="s">
        <v>10</v>
      </c>
      <c r="AJ47" s="274">
        <v>2013</v>
      </c>
      <c r="AK47" s="147"/>
      <c r="AL47" s="141"/>
      <c r="AM47" s="274">
        <f t="shared" si="11"/>
        <v>3</v>
      </c>
      <c r="AN47" s="274">
        <f t="shared" si="12"/>
        <v>-24165</v>
      </c>
      <c r="AO47" s="180"/>
      <c r="AP47" s="180"/>
      <c r="AQ47" s="274">
        <f>VLOOKUP(U47,'[1]- DLiêu Gốc -'!$B$1:$E$56,3,0)</f>
        <v>2.34</v>
      </c>
      <c r="AR47" s="274">
        <f>VLOOKUP(U47,'[1]- DLiêu Gốc -'!$B$1:$E$56,4,0)</f>
        <v>0.33</v>
      </c>
      <c r="AT47" s="274" t="str">
        <f t="shared" si="13"/>
        <v>PCTN</v>
      </c>
      <c r="AU47" s="279">
        <v>12</v>
      </c>
      <c r="AV47" s="280" t="s">
        <v>38</v>
      </c>
      <c r="AW47" s="279">
        <f t="shared" si="14"/>
        <v>13</v>
      </c>
      <c r="AX47" s="281" t="s">
        <v>38</v>
      </c>
      <c r="AY47" s="282">
        <v>5</v>
      </c>
      <c r="AZ47" s="169" t="s">
        <v>10</v>
      </c>
      <c r="BA47" s="283">
        <v>2016</v>
      </c>
      <c r="BB47" s="253"/>
      <c r="BC47" s="253"/>
      <c r="BD47" s="180"/>
      <c r="BE47" s="253">
        <v>5</v>
      </c>
      <c r="BF47" s="180">
        <f t="shared" si="15"/>
        <v>-24197</v>
      </c>
      <c r="BG47" s="140" t="str">
        <f t="shared" si="16"/>
        <v>- - -</v>
      </c>
      <c r="BH47" s="253" t="str">
        <f t="shared" si="17"/>
        <v>VC</v>
      </c>
      <c r="BI47" s="139"/>
      <c r="BJ47" s="347"/>
      <c r="BK47" s="347" t="s">
        <v>93</v>
      </c>
      <c r="BL47" s="327" t="str">
        <f t="shared" si="18"/>
        <v>A</v>
      </c>
      <c r="BM47" s="348" t="str">
        <f t="shared" si="19"/>
        <v>=&gt; s</v>
      </c>
      <c r="BN47" s="327">
        <f t="shared" si="20"/>
        <v>24189</v>
      </c>
      <c r="BO47" s="347" t="str">
        <f t="shared" si="21"/>
        <v>S</v>
      </c>
      <c r="BP47" s="327">
        <v>2010</v>
      </c>
      <c r="BQ47" s="349" t="s">
        <v>36</v>
      </c>
      <c r="BR47" s="349"/>
      <c r="BS47" s="350"/>
      <c r="BT47" s="351" t="str">
        <f t="shared" si="22"/>
        <v>Cùg Ng</v>
      </c>
      <c r="BU47" s="351" t="str">
        <f t="shared" si="23"/>
        <v>- - -</v>
      </c>
      <c r="BV47" s="351"/>
      <c r="BW47" s="351"/>
      <c r="BX47" s="351"/>
      <c r="BY47" s="351"/>
      <c r="BZ47" s="349" t="str">
        <f t="shared" si="24"/>
        <v>- - -</v>
      </c>
      <c r="CA47" s="327"/>
      <c r="CB47" s="327"/>
      <c r="CC47" s="352"/>
      <c r="CD47" s="352"/>
      <c r="CE47" s="351" t="str">
        <f t="shared" si="25"/>
        <v>---</v>
      </c>
      <c r="CF47" s="327" t="str">
        <f t="shared" si="26"/>
        <v>/-/ /-/</v>
      </c>
      <c r="CG47" s="327">
        <f t="shared" si="27"/>
        <v>12</v>
      </c>
      <c r="CH47" s="327">
        <f t="shared" si="28"/>
        <v>2033</v>
      </c>
      <c r="CI47" s="351">
        <f t="shared" si="29"/>
        <v>9</v>
      </c>
      <c r="CJ47" s="351">
        <f t="shared" si="30"/>
        <v>2033</v>
      </c>
      <c r="CK47" s="347">
        <f t="shared" si="31"/>
        <v>6</v>
      </c>
      <c r="CL47" s="327">
        <f t="shared" si="32"/>
        <v>2033</v>
      </c>
      <c r="CM47" s="327" t="str">
        <f t="shared" si="33"/>
        <v>- - -</v>
      </c>
      <c r="CN47" s="327" t="str">
        <f t="shared" si="34"/>
        <v>. .</v>
      </c>
      <c r="CO47" s="327"/>
      <c r="CP47" s="348">
        <f t="shared" si="35"/>
        <v>720</v>
      </c>
      <c r="CQ47" s="348">
        <f t="shared" si="36"/>
        <v>-23675</v>
      </c>
      <c r="CR47" s="327">
        <f t="shared" si="37"/>
        <v>-1973</v>
      </c>
      <c r="CS47" s="348" t="str">
        <f t="shared" si="38"/>
        <v>Nam dưới 35</v>
      </c>
      <c r="CT47" s="351"/>
      <c r="CU47" s="351"/>
      <c r="CV47" s="351" t="str">
        <f t="shared" si="39"/>
        <v>Đến 30</v>
      </c>
      <c r="CW47" s="351" t="str">
        <f t="shared" si="40"/>
        <v>TD</v>
      </c>
      <c r="CX47" s="351">
        <v>2009</v>
      </c>
      <c r="CY47" s="351"/>
      <c r="CZ47" s="351"/>
      <c r="DA47" s="351"/>
      <c r="DB47" s="351"/>
      <c r="DC47" s="351"/>
      <c r="DD47" s="351"/>
      <c r="DE47" s="351"/>
      <c r="DF47" s="351"/>
      <c r="DG47" s="351" t="s">
        <v>220</v>
      </c>
      <c r="DH47" s="351" t="s">
        <v>9</v>
      </c>
      <c r="DI47" s="351" t="s">
        <v>10</v>
      </c>
      <c r="DJ47" s="351" t="s">
        <v>91</v>
      </c>
      <c r="DK47" s="351" t="s">
        <v>10</v>
      </c>
      <c r="DL47" s="423">
        <v>2013</v>
      </c>
      <c r="DM47" s="142">
        <f t="shared" si="41"/>
        <v>0</v>
      </c>
      <c r="DN47" s="142" t="str">
        <f t="shared" si="42"/>
        <v>- - -</v>
      </c>
      <c r="DO47" s="142" t="s">
        <v>9</v>
      </c>
      <c r="DP47" s="142" t="s">
        <v>10</v>
      </c>
      <c r="DQ47" s="142" t="s">
        <v>91</v>
      </c>
      <c r="DR47" s="142" t="s">
        <v>10</v>
      </c>
      <c r="DS47" s="142">
        <v>2013</v>
      </c>
      <c r="DU47" s="142" t="str">
        <f t="shared" si="43"/>
        <v>- - -</v>
      </c>
      <c r="DV47" s="142" t="str">
        <f t="shared" si="44"/>
        <v>---</v>
      </c>
    </row>
    <row r="48" spans="1:126" s="142" customFormat="1" ht="63" customHeight="1" x14ac:dyDescent="0.25">
      <c r="A48" s="139">
        <v>657</v>
      </c>
      <c r="B48" s="273">
        <v>33</v>
      </c>
      <c r="C48" s="139" t="str">
        <f t="shared" si="0"/>
        <v>Bà</v>
      </c>
      <c r="D48" s="328" t="s">
        <v>223</v>
      </c>
      <c r="E48" s="139" t="s">
        <v>32</v>
      </c>
      <c r="F48" s="276" t="s">
        <v>42</v>
      </c>
      <c r="G48" s="276" t="s">
        <v>10</v>
      </c>
      <c r="H48" s="276">
        <v>9</v>
      </c>
      <c r="I48" s="276" t="s">
        <v>10</v>
      </c>
      <c r="J48" s="139">
        <v>1969</v>
      </c>
      <c r="K48" s="139"/>
      <c r="L48" s="139"/>
      <c r="M48" s="143" t="e">
        <f>VLOOKUP(L48,'[1]- DLiêu Gốc -'!$B$2:$G$121,2,0)</f>
        <v>#N/A</v>
      </c>
      <c r="N48" s="329" t="s">
        <v>128</v>
      </c>
      <c r="O48" s="292" t="s">
        <v>106</v>
      </c>
      <c r="P48" s="165" t="str">
        <f>VLOOKUP(U48,'[1]- DLiêu Gốc -'!$B$2:$G$56,5,0)</f>
        <v>A1</v>
      </c>
      <c r="Q48" s="165" t="str">
        <f>VLOOKUP(U48,'[1]- DLiêu Gốc -'!$B$2:$G$56,6,0)</f>
        <v>- - -</v>
      </c>
      <c r="R48" s="139" t="s">
        <v>34</v>
      </c>
      <c r="S48" s="277" t="str">
        <f t="shared" si="1"/>
        <v>Giảng viên (hạng III)</v>
      </c>
      <c r="T48" s="278" t="str">
        <f t="shared" si="2"/>
        <v>V.07.01.03</v>
      </c>
      <c r="U48" s="180" t="s">
        <v>35</v>
      </c>
      <c r="V48" s="141" t="str">
        <f>VLOOKUP(U48,'[1]- DLiêu Gốc -'!$B$1:$G$121,2,0)</f>
        <v>V.07.01.03</v>
      </c>
      <c r="W48" s="274" t="str">
        <f t="shared" si="3"/>
        <v>Lương</v>
      </c>
      <c r="X48" s="274">
        <v>5</v>
      </c>
      <c r="Y48" s="274" t="str">
        <f t="shared" si="4"/>
        <v>/</v>
      </c>
      <c r="Z48" s="274">
        <f t="shared" si="5"/>
        <v>9</v>
      </c>
      <c r="AA48" s="274">
        <f t="shared" si="6"/>
        <v>3.66</v>
      </c>
      <c r="AB48" s="274">
        <f>X48+1</f>
        <v>6</v>
      </c>
      <c r="AC48" s="274" t="str">
        <f t="shared" si="8"/>
        <v>/</v>
      </c>
      <c r="AD48" s="274">
        <f t="shared" si="9"/>
        <v>9</v>
      </c>
      <c r="AE48" s="274">
        <f t="shared" si="10"/>
        <v>3.99</v>
      </c>
      <c r="AF48" s="274" t="s">
        <v>9</v>
      </c>
      <c r="AG48" s="274" t="s">
        <v>10</v>
      </c>
      <c r="AH48" s="274" t="s">
        <v>37</v>
      </c>
      <c r="AI48" s="274" t="s">
        <v>10</v>
      </c>
      <c r="AJ48" s="274">
        <v>2014</v>
      </c>
      <c r="AK48" s="147"/>
      <c r="AL48" s="141"/>
      <c r="AM48" s="274">
        <f t="shared" si="11"/>
        <v>3</v>
      </c>
      <c r="AN48" s="274">
        <f t="shared" si="12"/>
        <v>-24170</v>
      </c>
      <c r="AO48" s="180"/>
      <c r="AP48" s="180"/>
      <c r="AQ48" s="274">
        <f>VLOOKUP(U48,'[1]- DLiêu Gốc -'!$B$1:$E$56,3,0)</f>
        <v>2.34</v>
      </c>
      <c r="AR48" s="274">
        <f>VLOOKUP(U48,'[1]- DLiêu Gốc -'!$B$1:$E$56,4,0)</f>
        <v>0.33</v>
      </c>
      <c r="AT48" s="274" t="str">
        <f t="shared" si="13"/>
        <v>PCTN</v>
      </c>
      <c r="AU48" s="279">
        <v>12</v>
      </c>
      <c r="AV48" s="280" t="s">
        <v>38</v>
      </c>
      <c r="AW48" s="279">
        <f t="shared" si="14"/>
        <v>13</v>
      </c>
      <c r="AX48" s="281" t="s">
        <v>38</v>
      </c>
      <c r="AY48" s="282">
        <v>5</v>
      </c>
      <c r="AZ48" s="169" t="s">
        <v>10</v>
      </c>
      <c r="BA48" s="283">
        <v>2016</v>
      </c>
      <c r="BB48" s="253"/>
      <c r="BC48" s="253"/>
      <c r="BD48" s="180"/>
      <c r="BE48" s="253">
        <v>5</v>
      </c>
      <c r="BF48" s="180">
        <f t="shared" si="15"/>
        <v>-24197</v>
      </c>
      <c r="BG48" s="140" t="str">
        <f t="shared" si="16"/>
        <v>- - -</v>
      </c>
      <c r="BH48" s="253" t="str">
        <f t="shared" si="17"/>
        <v>VC</v>
      </c>
      <c r="BI48" s="139"/>
      <c r="BJ48" s="347"/>
      <c r="BK48" s="347" t="s">
        <v>93</v>
      </c>
      <c r="BL48" s="327" t="str">
        <f t="shared" si="18"/>
        <v>A</v>
      </c>
      <c r="BM48" s="348" t="str">
        <f t="shared" si="19"/>
        <v>=&gt; s</v>
      </c>
      <c r="BN48" s="327">
        <f t="shared" si="20"/>
        <v>24194</v>
      </c>
      <c r="BO48" s="347" t="str">
        <f t="shared" si="21"/>
        <v>---</v>
      </c>
      <c r="BP48" s="327"/>
      <c r="BQ48" s="349"/>
      <c r="BR48" s="349"/>
      <c r="BS48" s="350"/>
      <c r="BT48" s="351" t="str">
        <f t="shared" si="22"/>
        <v>- - -</v>
      </c>
      <c r="BU48" s="351" t="str">
        <f t="shared" si="23"/>
        <v>- - -</v>
      </c>
      <c r="BV48" s="351"/>
      <c r="BW48" s="351"/>
      <c r="BX48" s="351"/>
      <c r="BY48" s="351"/>
      <c r="BZ48" s="349" t="str">
        <f t="shared" si="24"/>
        <v>- - -</v>
      </c>
      <c r="CA48" s="327"/>
      <c r="CB48" s="327"/>
      <c r="CC48" s="352"/>
      <c r="CD48" s="352"/>
      <c r="CE48" s="351" t="str">
        <f t="shared" si="25"/>
        <v>---</v>
      </c>
      <c r="CF48" s="327" t="str">
        <f t="shared" si="26"/>
        <v>/-/ /-/</v>
      </c>
      <c r="CG48" s="327">
        <f t="shared" si="27"/>
        <v>10</v>
      </c>
      <c r="CH48" s="327">
        <f t="shared" si="28"/>
        <v>2024</v>
      </c>
      <c r="CI48" s="351">
        <f t="shared" si="29"/>
        <v>7</v>
      </c>
      <c r="CJ48" s="351">
        <f t="shared" si="30"/>
        <v>2024</v>
      </c>
      <c r="CK48" s="347">
        <f t="shared" si="31"/>
        <v>4</v>
      </c>
      <c r="CL48" s="327">
        <f t="shared" si="32"/>
        <v>2024</v>
      </c>
      <c r="CM48" s="327" t="str">
        <f t="shared" si="33"/>
        <v>- - -</v>
      </c>
      <c r="CN48" s="327" t="str">
        <f t="shared" si="34"/>
        <v>. .</v>
      </c>
      <c r="CO48" s="327"/>
      <c r="CP48" s="348">
        <f t="shared" si="35"/>
        <v>660</v>
      </c>
      <c r="CQ48" s="348">
        <f t="shared" si="36"/>
        <v>-23625</v>
      </c>
      <c r="CR48" s="327">
        <f t="shared" si="37"/>
        <v>-1969</v>
      </c>
      <c r="CS48" s="348" t="str">
        <f t="shared" si="38"/>
        <v>Nữ dưới 30</v>
      </c>
      <c r="CT48" s="351"/>
      <c r="CU48" s="351"/>
      <c r="CV48" s="351" t="str">
        <f t="shared" si="39"/>
        <v>Đến 30</v>
      </c>
      <c r="CW48" s="351" t="str">
        <f t="shared" si="40"/>
        <v>TD</v>
      </c>
      <c r="CX48" s="351">
        <v>2009</v>
      </c>
      <c r="CY48" s="351"/>
      <c r="CZ48" s="351"/>
      <c r="DA48" s="351"/>
      <c r="DB48" s="351"/>
      <c r="DC48" s="351"/>
      <c r="DD48" s="351"/>
      <c r="DE48" s="351"/>
      <c r="DF48" s="351"/>
      <c r="DG48" s="351" t="s">
        <v>128</v>
      </c>
      <c r="DH48" s="351" t="s">
        <v>9</v>
      </c>
      <c r="DI48" s="351" t="s">
        <v>10</v>
      </c>
      <c r="DJ48" s="351" t="s">
        <v>37</v>
      </c>
      <c r="DK48" s="351" t="s">
        <v>10</v>
      </c>
      <c r="DL48" s="423" t="s">
        <v>31</v>
      </c>
      <c r="DM48" s="142">
        <f t="shared" si="41"/>
        <v>0</v>
      </c>
      <c r="DN48" s="142" t="str">
        <f t="shared" si="42"/>
        <v>- - -</v>
      </c>
      <c r="DO48" s="142" t="s">
        <v>9</v>
      </c>
      <c r="DP48" s="142" t="s">
        <v>10</v>
      </c>
      <c r="DQ48" s="142" t="s">
        <v>37</v>
      </c>
      <c r="DR48" s="142" t="s">
        <v>10</v>
      </c>
      <c r="DS48" s="142" t="s">
        <v>31</v>
      </c>
      <c r="DU48" s="142" t="str">
        <f t="shared" si="43"/>
        <v>- - -</v>
      </c>
      <c r="DV48" s="142" t="str">
        <f t="shared" si="44"/>
        <v>---</v>
      </c>
    </row>
    <row r="49" spans="1:126" s="142" customFormat="1" ht="54.75" customHeight="1" x14ac:dyDescent="0.25">
      <c r="A49" s="139">
        <v>668</v>
      </c>
      <c r="B49" s="273">
        <v>35</v>
      </c>
      <c r="C49" s="139" t="str">
        <f t="shared" si="0"/>
        <v>Ông</v>
      </c>
      <c r="D49" s="328" t="s">
        <v>224</v>
      </c>
      <c r="E49" s="139" t="s">
        <v>39</v>
      </c>
      <c r="F49" s="276" t="s">
        <v>225</v>
      </c>
      <c r="G49" s="276" t="s">
        <v>10</v>
      </c>
      <c r="H49" s="276">
        <v>8</v>
      </c>
      <c r="I49" s="276" t="s">
        <v>10</v>
      </c>
      <c r="J49" s="139">
        <v>1978</v>
      </c>
      <c r="K49" s="139" t="e">
        <f>IF(AND((M49+0)&gt;0.3,(M49+0)&lt;1.5),"CVụ","- -")</f>
        <v>#VALUE!</v>
      </c>
      <c r="L49" s="139" t="s">
        <v>97</v>
      </c>
      <c r="M49" s="143" t="str">
        <f>VLOOKUP(L49,'[1]- DLiêu Gốc -'!$B$2:$G$121,2,0)</f>
        <v>0,6</v>
      </c>
      <c r="N49" s="329" t="s">
        <v>226</v>
      </c>
      <c r="O49" s="292" t="s">
        <v>106</v>
      </c>
      <c r="P49" s="165" t="str">
        <f>VLOOKUP(U49,'[1]- DLiêu Gốc -'!$B$2:$G$56,5,0)</f>
        <v>A1</v>
      </c>
      <c r="Q49" s="165" t="str">
        <f>VLOOKUP(U49,'[1]- DLiêu Gốc -'!$B$2:$G$56,6,0)</f>
        <v>- - -</v>
      </c>
      <c r="R49" s="139" t="s">
        <v>34</v>
      </c>
      <c r="S49" s="277" t="str">
        <f t="shared" si="1"/>
        <v>Giảng viên (hạng III)</v>
      </c>
      <c r="T49" s="278" t="str">
        <f t="shared" si="2"/>
        <v>V.07.01.03</v>
      </c>
      <c r="U49" s="180" t="s">
        <v>35</v>
      </c>
      <c r="V49" s="141" t="str">
        <f>VLOOKUP(U49,'[1]- DLiêu Gốc -'!$B$1:$G$121,2,0)</f>
        <v>V.07.01.03</v>
      </c>
      <c r="W49" s="274" t="str">
        <f t="shared" si="3"/>
        <v>Lương</v>
      </c>
      <c r="X49" s="274">
        <v>4</v>
      </c>
      <c r="Y49" s="274" t="str">
        <f t="shared" si="4"/>
        <v>/</v>
      </c>
      <c r="Z49" s="274">
        <f t="shared" si="5"/>
        <v>9</v>
      </c>
      <c r="AA49" s="274">
        <f t="shared" si="6"/>
        <v>3.33</v>
      </c>
      <c r="AB49" s="274">
        <f>X49+1</f>
        <v>5</v>
      </c>
      <c r="AC49" s="274" t="str">
        <f t="shared" si="8"/>
        <v>/</v>
      </c>
      <c r="AD49" s="274">
        <f t="shared" si="9"/>
        <v>9</v>
      </c>
      <c r="AE49" s="274">
        <f t="shared" si="10"/>
        <v>3.66</v>
      </c>
      <c r="AF49" s="274" t="s">
        <v>9</v>
      </c>
      <c r="AG49" s="274" t="s">
        <v>10</v>
      </c>
      <c r="AH49" s="274" t="s">
        <v>11</v>
      </c>
      <c r="AI49" s="274" t="s">
        <v>10</v>
      </c>
      <c r="AJ49" s="274">
        <v>2014</v>
      </c>
      <c r="AK49" s="147"/>
      <c r="AL49" s="141">
        <v>7</v>
      </c>
      <c r="AM49" s="274">
        <f t="shared" si="11"/>
        <v>3</v>
      </c>
      <c r="AN49" s="274">
        <f t="shared" si="12"/>
        <v>-24175</v>
      </c>
      <c r="AO49" s="180"/>
      <c r="AP49" s="180"/>
      <c r="AQ49" s="274">
        <f>VLOOKUP(U49,'[1]- DLiêu Gốc -'!$B$1:$E$56,3,0)</f>
        <v>2.34</v>
      </c>
      <c r="AR49" s="274">
        <f>VLOOKUP(U49,'[1]- DLiêu Gốc -'!$B$1:$E$56,4,0)</f>
        <v>0.33</v>
      </c>
      <c r="AT49" s="274" t="str">
        <f t="shared" si="13"/>
        <v>PCTN</v>
      </c>
      <c r="AU49" s="279">
        <v>12</v>
      </c>
      <c r="AV49" s="280" t="s">
        <v>38</v>
      </c>
      <c r="AW49" s="279">
        <f t="shared" si="14"/>
        <v>13</v>
      </c>
      <c r="AX49" s="281" t="s">
        <v>38</v>
      </c>
      <c r="AY49" s="282">
        <v>5</v>
      </c>
      <c r="AZ49" s="169" t="s">
        <v>10</v>
      </c>
      <c r="BA49" s="283">
        <v>2016</v>
      </c>
      <c r="BB49" s="308"/>
      <c r="BC49" s="308"/>
      <c r="BD49" s="180"/>
      <c r="BE49" s="308">
        <v>5</v>
      </c>
      <c r="BF49" s="180">
        <f t="shared" si="15"/>
        <v>-24197</v>
      </c>
      <c r="BG49" s="140" t="str">
        <f t="shared" si="16"/>
        <v>- - -</v>
      </c>
      <c r="BH49" s="308" t="str">
        <f t="shared" si="17"/>
        <v>VC</v>
      </c>
      <c r="BI49" s="139"/>
      <c r="BJ49" s="347"/>
      <c r="BK49" s="347" t="s">
        <v>93</v>
      </c>
      <c r="BL49" s="327" t="str">
        <f t="shared" si="18"/>
        <v>A</v>
      </c>
      <c r="BM49" s="348" t="str">
        <f t="shared" si="19"/>
        <v>=&gt; s</v>
      </c>
      <c r="BN49" s="327">
        <f t="shared" si="20"/>
        <v>24199</v>
      </c>
      <c r="BO49" s="347" t="str">
        <f t="shared" si="21"/>
        <v>S</v>
      </c>
      <c r="BP49" s="327">
        <v>2014</v>
      </c>
      <c r="BQ49" s="349"/>
      <c r="BR49" s="349"/>
      <c r="BS49" s="350"/>
      <c r="BT49" s="351" t="str">
        <f t="shared" si="22"/>
        <v>- - -</v>
      </c>
      <c r="BU49" s="351" t="str">
        <f t="shared" si="23"/>
        <v>- - -</v>
      </c>
      <c r="BV49" s="351"/>
      <c r="BW49" s="351"/>
      <c r="BX49" s="351"/>
      <c r="BY49" s="351"/>
      <c r="BZ49" s="349" t="str">
        <f t="shared" si="24"/>
        <v>- - -</v>
      </c>
      <c r="CA49" s="327"/>
      <c r="CB49" s="327"/>
      <c r="CC49" s="352"/>
      <c r="CD49" s="352"/>
      <c r="CE49" s="351" t="str">
        <f t="shared" si="25"/>
        <v>---</v>
      </c>
      <c r="CF49" s="327" t="str">
        <f t="shared" si="26"/>
        <v>/-/ /-/</v>
      </c>
      <c r="CG49" s="327">
        <f t="shared" si="27"/>
        <v>9</v>
      </c>
      <c r="CH49" s="327">
        <f t="shared" si="28"/>
        <v>2038</v>
      </c>
      <c r="CI49" s="351">
        <f t="shared" si="29"/>
        <v>6</v>
      </c>
      <c r="CJ49" s="351">
        <f t="shared" si="30"/>
        <v>2038</v>
      </c>
      <c r="CK49" s="347">
        <f t="shared" si="31"/>
        <v>3</v>
      </c>
      <c r="CL49" s="327">
        <f t="shared" si="32"/>
        <v>2038</v>
      </c>
      <c r="CM49" s="327" t="str">
        <f t="shared" si="33"/>
        <v>- - -</v>
      </c>
      <c r="CN49" s="327" t="str">
        <f t="shared" si="34"/>
        <v>. .</v>
      </c>
      <c r="CO49" s="327"/>
      <c r="CP49" s="348">
        <f t="shared" si="35"/>
        <v>720</v>
      </c>
      <c r="CQ49" s="348">
        <f t="shared" si="36"/>
        <v>-23732</v>
      </c>
      <c r="CR49" s="327">
        <f t="shared" si="37"/>
        <v>-1978</v>
      </c>
      <c r="CS49" s="348" t="str">
        <f t="shared" si="38"/>
        <v>Nam dưới 35</v>
      </c>
      <c r="CT49" s="351"/>
      <c r="CU49" s="351"/>
      <c r="CV49" s="351" t="str">
        <f t="shared" si="39"/>
        <v>Đến 30</v>
      </c>
      <c r="CW49" s="351" t="str">
        <f t="shared" si="40"/>
        <v>TD</v>
      </c>
      <c r="CX49" s="351">
        <v>2008</v>
      </c>
      <c r="CY49" s="351"/>
      <c r="CZ49" s="351"/>
      <c r="DA49" s="351"/>
      <c r="DB49" s="351"/>
      <c r="DC49" s="351"/>
      <c r="DD49" s="351"/>
      <c r="DE49" s="351"/>
      <c r="DF49" s="351"/>
      <c r="DG49" s="351" t="s">
        <v>226</v>
      </c>
      <c r="DH49" s="351" t="s">
        <v>9</v>
      </c>
      <c r="DI49" s="351" t="s">
        <v>10</v>
      </c>
      <c r="DJ49" s="351" t="s">
        <v>9</v>
      </c>
      <c r="DK49" s="351" t="s">
        <v>10</v>
      </c>
      <c r="DL49" s="423" t="s">
        <v>108</v>
      </c>
      <c r="DM49" s="142">
        <f t="shared" si="41"/>
        <v>0</v>
      </c>
      <c r="DN49" s="142" t="str">
        <f t="shared" si="42"/>
        <v>- - -</v>
      </c>
      <c r="DO49" s="142" t="s">
        <v>9</v>
      </c>
      <c r="DP49" s="142" t="s">
        <v>10</v>
      </c>
      <c r="DQ49" s="142" t="s">
        <v>9</v>
      </c>
      <c r="DR49" s="142" t="s">
        <v>10</v>
      </c>
      <c r="DS49" s="142" t="s">
        <v>108</v>
      </c>
      <c r="DU49" s="142" t="str">
        <f t="shared" si="43"/>
        <v>- - -</v>
      </c>
      <c r="DV49" s="142" t="str">
        <f t="shared" si="44"/>
        <v>---</v>
      </c>
    </row>
    <row r="50" spans="1:126" s="271" customFormat="1" ht="1.5" customHeight="1" x14ac:dyDescent="0.25">
      <c r="A50" s="236"/>
      <c r="B50" s="307"/>
      <c r="C50" s="308"/>
      <c r="D50" s="309"/>
      <c r="E50" s="308"/>
      <c r="F50" s="308"/>
      <c r="G50" s="308"/>
      <c r="H50" s="308"/>
      <c r="I50" s="308"/>
      <c r="J50" s="308"/>
      <c r="K50" s="308"/>
      <c r="L50" s="308"/>
      <c r="M50" s="308"/>
      <c r="N50" s="309"/>
      <c r="O50" s="309"/>
      <c r="P50" s="308"/>
      <c r="Q50" s="308"/>
      <c r="R50" s="308"/>
      <c r="S50" s="308"/>
      <c r="T50" s="310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11"/>
      <c r="AH50" s="308"/>
      <c r="AI50" s="308"/>
      <c r="AJ50" s="308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08"/>
      <c r="AW50" s="311"/>
      <c r="AX50" s="308"/>
      <c r="AY50" s="311"/>
      <c r="AZ50" s="308"/>
      <c r="BA50" s="308"/>
      <c r="BB50" s="311"/>
      <c r="BC50" s="311"/>
      <c r="BD50" s="311"/>
      <c r="BE50" s="311"/>
      <c r="BF50" s="311"/>
      <c r="BG50" s="311"/>
      <c r="BH50" s="311"/>
      <c r="BI50" s="311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343"/>
      <c r="BX50" s="343"/>
      <c r="BY50" s="343"/>
      <c r="BZ50" s="343"/>
      <c r="CA50" s="343"/>
      <c r="CB50" s="343"/>
      <c r="CC50" s="343"/>
      <c r="CD50" s="343"/>
      <c r="CE50" s="343"/>
      <c r="CF50" s="343"/>
      <c r="CG50" s="343"/>
      <c r="CH50" s="343"/>
      <c r="CI50" s="343"/>
      <c r="CJ50" s="343"/>
      <c r="CK50" s="343"/>
      <c r="CL50" s="343"/>
      <c r="CM50" s="343"/>
      <c r="CN50" s="343"/>
      <c r="CO50" s="343"/>
      <c r="CP50" s="343"/>
      <c r="CQ50" s="343"/>
      <c r="CR50" s="343"/>
      <c r="CS50" s="343"/>
      <c r="CT50" s="343"/>
      <c r="CU50" s="343"/>
      <c r="CV50" s="343"/>
      <c r="CW50" s="343"/>
      <c r="CX50" s="343"/>
      <c r="CY50" s="343"/>
      <c r="CZ50" s="343"/>
      <c r="DA50" s="343"/>
      <c r="DB50" s="343"/>
      <c r="DC50" s="343"/>
      <c r="DD50" s="343"/>
      <c r="DE50" s="343"/>
      <c r="DF50" s="343"/>
      <c r="DG50" s="343"/>
      <c r="DH50" s="343"/>
      <c r="DI50" s="343"/>
      <c r="DJ50" s="343"/>
      <c r="DK50" s="343"/>
      <c r="DL50" s="343"/>
      <c r="DM50" s="343"/>
      <c r="DN50" s="343"/>
      <c r="DO50" s="343"/>
      <c r="DP50" s="343"/>
    </row>
    <row r="51" spans="1:126" s="2" customFormat="1" ht="21.75" customHeight="1" x14ac:dyDescent="0.3">
      <c r="B51" s="425" t="s">
        <v>47</v>
      </c>
      <c r="D51" s="426"/>
      <c r="F51" s="427"/>
      <c r="J51" s="428"/>
      <c r="K51" s="428"/>
      <c r="L51" s="428"/>
      <c r="M51" s="428"/>
      <c r="N51" s="426"/>
      <c r="O51" s="429"/>
      <c r="P51" s="429"/>
      <c r="Q51" s="429"/>
      <c r="R51" s="429"/>
      <c r="T51" s="375" t="s">
        <v>48</v>
      </c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5"/>
      <c r="AZ51" s="375"/>
      <c r="BA51" s="375"/>
      <c r="BB51" s="375"/>
      <c r="BC51" s="375"/>
      <c r="BD51" s="375"/>
      <c r="BE51" s="375"/>
      <c r="BF51" s="375"/>
      <c r="BG51" s="375"/>
      <c r="BH51" s="375"/>
      <c r="BI51" s="375"/>
      <c r="BJ51" s="430"/>
      <c r="BK51" s="430"/>
      <c r="BL51" s="430"/>
      <c r="BM51" s="430"/>
      <c r="BN51" s="430"/>
      <c r="BO51" s="430"/>
      <c r="BP51" s="430"/>
      <c r="BQ51" s="430"/>
      <c r="BR51" s="430"/>
      <c r="BS51" s="430"/>
      <c r="BT51" s="430"/>
      <c r="BU51" s="430"/>
      <c r="BV51" s="430"/>
      <c r="BW51" s="430"/>
      <c r="BX51" s="430"/>
      <c r="BY51" s="430"/>
      <c r="BZ51" s="430"/>
      <c r="CA51" s="430"/>
      <c r="CB51" s="430"/>
      <c r="CC51" s="430"/>
      <c r="CD51" s="430"/>
      <c r="CE51" s="430"/>
      <c r="CF51" s="430"/>
      <c r="CG51" s="430"/>
      <c r="CH51" s="430"/>
      <c r="CI51" s="430"/>
      <c r="CJ51" s="430"/>
      <c r="CK51" s="430"/>
      <c r="CL51" s="430"/>
      <c r="CM51" s="430"/>
      <c r="CN51" s="430"/>
      <c r="CO51" s="430"/>
      <c r="CP51" s="430"/>
      <c r="CQ51" s="430"/>
      <c r="CR51" s="430"/>
      <c r="CS51" s="430"/>
      <c r="CT51" s="430"/>
      <c r="CU51" s="430"/>
      <c r="CV51" s="430"/>
      <c r="CW51" s="430"/>
      <c r="CX51" s="430"/>
      <c r="CY51" s="430"/>
      <c r="CZ51" s="430"/>
      <c r="DA51" s="430"/>
      <c r="DB51" s="430"/>
      <c r="DC51" s="430"/>
      <c r="DD51" s="430"/>
      <c r="DE51" s="430"/>
      <c r="DF51" s="430"/>
      <c r="DG51" s="430"/>
      <c r="DH51" s="430"/>
      <c r="DI51" s="430"/>
      <c r="DJ51" s="430"/>
      <c r="DK51" s="430"/>
      <c r="DL51" s="430"/>
      <c r="DM51" s="430"/>
      <c r="DN51" s="430"/>
      <c r="DO51" s="430"/>
      <c r="DP51" s="430"/>
    </row>
    <row r="52" spans="1:126" s="287" customFormat="1" ht="15.75" customHeight="1" x14ac:dyDescent="0.2">
      <c r="A52" s="236"/>
      <c r="B52" s="285" t="s">
        <v>49</v>
      </c>
      <c r="C52" s="286"/>
      <c r="D52" s="243"/>
      <c r="F52" s="288"/>
      <c r="G52" s="236"/>
      <c r="H52" s="236"/>
      <c r="J52" s="289"/>
      <c r="K52" s="289"/>
      <c r="L52" s="289"/>
      <c r="M52" s="289"/>
      <c r="N52" s="243"/>
      <c r="O52" s="290"/>
      <c r="P52" s="290"/>
      <c r="Q52" s="290"/>
      <c r="R52" s="290"/>
      <c r="T52" s="377" t="s">
        <v>50</v>
      </c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</row>
    <row r="53" spans="1:126" s="287" customFormat="1" ht="15.75" customHeight="1" x14ac:dyDescent="0.2">
      <c r="A53" s="236"/>
      <c r="B53" s="285" t="s">
        <v>51</v>
      </c>
      <c r="C53" s="286"/>
      <c r="D53" s="243"/>
      <c r="F53" s="288"/>
      <c r="G53" s="236"/>
      <c r="H53" s="236"/>
      <c r="J53" s="236"/>
      <c r="K53" s="236"/>
      <c r="L53" s="236"/>
      <c r="M53" s="236"/>
      <c r="N53" s="243"/>
      <c r="O53" s="243"/>
      <c r="P53" s="236"/>
      <c r="Q53" s="236"/>
      <c r="R53" s="236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</row>
    <row r="54" spans="1:126" s="236" customFormat="1" ht="12.75" customHeight="1" x14ac:dyDescent="0.2">
      <c r="B54" s="285" t="s">
        <v>53</v>
      </c>
      <c r="D54" s="243"/>
      <c r="N54" s="243"/>
      <c r="O54" s="243"/>
      <c r="T54" s="378" t="s">
        <v>89</v>
      </c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</row>
    <row r="55" spans="1:126" s="287" customFormat="1" ht="0.75" customHeight="1" x14ac:dyDescent="0.25">
      <c r="A55" s="236"/>
      <c r="C55" s="286"/>
      <c r="D55" s="243"/>
      <c r="F55" s="288"/>
      <c r="G55" s="236"/>
      <c r="H55" s="236"/>
      <c r="J55" s="236"/>
      <c r="K55" s="236"/>
      <c r="L55" s="236"/>
      <c r="M55" s="236"/>
      <c r="N55" s="243"/>
      <c r="O55" s="243"/>
      <c r="P55" s="236"/>
      <c r="Q55" s="236"/>
      <c r="R55" s="236"/>
      <c r="T55" s="291"/>
    </row>
    <row r="56" spans="1:126" s="236" customFormat="1" ht="18.75" customHeight="1" x14ac:dyDescent="0.25">
      <c r="B56" s="251"/>
      <c r="D56" s="243"/>
      <c r="F56" s="284"/>
      <c r="N56" s="243"/>
      <c r="O56" s="243"/>
      <c r="T56" s="365" t="s">
        <v>124</v>
      </c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</row>
  </sheetData>
  <mergeCells count="30">
    <mergeCell ref="BH13:BH14"/>
    <mergeCell ref="BI13:BI14"/>
    <mergeCell ref="AU14:AV14"/>
    <mergeCell ref="AW14:AX14"/>
    <mergeCell ref="AY14:BA14"/>
    <mergeCell ref="BC13:BC14"/>
    <mergeCell ref="BD13:BD14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AW16:AX16"/>
    <mergeCell ref="AY16:BA16"/>
    <mergeCell ref="T56:BI56"/>
    <mergeCell ref="T51:BI51"/>
    <mergeCell ref="T52:BI52"/>
    <mergeCell ref="T53:BI53"/>
    <mergeCell ref="T54:BI54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5.2016</vt:lpstr>
      <vt:lpstr>DS nang PCTN NG thang 5.2016</vt:lpstr>
      <vt:lpstr>'DS nang luong thang 5.2016'!Print_Titles</vt:lpstr>
      <vt:lpstr>'DS nang PCTN NG thang 5.2016'!Print_Titles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Duyet_TCCB</cp:lastModifiedBy>
  <cp:lastPrinted>2016-04-28T01:43:43Z</cp:lastPrinted>
  <dcterms:created xsi:type="dcterms:W3CDTF">2015-03-03T06:48:17Z</dcterms:created>
  <dcterms:modified xsi:type="dcterms:W3CDTF">2016-04-28T01:43:49Z</dcterms:modified>
</cp:coreProperties>
</file>