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6785" windowHeight="7320" tabRatio="584"/>
  </bookViews>
  <sheets>
    <sheet name="$-TBao1" sheetId="88" r:id="rId1"/>
    <sheet name="%-TBao2" sheetId="89" r:id="rId2"/>
  </sheets>
  <externalReferences>
    <externalReference r:id="rId3"/>
    <externalReference r:id="rId4"/>
    <externalReference r:id="rId5"/>
    <externalReference r:id="rId6"/>
  </externalReferences>
  <definedNames>
    <definedName name="_xlnm._FilterDatabase" localSheetId="0" hidden="1">'$-TBao1'!$A$51:$EF$55</definedName>
    <definedName name="_xlnm._FilterDatabase" localSheetId="1" hidden="1">'%-TBao2'!$A$16:$ER$27</definedName>
    <definedName name="_xlnm.Print_Area" localSheetId="0">'$-TBao1'!$B$1:$FO$86</definedName>
    <definedName name="_xlnm.Print_Titles" localSheetId="0">'$-TBao1'!$11:$14</definedName>
    <definedName name="_xlnm.Print_Titles" localSheetId="1">'%-TBao2'!$12:$16</definedName>
  </definedNames>
  <calcPr calcId="144525"/>
</workbook>
</file>

<file path=xl/calcChain.xml><?xml version="1.0" encoding="utf-8"?>
<calcChain xmlns="http://schemas.openxmlformats.org/spreadsheetml/2006/main">
  <c r="EE24" i="89" l="1"/>
  <c r="EF24" i="89" s="1"/>
  <c r="DM24" i="89"/>
  <c r="DH24" i="89"/>
  <c r="DI24" i="89" s="1"/>
  <c r="DG24" i="89"/>
  <c r="DF24" i="89"/>
  <c r="DD24" i="89"/>
  <c r="CW24" i="89"/>
  <c r="CP24" i="89"/>
  <c r="CK24" i="89"/>
  <c r="CE24" i="89"/>
  <c r="CB24" i="89"/>
  <c r="CA24" i="89"/>
  <c r="BY24" i="89"/>
  <c r="BO24" i="89"/>
  <c r="BE24" i="89"/>
  <c r="BD24" i="89"/>
  <c r="BC24" i="89"/>
  <c r="AO24" i="89"/>
  <c r="AD24" i="89"/>
  <c r="BB24" i="89" s="1"/>
  <c r="Z24" i="89"/>
  <c r="W24" i="89"/>
  <c r="U24" i="89"/>
  <c r="T24" i="89"/>
  <c r="Q24" i="89"/>
  <c r="O24" i="89" s="1"/>
  <c r="M24" i="89"/>
  <c r="D24" i="89"/>
  <c r="EE23" i="89"/>
  <c r="EF23" i="89" s="1"/>
  <c r="DM23" i="89"/>
  <c r="DH23" i="89"/>
  <c r="DL23" i="89" s="1"/>
  <c r="DG23" i="89"/>
  <c r="DF23" i="89"/>
  <c r="DD23" i="89"/>
  <c r="CX23" i="89"/>
  <c r="CW23" i="89"/>
  <c r="DA23" i="89" s="1"/>
  <c r="CP23" i="89"/>
  <c r="CK23" i="89"/>
  <c r="CE23" i="89"/>
  <c r="CB23" i="89"/>
  <c r="CA23" i="89"/>
  <c r="BY23" i="89"/>
  <c r="BO23" i="89"/>
  <c r="BE23" i="89"/>
  <c r="BD23" i="89"/>
  <c r="AE23" i="89" s="1"/>
  <c r="BC23" i="89"/>
  <c r="AO23" i="89"/>
  <c r="Z23" i="89"/>
  <c r="W23" i="89"/>
  <c r="U23" i="89"/>
  <c r="T23" i="89"/>
  <c r="Q23" i="89"/>
  <c r="O23" i="89" s="1"/>
  <c r="M23" i="89"/>
  <c r="D23" i="89"/>
  <c r="EE22" i="89"/>
  <c r="EF22" i="89" s="1"/>
  <c r="DM22" i="89"/>
  <c r="DH22" i="89"/>
  <c r="DI22" i="89" s="1"/>
  <c r="DG22" i="89"/>
  <c r="DF22" i="89"/>
  <c r="DD22" i="89"/>
  <c r="CW22" i="89"/>
  <c r="CY22" i="89" s="1"/>
  <c r="CP22" i="89"/>
  <c r="CK22" i="89"/>
  <c r="CE22" i="89"/>
  <c r="CB22" i="89"/>
  <c r="CA22" i="89"/>
  <c r="BY22" i="89"/>
  <c r="BO22" i="89"/>
  <c r="BE22" i="89"/>
  <c r="EM22" i="89" s="1"/>
  <c r="BD22" i="89"/>
  <c r="BC22" i="89"/>
  <c r="AO22" i="89"/>
  <c r="AD22" i="89"/>
  <c r="Z22" i="89"/>
  <c r="W22" i="89"/>
  <c r="X22" i="89" s="1"/>
  <c r="CJ22" i="89" s="1"/>
  <c r="U22" i="89"/>
  <c r="T22" i="89"/>
  <c r="Q22" i="89"/>
  <c r="O22" i="89" s="1"/>
  <c r="M22" i="89"/>
  <c r="D22" i="89"/>
  <c r="EF21" i="89"/>
  <c r="EE21" i="89"/>
  <c r="DM21" i="89"/>
  <c r="DH21" i="89"/>
  <c r="DL21" i="89" s="1"/>
  <c r="DG21" i="89"/>
  <c r="DF21" i="89"/>
  <c r="DD21" i="89"/>
  <c r="CX21" i="89"/>
  <c r="CW21" i="89"/>
  <c r="DA21" i="89" s="1"/>
  <c r="CP21" i="89"/>
  <c r="CK21" i="89"/>
  <c r="CE21" i="89"/>
  <c r="CB21" i="89"/>
  <c r="CA21" i="89"/>
  <c r="BY21" i="89"/>
  <c r="BO21" i="89"/>
  <c r="BE21" i="89"/>
  <c r="BD21" i="89"/>
  <c r="BC21" i="89"/>
  <c r="AO21" i="89"/>
  <c r="Z21" i="89"/>
  <c r="W21" i="89"/>
  <c r="U21" i="89"/>
  <c r="T21" i="89"/>
  <c r="Q21" i="89"/>
  <c r="O21" i="89" s="1"/>
  <c r="M21" i="89"/>
  <c r="D21" i="89"/>
  <c r="EE20" i="89"/>
  <c r="EF20" i="89" s="1"/>
  <c r="DM20" i="89"/>
  <c r="DK20" i="89"/>
  <c r="DH20" i="89"/>
  <c r="DL20" i="89" s="1"/>
  <c r="DG20" i="89"/>
  <c r="DF20" i="89"/>
  <c r="DD20" i="89"/>
  <c r="CX20" i="89"/>
  <c r="CW20" i="89"/>
  <c r="DA20" i="89" s="1"/>
  <c r="CP20" i="89"/>
  <c r="CK20" i="89"/>
  <c r="CE20" i="89"/>
  <c r="CB20" i="89"/>
  <c r="CA20" i="89"/>
  <c r="BY20" i="89"/>
  <c r="BO20" i="89"/>
  <c r="BE20" i="89"/>
  <c r="AD20" i="89" s="1"/>
  <c r="BD20" i="89"/>
  <c r="BC20" i="89"/>
  <c r="AP20" i="89"/>
  <c r="AO20" i="89"/>
  <c r="AE20" i="89"/>
  <c r="Z20" i="89"/>
  <c r="W20" i="89"/>
  <c r="U20" i="89"/>
  <c r="T20" i="89"/>
  <c r="Q20" i="89"/>
  <c r="O20" i="89" s="1"/>
  <c r="M20" i="89"/>
  <c r="D20" i="89"/>
  <c r="EE19" i="89"/>
  <c r="EF19" i="89" s="1"/>
  <c r="DM19" i="89"/>
  <c r="DL19" i="89"/>
  <c r="DH19" i="89"/>
  <c r="DI19" i="89" s="1"/>
  <c r="DG19" i="89"/>
  <c r="DF19" i="89"/>
  <c r="DD19" i="89"/>
  <c r="CW19" i="89"/>
  <c r="CP19" i="89"/>
  <c r="CK19" i="89"/>
  <c r="CE19" i="89"/>
  <c r="CB19" i="89"/>
  <c r="CA19" i="89"/>
  <c r="BY19" i="89"/>
  <c r="BO19" i="89"/>
  <c r="BE19" i="89"/>
  <c r="BD19" i="89"/>
  <c r="AE19" i="89" s="1"/>
  <c r="BC19" i="89"/>
  <c r="AO19" i="89"/>
  <c r="AD19" i="89"/>
  <c r="BB19" i="89" s="1"/>
  <c r="Z19" i="89"/>
  <c r="W19" i="89"/>
  <c r="U19" i="89"/>
  <c r="T19" i="89"/>
  <c r="Q19" i="89"/>
  <c r="O19" i="89" s="1"/>
  <c r="M19" i="89"/>
  <c r="D19" i="89"/>
  <c r="EE18" i="89"/>
  <c r="EF18" i="89" s="1"/>
  <c r="DM18" i="89"/>
  <c r="DH18" i="89"/>
  <c r="DL18" i="89" s="1"/>
  <c r="DG18" i="89"/>
  <c r="CV18" i="89" s="1"/>
  <c r="BZ18" i="89" s="1"/>
  <c r="DF18" i="89"/>
  <c r="DD18" i="89"/>
  <c r="CX18" i="89"/>
  <c r="CW18" i="89"/>
  <c r="DA18" i="89" s="1"/>
  <c r="CP18" i="89"/>
  <c r="CK18" i="89"/>
  <c r="CE18" i="89"/>
  <c r="CB18" i="89"/>
  <c r="CA18" i="89"/>
  <c r="BY18" i="89"/>
  <c r="BO18" i="89"/>
  <c r="BE18" i="89"/>
  <c r="BD18" i="89"/>
  <c r="BC18" i="89"/>
  <c r="AO18" i="89"/>
  <c r="AD18" i="89"/>
  <c r="Z18" i="89"/>
  <c r="W18" i="89"/>
  <c r="U18" i="89"/>
  <c r="T18" i="89"/>
  <c r="Q18" i="89"/>
  <c r="O18" i="89" s="1"/>
  <c r="M18" i="89"/>
  <c r="D18" i="89"/>
  <c r="EE17" i="89"/>
  <c r="EF17" i="89" s="1"/>
  <c r="DM17" i="89"/>
  <c r="DH17" i="89"/>
  <c r="DL17" i="89" s="1"/>
  <c r="DG17" i="89"/>
  <c r="DF17" i="89"/>
  <c r="DD17" i="89"/>
  <c r="CX17" i="89"/>
  <c r="DB17" i="89" s="1"/>
  <c r="CW17" i="89"/>
  <c r="DA17" i="89" s="1"/>
  <c r="CV17" i="89"/>
  <c r="CP17" i="89"/>
  <c r="CK17" i="89"/>
  <c r="CE17" i="89"/>
  <c r="CB17" i="89"/>
  <c r="CA17" i="89"/>
  <c r="BZ17" i="89"/>
  <c r="BY17" i="89"/>
  <c r="BO17" i="89"/>
  <c r="BE17" i="89"/>
  <c r="BD17" i="89"/>
  <c r="AE17" i="89" s="1"/>
  <c r="BC17" i="89"/>
  <c r="AO17" i="89"/>
  <c r="Z17" i="89"/>
  <c r="W17" i="89"/>
  <c r="U17" i="89"/>
  <c r="T17" i="89"/>
  <c r="Q17" i="89"/>
  <c r="O17" i="89" s="1"/>
  <c r="M17" i="89"/>
  <c r="D17" i="89"/>
  <c r="AE18" i="89" l="1"/>
  <c r="CV23" i="89"/>
  <c r="BZ23" i="89" s="1"/>
  <c r="DI23" i="89"/>
  <c r="X24" i="89"/>
  <c r="CJ24" i="89" s="1"/>
  <c r="X18" i="89"/>
  <c r="CJ18" i="89" s="1"/>
  <c r="X19" i="89"/>
  <c r="CJ19" i="89" s="1"/>
  <c r="AR20" i="89"/>
  <c r="CV20" i="89"/>
  <c r="DI20" i="89"/>
  <c r="AE21" i="89"/>
  <c r="DB21" i="89"/>
  <c r="AE22" i="89"/>
  <c r="EM24" i="89"/>
  <c r="AE24" i="89"/>
  <c r="DL24" i="89"/>
  <c r="CD24" i="89"/>
  <c r="AA24" i="89"/>
  <c r="CD19" i="89"/>
  <c r="CC19" i="89" s="1"/>
  <c r="AA19" i="89"/>
  <c r="X17" i="89"/>
  <c r="CJ17" i="89" s="1"/>
  <c r="EM17" i="89"/>
  <c r="DI17" i="89"/>
  <c r="AR18" i="89"/>
  <c r="DI18" i="89"/>
  <c r="EM19" i="89"/>
  <c r="X20" i="89"/>
  <c r="CJ20" i="89" s="1"/>
  <c r="AC20" i="89"/>
  <c r="DB20" i="89"/>
  <c r="X21" i="89"/>
  <c r="CJ21" i="89" s="1"/>
  <c r="CV21" i="89"/>
  <c r="BZ21" i="89" s="1"/>
  <c r="DI21" i="89"/>
  <c r="DB23" i="89"/>
  <c r="EN20" i="89"/>
  <c r="BZ20" i="89"/>
  <c r="EN21" i="89"/>
  <c r="EN17" i="89"/>
  <c r="AQ18" i="89"/>
  <c r="BB18" i="89"/>
  <c r="DC18" i="89" s="1"/>
  <c r="CU18" i="89" s="1"/>
  <c r="CY18" i="89"/>
  <c r="CZ18" i="89" s="1"/>
  <c r="DB18" i="89"/>
  <c r="DA19" i="89"/>
  <c r="AR22" i="89"/>
  <c r="AP22" i="89"/>
  <c r="AC22" i="89"/>
  <c r="AQ22" i="89"/>
  <c r="CX22" i="89"/>
  <c r="CZ22" i="89" s="1"/>
  <c r="CV22" i="89"/>
  <c r="EM23" i="89"/>
  <c r="AD23" i="89"/>
  <c r="DA24" i="89"/>
  <c r="AD17" i="89"/>
  <c r="CY17" i="89"/>
  <c r="CZ17" i="89" s="1"/>
  <c r="AC18" i="89"/>
  <c r="AP18" i="89"/>
  <c r="EM18" i="89"/>
  <c r="EN18" i="89"/>
  <c r="AR19" i="89"/>
  <c r="AP19" i="89"/>
  <c r="AC19" i="89"/>
  <c r="AQ19" i="89"/>
  <c r="CY19" i="89"/>
  <c r="CX19" i="89"/>
  <c r="DB19" i="89" s="1"/>
  <c r="CV19" i="89"/>
  <c r="BB20" i="89"/>
  <c r="CD20" i="89" s="1"/>
  <c r="AQ20" i="89"/>
  <c r="EM20" i="89"/>
  <c r="EM21" i="89"/>
  <c r="AD21" i="89"/>
  <c r="BB22" i="89"/>
  <c r="DA22" i="89"/>
  <c r="DL22" i="89"/>
  <c r="X23" i="89"/>
  <c r="CJ23" i="89" s="1"/>
  <c r="EN23" i="89"/>
  <c r="AR24" i="89"/>
  <c r="AP24" i="89"/>
  <c r="AC24" i="89"/>
  <c r="AQ24" i="89"/>
  <c r="CC24" i="89"/>
  <c r="CY24" i="89"/>
  <c r="CX24" i="89"/>
  <c r="DB24" i="89" s="1"/>
  <c r="CV24" i="89"/>
  <c r="CY20" i="89"/>
  <c r="CZ20" i="89" s="1"/>
  <c r="CY21" i="89"/>
  <c r="CZ21" i="89" s="1"/>
  <c r="CY23" i="89"/>
  <c r="CZ23" i="89" s="1"/>
  <c r="ED50" i="88"/>
  <c r="EE50" i="88" s="1"/>
  <c r="DL50" i="88"/>
  <c r="DG50" i="88"/>
  <c r="DH50" i="88" s="1"/>
  <c r="DF50" i="88"/>
  <c r="DE50" i="88"/>
  <c r="CW50" i="88" s="1"/>
  <c r="DC50" i="88"/>
  <c r="CV50" i="88"/>
  <c r="DA50" i="88" s="1"/>
  <c r="CO50" i="88"/>
  <c r="CJ50" i="88"/>
  <c r="CD50" i="88"/>
  <c r="CA50" i="88"/>
  <c r="BZ50" i="88"/>
  <c r="BX50" i="88"/>
  <c r="BE50" i="88" s="1"/>
  <c r="BD50" i="88"/>
  <c r="BC50" i="88"/>
  <c r="BB50" i="88"/>
  <c r="CI50" i="88"/>
  <c r="ED48" i="88"/>
  <c r="EE48" i="88" s="1"/>
  <c r="DL48" i="88"/>
  <c r="DG48" i="88"/>
  <c r="DK48" i="88" s="1"/>
  <c r="DF48" i="88"/>
  <c r="DE48" i="88"/>
  <c r="DC48" i="88"/>
  <c r="CW48" i="88"/>
  <c r="CV48" i="88"/>
  <c r="CZ48" i="88" s="1"/>
  <c r="CO48" i="88"/>
  <c r="CJ48" i="88"/>
  <c r="CD48" i="88"/>
  <c r="CA48" i="88"/>
  <c r="BZ48" i="88"/>
  <c r="BX48" i="88"/>
  <c r="BE48" i="88" s="1"/>
  <c r="BD48" i="88"/>
  <c r="BC48" i="88"/>
  <c r="BB48" i="88"/>
  <c r="CI48" i="88"/>
  <c r="ED47" i="88"/>
  <c r="EE47" i="88" s="1"/>
  <c r="DL47" i="88"/>
  <c r="DG47" i="88"/>
  <c r="DH47" i="88" s="1"/>
  <c r="DF47" i="88"/>
  <c r="DE47" i="88"/>
  <c r="CW47" i="88" s="1"/>
  <c r="DC47" i="88"/>
  <c r="CV47" i="88"/>
  <c r="DA47" i="88" s="1"/>
  <c r="CO47" i="88"/>
  <c r="CJ47" i="88"/>
  <c r="CD47" i="88"/>
  <c r="CA47" i="88"/>
  <c r="BZ47" i="88"/>
  <c r="BX47" i="88"/>
  <c r="BO47" i="88"/>
  <c r="BE47" i="88"/>
  <c r="BD47" i="88"/>
  <c r="BC47" i="88"/>
  <c r="BB47" i="88"/>
  <c r="ED45" i="88"/>
  <c r="EE45" i="88" s="1"/>
  <c r="DL45" i="88"/>
  <c r="DG45" i="88"/>
  <c r="DH45" i="88" s="1"/>
  <c r="DF45" i="88"/>
  <c r="DE45" i="88"/>
  <c r="CW45" i="88" s="1"/>
  <c r="DC45" i="88"/>
  <c r="CV45" i="88"/>
  <c r="DA45" i="88" s="1"/>
  <c r="CO45" i="88"/>
  <c r="CJ45" i="88"/>
  <c r="CD45" i="88"/>
  <c r="CA45" i="88"/>
  <c r="BZ45" i="88"/>
  <c r="BY45" i="88"/>
  <c r="BX45" i="88"/>
  <c r="BE45" i="88" s="1"/>
  <c r="BD45" i="88"/>
  <c r="BC45" i="88"/>
  <c r="BB45" i="88"/>
  <c r="CI45" i="88"/>
  <c r="ED44" i="88"/>
  <c r="EE44" i="88" s="1"/>
  <c r="DL44" i="88"/>
  <c r="DG44" i="88"/>
  <c r="DH44" i="88" s="1"/>
  <c r="DF44" i="88"/>
  <c r="DE44" i="88"/>
  <c r="CW44" i="88" s="1"/>
  <c r="DC44" i="88"/>
  <c r="CV44" i="88"/>
  <c r="DA44" i="88" s="1"/>
  <c r="CO44" i="88"/>
  <c r="CJ44" i="88"/>
  <c r="CD44" i="88"/>
  <c r="CA44" i="88"/>
  <c r="BZ44" i="88"/>
  <c r="BX44" i="88"/>
  <c r="BE44" i="88" s="1"/>
  <c r="BD44" i="88"/>
  <c r="BC44" i="88"/>
  <c r="BB44" i="88"/>
  <c r="ED43" i="88"/>
  <c r="EE43" i="88" s="1"/>
  <c r="DL43" i="88"/>
  <c r="DG43" i="88"/>
  <c r="DF43" i="88"/>
  <c r="DE43" i="88"/>
  <c r="DC43" i="88"/>
  <c r="CV43" i="88"/>
  <c r="CX43" i="88" s="1"/>
  <c r="CO43" i="88"/>
  <c r="CJ43" i="88"/>
  <c r="CD43" i="88"/>
  <c r="CA43" i="88"/>
  <c r="BZ43" i="88"/>
  <c r="BY43" i="88"/>
  <c r="BX43" i="88"/>
  <c r="BE43" i="88" s="1"/>
  <c r="BD43" i="88"/>
  <c r="BC43" i="88"/>
  <c r="BB43" i="88"/>
  <c r="ED42" i="88"/>
  <c r="EE42" i="88" s="1"/>
  <c r="DL42" i="88"/>
  <c r="DG42" i="88"/>
  <c r="DK42" i="88" s="1"/>
  <c r="DF42" i="88"/>
  <c r="DE42" i="88"/>
  <c r="DC42" i="88"/>
  <c r="CW42" i="88"/>
  <c r="DA42" i="88" s="1"/>
  <c r="CV42" i="88"/>
  <c r="CZ42" i="88" s="1"/>
  <c r="CU42" i="88"/>
  <c r="CO42" i="88"/>
  <c r="CJ42" i="88"/>
  <c r="CD42" i="88"/>
  <c r="CA42" i="88"/>
  <c r="BZ42" i="88"/>
  <c r="BY42" i="88"/>
  <c r="BX42" i="88"/>
  <c r="BE42" i="88"/>
  <c r="BD42" i="88"/>
  <c r="BC42" i="88"/>
  <c r="BB42" i="88"/>
  <c r="ED41" i="88"/>
  <c r="EE41" i="88" s="1"/>
  <c r="DL41" i="88"/>
  <c r="DG41" i="88"/>
  <c r="DK41" i="88" s="1"/>
  <c r="DF41" i="88"/>
  <c r="DE41" i="88"/>
  <c r="DC41" i="88"/>
  <c r="CW41" i="88"/>
  <c r="CV41" i="88"/>
  <c r="CZ41" i="88" s="1"/>
  <c r="CO41" i="88"/>
  <c r="CJ41" i="88"/>
  <c r="CD41" i="88"/>
  <c r="CA41" i="88"/>
  <c r="BZ41" i="88"/>
  <c r="BY41" i="88"/>
  <c r="BX41" i="88"/>
  <c r="BE41" i="88" s="1"/>
  <c r="BD41" i="88"/>
  <c r="BC41" i="88"/>
  <c r="BB41" i="88"/>
  <c r="CI41" i="88"/>
  <c r="ED40" i="88"/>
  <c r="EE40" i="88" s="1"/>
  <c r="DL40" i="88"/>
  <c r="DG40" i="88"/>
  <c r="DK40" i="88" s="1"/>
  <c r="DF40" i="88"/>
  <c r="DE40" i="88"/>
  <c r="DC40" i="88"/>
  <c r="CW40" i="88"/>
  <c r="CV40" i="88"/>
  <c r="CZ40" i="88" s="1"/>
  <c r="CO40" i="88"/>
  <c r="CJ40" i="88"/>
  <c r="CD40" i="88"/>
  <c r="CA40" i="88"/>
  <c r="BZ40" i="88"/>
  <c r="BX40" i="88"/>
  <c r="BE40" i="88" s="1"/>
  <c r="BD40" i="88"/>
  <c r="BC40" i="88"/>
  <c r="BB40" i="88"/>
  <c r="ED39" i="88"/>
  <c r="EE39" i="88" s="1"/>
  <c r="DL39" i="88"/>
  <c r="DG39" i="88"/>
  <c r="DK39" i="88" s="1"/>
  <c r="DF39" i="88"/>
  <c r="DE39" i="88"/>
  <c r="DC39" i="88"/>
  <c r="CW39" i="88"/>
  <c r="CV39" i="88"/>
  <c r="CZ39" i="88" s="1"/>
  <c r="CO39" i="88"/>
  <c r="CJ39" i="88"/>
  <c r="CD39" i="88"/>
  <c r="CA39" i="88"/>
  <c r="BZ39" i="88"/>
  <c r="BX39" i="88"/>
  <c r="BE39" i="88" s="1"/>
  <c r="BD39" i="88"/>
  <c r="BC39" i="88"/>
  <c r="BB39" i="88"/>
  <c r="CI39" i="88"/>
  <c r="ED38" i="88"/>
  <c r="EE38" i="88" s="1"/>
  <c r="DL38" i="88"/>
  <c r="DH38" i="88"/>
  <c r="DG38" i="88"/>
  <c r="DK38" i="88" s="1"/>
  <c r="DF38" i="88"/>
  <c r="CU38" i="88" s="1"/>
  <c r="BY38" i="88" s="1"/>
  <c r="DE38" i="88"/>
  <c r="DC38" i="88"/>
  <c r="CW38" i="88"/>
  <c r="CV38" i="88"/>
  <c r="CZ38" i="88" s="1"/>
  <c r="CO38" i="88"/>
  <c r="CJ38" i="88"/>
  <c r="CD38" i="88"/>
  <c r="CA38" i="88"/>
  <c r="BZ38" i="88"/>
  <c r="BX38" i="88"/>
  <c r="BE38" i="88" s="1"/>
  <c r="BD38" i="88"/>
  <c r="BC38" i="88"/>
  <c r="BB38" i="88"/>
  <c r="ED37" i="88"/>
  <c r="EE37" i="88" s="1"/>
  <c r="DL37" i="88"/>
  <c r="DJ37" i="88"/>
  <c r="DG37" i="88"/>
  <c r="DK37" i="88" s="1"/>
  <c r="DF37" i="88"/>
  <c r="DE37" i="88"/>
  <c r="CW37" i="88" s="1"/>
  <c r="DC37" i="88"/>
  <c r="CV37" i="88"/>
  <c r="DA37" i="88" s="1"/>
  <c r="CO37" i="88"/>
  <c r="CJ37" i="88"/>
  <c r="CD37" i="88"/>
  <c r="CA37" i="88"/>
  <c r="BZ37" i="88"/>
  <c r="BX37" i="88"/>
  <c r="BE37" i="88" s="1"/>
  <c r="BD37" i="88"/>
  <c r="BC37" i="88"/>
  <c r="BB37" i="88"/>
  <c r="ED36" i="88"/>
  <c r="EE36" i="88" s="1"/>
  <c r="DL36" i="88"/>
  <c r="DG36" i="88"/>
  <c r="DH36" i="88" s="1"/>
  <c r="DF36" i="88"/>
  <c r="DE36" i="88"/>
  <c r="CW36" i="88" s="1"/>
  <c r="DC36" i="88"/>
  <c r="CV36" i="88"/>
  <c r="DA36" i="88" s="1"/>
  <c r="CO36" i="88"/>
  <c r="CJ36" i="88"/>
  <c r="CD36" i="88"/>
  <c r="CA36" i="88"/>
  <c r="BZ36" i="88"/>
  <c r="BX36" i="88"/>
  <c r="BO36" i="88"/>
  <c r="BE36" i="88"/>
  <c r="BD36" i="88"/>
  <c r="BC36" i="88"/>
  <c r="BB36" i="88"/>
  <c r="ED35" i="88"/>
  <c r="EE35" i="88" s="1"/>
  <c r="DL35" i="88"/>
  <c r="DG35" i="88"/>
  <c r="DK35" i="88" s="1"/>
  <c r="DF35" i="88"/>
  <c r="DE35" i="88"/>
  <c r="DC35" i="88"/>
  <c r="CW35" i="88"/>
  <c r="CV35" i="88"/>
  <c r="CZ35" i="88" s="1"/>
  <c r="CO35" i="88"/>
  <c r="CJ35" i="88"/>
  <c r="CD35" i="88"/>
  <c r="CA35" i="88"/>
  <c r="BZ35" i="88"/>
  <c r="BX35" i="88"/>
  <c r="BO35" i="88"/>
  <c r="BE35" i="88"/>
  <c r="BD35" i="88"/>
  <c r="BC35" i="88"/>
  <c r="BB35" i="88"/>
  <c r="ED34" i="88"/>
  <c r="EE34" i="88" s="1"/>
  <c r="DL34" i="88"/>
  <c r="DG34" i="88"/>
  <c r="DH34" i="88" s="1"/>
  <c r="DF34" i="88"/>
  <c r="DE34" i="88"/>
  <c r="CW34" i="88" s="1"/>
  <c r="DC34" i="88"/>
  <c r="CV34" i="88"/>
  <c r="DA34" i="88" s="1"/>
  <c r="CO34" i="88"/>
  <c r="CJ34" i="88"/>
  <c r="CD34" i="88"/>
  <c r="CA34" i="88"/>
  <c r="BZ34" i="88"/>
  <c r="BX34" i="88"/>
  <c r="BO34" i="88"/>
  <c r="BE34" i="88"/>
  <c r="BD34" i="88"/>
  <c r="BC34" i="88"/>
  <c r="BB34" i="88"/>
  <c r="EE33" i="88"/>
  <c r="ED33" i="88"/>
  <c r="DL33" i="88"/>
  <c r="DG33" i="88"/>
  <c r="DK33" i="88" s="1"/>
  <c r="DF33" i="88"/>
  <c r="CU33" i="88" s="1"/>
  <c r="BY33" i="88" s="1"/>
  <c r="DE33" i="88"/>
  <c r="DC33" i="88"/>
  <c r="CW33" i="88"/>
  <c r="CV33" i="88"/>
  <c r="CZ33" i="88" s="1"/>
  <c r="CO33" i="88"/>
  <c r="CJ33" i="88"/>
  <c r="CD33" i="88"/>
  <c r="CA33" i="88"/>
  <c r="BZ33" i="88"/>
  <c r="BX33" i="88"/>
  <c r="BO33" i="88"/>
  <c r="BE33" i="88"/>
  <c r="BD33" i="88"/>
  <c r="BC33" i="88"/>
  <c r="BB33" i="88"/>
  <c r="ED32" i="88"/>
  <c r="EE32" i="88" s="1"/>
  <c r="DL32" i="88"/>
  <c r="DG32" i="88"/>
  <c r="DH32" i="88" s="1"/>
  <c r="DF32" i="88"/>
  <c r="DE32" i="88"/>
  <c r="DC32" i="88"/>
  <c r="CV32" i="88"/>
  <c r="CX32" i="88" s="1"/>
  <c r="CO32" i="88"/>
  <c r="CJ32" i="88"/>
  <c r="CD32" i="88"/>
  <c r="CA32" i="88"/>
  <c r="BZ32" i="88"/>
  <c r="BX32" i="88"/>
  <c r="BE32" i="88" s="1"/>
  <c r="BD32" i="88"/>
  <c r="BC32" i="88"/>
  <c r="BB32" i="88"/>
  <c r="ED31" i="88"/>
  <c r="EE31" i="88" s="1"/>
  <c r="DL31" i="88"/>
  <c r="DG31" i="88"/>
  <c r="DK31" i="88" s="1"/>
  <c r="DF31" i="88"/>
  <c r="DE31" i="88"/>
  <c r="DC31" i="88"/>
  <c r="CW31" i="88"/>
  <c r="DA31" i="88" s="1"/>
  <c r="CV31" i="88"/>
  <c r="CZ31" i="88" s="1"/>
  <c r="CU31" i="88"/>
  <c r="CO31" i="88"/>
  <c r="CJ31" i="88"/>
  <c r="CD31" i="88"/>
  <c r="CA31" i="88"/>
  <c r="BZ31" i="88"/>
  <c r="BY31" i="88"/>
  <c r="BX31" i="88"/>
  <c r="BE31" i="88"/>
  <c r="BD31" i="88"/>
  <c r="BC31" i="88"/>
  <c r="BB31" i="88"/>
  <c r="ED30" i="88"/>
  <c r="EE30" i="88" s="1"/>
  <c r="DL30" i="88"/>
  <c r="DG30" i="88"/>
  <c r="DK30" i="88" s="1"/>
  <c r="DF30" i="88"/>
  <c r="DE30" i="88"/>
  <c r="DC30" i="88"/>
  <c r="CW30" i="88"/>
  <c r="DA30" i="88" s="1"/>
  <c r="CV30" i="88"/>
  <c r="CZ30" i="88" s="1"/>
  <c r="CU30" i="88"/>
  <c r="CO30" i="88"/>
  <c r="CJ30" i="88"/>
  <c r="CD30" i="88"/>
  <c r="CA30" i="88"/>
  <c r="BZ30" i="88"/>
  <c r="BY30" i="88"/>
  <c r="BX30" i="88"/>
  <c r="BE30" i="88"/>
  <c r="BD30" i="88"/>
  <c r="BC30" i="88"/>
  <c r="BB30" i="88"/>
  <c r="CU39" i="88" l="1"/>
  <c r="BY39" i="88" s="1"/>
  <c r="DH39" i="88"/>
  <c r="CU40" i="88"/>
  <c r="BY40" i="88" s="1"/>
  <c r="DH40" i="88"/>
  <c r="EL48" i="88"/>
  <c r="CI34" i="88"/>
  <c r="CI36" i="88"/>
  <c r="CI37" i="88"/>
  <c r="EL37" i="88"/>
  <c r="CI38" i="88"/>
  <c r="CI40" i="88"/>
  <c r="CI44" i="88"/>
  <c r="CI30" i="88"/>
  <c r="CI31" i="88"/>
  <c r="CU48" i="88"/>
  <c r="DH48" i="88"/>
  <c r="DA33" i="88"/>
  <c r="CU35" i="88"/>
  <c r="BY35" i="88" s="1"/>
  <c r="DH35" i="88"/>
  <c r="EL38" i="88"/>
  <c r="EL39" i="88"/>
  <c r="EL40" i="88"/>
  <c r="EL41" i="88"/>
  <c r="CU41" i="88"/>
  <c r="DH41" i="88"/>
  <c r="CI43" i="88"/>
  <c r="DB22" i="89"/>
  <c r="CC20" i="89"/>
  <c r="AA20" i="89"/>
  <c r="BB21" i="89"/>
  <c r="AQ21" i="89"/>
  <c r="AP21" i="89"/>
  <c r="AR21" i="89"/>
  <c r="AC21" i="89"/>
  <c r="BB17" i="89"/>
  <c r="AQ17" i="89"/>
  <c r="AR17" i="89"/>
  <c r="AP17" i="89"/>
  <c r="AC17" i="89"/>
  <c r="EN22" i="89"/>
  <c r="BZ22" i="89"/>
  <c r="DC22" i="89"/>
  <c r="CU22" i="89"/>
  <c r="EN24" i="89"/>
  <c r="BZ24" i="89"/>
  <c r="DC24" i="89"/>
  <c r="CZ24" i="89"/>
  <c r="CD22" i="89"/>
  <c r="CC22" i="89" s="1"/>
  <c r="AA22" i="89"/>
  <c r="EN19" i="89"/>
  <c r="BZ19" i="89"/>
  <c r="DC19" i="89"/>
  <c r="CU19" i="89"/>
  <c r="CZ19" i="89"/>
  <c r="BB23" i="89"/>
  <c r="AQ23" i="89"/>
  <c r="AR23" i="89"/>
  <c r="AC23" i="89"/>
  <c r="AP23" i="89"/>
  <c r="CD18" i="89"/>
  <c r="CC18" i="89" s="1"/>
  <c r="AA18" i="89"/>
  <c r="DC20" i="89"/>
  <c r="CU20" i="89" s="1"/>
  <c r="BY48" i="88"/>
  <c r="CI47" i="88"/>
  <c r="BA48" i="88"/>
  <c r="DA48" i="88"/>
  <c r="EL30" i="88"/>
  <c r="DH30" i="88"/>
  <c r="EL31" i="88"/>
  <c r="DH31" i="88"/>
  <c r="DH33" i="88"/>
  <c r="CI35" i="88"/>
  <c r="EL35" i="88"/>
  <c r="DA35" i="88"/>
  <c r="EL36" i="88"/>
  <c r="DA38" i="88"/>
  <c r="DA39" i="88"/>
  <c r="DA40" i="88"/>
  <c r="DA41" i="88"/>
  <c r="CI42" i="88"/>
  <c r="EL42" i="88"/>
  <c r="DH42" i="88"/>
  <c r="BA47" i="88"/>
  <c r="CC47" i="88" s="1"/>
  <c r="CB47" i="88" s="1"/>
  <c r="EL47" i="88"/>
  <c r="BA50" i="88"/>
  <c r="BA30" i="88"/>
  <c r="DB30" i="88" s="1"/>
  <c r="CT30" i="88" s="1"/>
  <c r="BA31" i="88"/>
  <c r="DB31" i="88" s="1"/>
  <c r="CT31" i="88" s="1"/>
  <c r="EM31" i="88"/>
  <c r="BA32" i="88"/>
  <c r="CC32" i="88" s="1"/>
  <c r="CW32" i="88"/>
  <c r="CY32" i="88" s="1"/>
  <c r="CU32" i="88"/>
  <c r="EL32" i="88"/>
  <c r="EL33" i="88"/>
  <c r="EL34" i="88"/>
  <c r="EM30" i="88"/>
  <c r="CX30" i="88"/>
  <c r="CY30" i="88" s="1"/>
  <c r="CX31" i="88"/>
  <c r="CY31" i="88" s="1"/>
  <c r="CI32" i="88"/>
  <c r="CZ32" i="88"/>
  <c r="DK32" i="88"/>
  <c r="CI33" i="88"/>
  <c r="EM33" i="88"/>
  <c r="BA34" i="88"/>
  <c r="CX34" i="88"/>
  <c r="CY34" i="88" s="1"/>
  <c r="CZ34" i="88"/>
  <c r="DK34" i="88"/>
  <c r="EM35" i="88"/>
  <c r="BA36" i="88"/>
  <c r="CX36" i="88"/>
  <c r="CY36" i="88" s="1"/>
  <c r="CZ36" i="88"/>
  <c r="DK36" i="88"/>
  <c r="CX37" i="88"/>
  <c r="CY37" i="88" s="1"/>
  <c r="CZ37" i="88"/>
  <c r="BA38" i="88"/>
  <c r="EM38" i="88"/>
  <c r="BA39" i="88"/>
  <c r="EM39" i="88"/>
  <c r="BA40" i="88"/>
  <c r="EM40" i="88"/>
  <c r="BA41" i="88"/>
  <c r="EM41" i="88"/>
  <c r="BA42" i="88"/>
  <c r="EM42" i="88"/>
  <c r="CW43" i="88"/>
  <c r="CY43" i="88" s="1"/>
  <c r="CU43" i="88"/>
  <c r="DH43" i="88"/>
  <c r="DK43" i="88"/>
  <c r="CX33" i="88"/>
  <c r="CY33" i="88" s="1"/>
  <c r="CU34" i="88"/>
  <c r="CX35" i="88"/>
  <c r="CY35" i="88" s="1"/>
  <c r="CU36" i="88"/>
  <c r="CU37" i="88"/>
  <c r="DH37" i="88"/>
  <c r="CX38" i="88"/>
  <c r="CY38" i="88" s="1"/>
  <c r="CX39" i="88"/>
  <c r="CY39" i="88" s="1"/>
  <c r="CX40" i="88"/>
  <c r="CY40" i="88" s="1"/>
  <c r="CX41" i="88"/>
  <c r="CY41" i="88" s="1"/>
  <c r="CX42" i="88"/>
  <c r="CY42" i="88" s="1"/>
  <c r="EL43" i="88"/>
  <c r="CZ43" i="88"/>
  <c r="BA44" i="88"/>
  <c r="CC44" i="88" s="1"/>
  <c r="CB44" i="88" s="1"/>
  <c r="BA45" i="88"/>
  <c r="CC45" i="88" s="1"/>
  <c r="CB45" i="88" s="1"/>
  <c r="CC50" i="88"/>
  <c r="CB50" i="88" s="1"/>
  <c r="CX44" i="88"/>
  <c r="CY44" i="88" s="1"/>
  <c r="CZ44" i="88"/>
  <c r="DK44" i="88"/>
  <c r="EL44" i="88"/>
  <c r="CX45" i="88"/>
  <c r="CY45" i="88" s="1"/>
  <c r="CZ45" i="88"/>
  <c r="DK45" i="88"/>
  <c r="EL45" i="88"/>
  <c r="CX47" i="88"/>
  <c r="CY47" i="88" s="1"/>
  <c r="CZ47" i="88"/>
  <c r="DK47" i="88"/>
  <c r="CC48" i="88"/>
  <c r="CB48" i="88" s="1"/>
  <c r="EM48" i="88"/>
  <c r="CX50" i="88"/>
  <c r="CY50" i="88" s="1"/>
  <c r="CZ50" i="88"/>
  <c r="DK50" i="88"/>
  <c r="EL50" i="88"/>
  <c r="CU44" i="88"/>
  <c r="CU45" i="88"/>
  <c r="CU47" i="88"/>
  <c r="CX48" i="88"/>
  <c r="CY48" i="88" s="1"/>
  <c r="CU50" i="88"/>
  <c r="CB32" i="88" l="1"/>
  <c r="CU24" i="89"/>
  <c r="CD17" i="89"/>
  <c r="CC17" i="89" s="1"/>
  <c r="DC17" i="89"/>
  <c r="CU17" i="89" s="1"/>
  <c r="AA17" i="89"/>
  <c r="CD23" i="89"/>
  <c r="CC23" i="89" s="1"/>
  <c r="AA23" i="89"/>
  <c r="DC23" i="89"/>
  <c r="CU23" i="89" s="1"/>
  <c r="CD21" i="89"/>
  <c r="CC21" i="89" s="1"/>
  <c r="DC21" i="89"/>
  <c r="CU21" i="89" s="1"/>
  <c r="AA21" i="89"/>
  <c r="DA43" i="88"/>
  <c r="DA32" i="88"/>
  <c r="DB48" i="88"/>
  <c r="CT48" i="88" s="1"/>
  <c r="EM50" i="88"/>
  <c r="BY50" i="88"/>
  <c r="DB50" i="88"/>
  <c r="EM47" i="88"/>
  <c r="BY47" i="88"/>
  <c r="DB47" i="88"/>
  <c r="CT47" i="88" s="1"/>
  <c r="EM45" i="88"/>
  <c r="DB45" i="88"/>
  <c r="CT45" i="88" s="1"/>
  <c r="BA43" i="88"/>
  <c r="BA37" i="88"/>
  <c r="DB37" i="88" s="1"/>
  <c r="CT37" i="88" s="1"/>
  <c r="BA35" i="88"/>
  <c r="CC42" i="88"/>
  <c r="CB42" i="88" s="1"/>
  <c r="CC40" i="88"/>
  <c r="CB40" i="88" s="1"/>
  <c r="CC38" i="88"/>
  <c r="CB38" i="88" s="1"/>
  <c r="CC36" i="88"/>
  <c r="CB36" i="88" s="1"/>
  <c r="CC34" i="88"/>
  <c r="CB34" i="88" s="1"/>
  <c r="DB42" i="88"/>
  <c r="CT42" i="88" s="1"/>
  <c r="BA33" i="88"/>
  <c r="EM32" i="88"/>
  <c r="BY32" i="88"/>
  <c r="DB32" i="88"/>
  <c r="EM44" i="88"/>
  <c r="BY44" i="88"/>
  <c r="DB44" i="88"/>
  <c r="BY37" i="88"/>
  <c r="EM37" i="88"/>
  <c r="EM36" i="88"/>
  <c r="BY36" i="88"/>
  <c r="DB36" i="88"/>
  <c r="EM34" i="88"/>
  <c r="BY34" i="88"/>
  <c r="DB34" i="88"/>
  <c r="EM43" i="88"/>
  <c r="DB43" i="88"/>
  <c r="CT43" i="88" s="1"/>
  <c r="CC41" i="88"/>
  <c r="CB41" i="88" s="1"/>
  <c r="CC39" i="88"/>
  <c r="CB39" i="88" s="1"/>
  <c r="DB41" i="88"/>
  <c r="CT41" i="88" s="1"/>
  <c r="DB40" i="88"/>
  <c r="CT40" i="88" s="1"/>
  <c r="DB39" i="88"/>
  <c r="CT39" i="88" s="1"/>
  <c r="DB38" i="88"/>
  <c r="CT38" i="88" s="1"/>
  <c r="CC31" i="88"/>
  <c r="CB31" i="88" s="1"/>
  <c r="CC30" i="88"/>
  <c r="CB30" i="88" s="1"/>
  <c r="ED13" i="88"/>
  <c r="DV13" i="88"/>
  <c r="DW13" i="88" s="1"/>
  <c r="DF13" i="88"/>
  <c r="DA13" i="88"/>
  <c r="DB13" i="88" s="1"/>
  <c r="CZ13" i="88"/>
  <c r="CY13" i="88"/>
  <c r="CW13" i="88"/>
  <c r="CQ13" i="88"/>
  <c r="CP13" i="88"/>
  <c r="CU13" i="88" s="1"/>
  <c r="CI13" i="88"/>
  <c r="CD13" i="88"/>
  <c r="CC13" i="88"/>
  <c r="CA13" i="88"/>
  <c r="CT34" i="88" l="1"/>
  <c r="CT32" i="88"/>
  <c r="CT36" i="88"/>
  <c r="CT44" i="88"/>
  <c r="CT50" i="88"/>
  <c r="CC33" i="88"/>
  <c r="CB33" i="88" s="1"/>
  <c r="DB33" i="88"/>
  <c r="CT33" i="88" s="1"/>
  <c r="CC35" i="88"/>
  <c r="CB35" i="88" s="1"/>
  <c r="DB35" i="88"/>
  <c r="CT35" i="88" s="1"/>
  <c r="CC37" i="88"/>
  <c r="CB37" i="88" s="1"/>
  <c r="CC43" i="88"/>
  <c r="CB43" i="88" s="1"/>
  <c r="CO13" i="88"/>
  <c r="BZ13" i="88"/>
  <c r="EE13" i="88"/>
  <c r="CV13" i="88"/>
  <c r="CN13" i="88" s="1"/>
  <c r="CR13" i="88"/>
  <c r="CS13" i="88" s="1"/>
  <c r="CT13" i="88"/>
  <c r="DE13" i="88"/>
</calcChain>
</file>

<file path=xl/sharedStrings.xml><?xml version="1.0" encoding="utf-8"?>
<sst xmlns="http://schemas.openxmlformats.org/spreadsheetml/2006/main" count="1700" uniqueCount="332">
  <si>
    <t>TEN</t>
  </si>
  <si>
    <t>T1</t>
  </si>
  <si>
    <t>M1</t>
  </si>
  <si>
    <t>T2</t>
  </si>
  <si>
    <t>M2</t>
  </si>
  <si>
    <t>GT</t>
  </si>
  <si>
    <t>Khoa Văn bản và Công nghệ hành chính</t>
  </si>
  <si>
    <t>MÃ SỐ NGẠCH</t>
  </si>
  <si>
    <t>GHI 
CHÚ</t>
  </si>
  <si>
    <t xml:space="preserve">           </t>
  </si>
  <si>
    <t>KT. TRƯỞNG BAN</t>
  </si>
  <si>
    <t>01.003</t>
  </si>
  <si>
    <t>Từ mức</t>
  </si>
  <si>
    <t>Lên mức</t>
  </si>
  <si>
    <t>Pc2</t>
  </si>
  <si>
    <t>CỘNG HÒA XÃ HỘI CHỦ NGHĨA VIỆT NAM</t>
  </si>
  <si>
    <t>Độc lập - Tự do - Hạnh phúc</t>
  </si>
  <si>
    <t>nhà giáo</t>
  </si>
  <si>
    <t>ĐỦ ĐIỀU KIỆN 
NÂNG PCTN</t>
  </si>
  <si>
    <t>Kể từ</t>
  </si>
  <si>
    <t>Thời gian Ko đc tính</t>
  </si>
  <si>
    <t>Thời gian giữ mức Pc</t>
  </si>
  <si>
    <t>Ds đủ ĐK nâng PC</t>
  </si>
  <si>
    <t>BP</t>
  </si>
  <si>
    <t>DV</t>
  </si>
  <si>
    <t>Ma Ngach</t>
  </si>
  <si>
    <t>Pc1</t>
  </si>
  <si>
    <t>m</t>
  </si>
  <si>
    <t>y</t>
  </si>
  <si>
    <t>Phó Trưởng bộ môn</t>
  </si>
  <si>
    <t>Bộ môn Khoa học hành chính,</t>
  </si>
  <si>
    <t>17</t>
  </si>
  <si>
    <t>20</t>
  </si>
  <si>
    <t>30</t>
  </si>
  <si>
    <t>SỐ
TT</t>
  </si>
  <si>
    <t>(Đã ký)</t>
  </si>
  <si>
    <t>Tổng số:</t>
  </si>
  <si>
    <t>người</t>
  </si>
  <si>
    <t>03</t>
  </si>
  <si>
    <t>%</t>
  </si>
  <si>
    <t>Chuyên viên</t>
  </si>
  <si>
    <t>01</t>
  </si>
  <si>
    <t>02</t>
  </si>
  <si>
    <t>5</t>
  </si>
  <si>
    <t>6</t>
  </si>
  <si>
    <t>8</t>
  </si>
  <si>
    <t>3</t>
  </si>
  <si>
    <t>7</t>
  </si>
  <si>
    <t>9</t>
  </si>
  <si>
    <t>12</t>
  </si>
  <si>
    <t>15</t>
  </si>
  <si>
    <t>/</t>
  </si>
  <si>
    <t>A</t>
  </si>
  <si>
    <t>2011</t>
  </si>
  <si>
    <t>Phòng Quản trị,</t>
  </si>
  <si>
    <t>10</t>
  </si>
  <si>
    <t>11</t>
  </si>
  <si>
    <t>1</t>
  </si>
  <si>
    <t>4</t>
  </si>
  <si>
    <t>2012</t>
  </si>
  <si>
    <t>Nam</t>
  </si>
  <si>
    <t>Nữ</t>
  </si>
  <si>
    <t>TT</t>
  </si>
  <si>
    <t>Ngày sinh</t>
  </si>
  <si>
    <t>Tháng</t>
  </si>
  <si>
    <t>GHI CHÚ</t>
  </si>
  <si>
    <r>
      <t xml:space="preserve">DANH SÁCH NHÀ GIÁO THUỘC HỌC VIỆN HÀNH CHÍNH 
CẦN ĐƯỢC GIẢI QUYẾT NÂNG PHỤ CẤP THÂM NIÊN TRONG THẤNG </t>
    </r>
    <r>
      <rPr>
        <b/>
        <sz val="13"/>
        <color indexed="12"/>
        <rFont val="Arial Narrow"/>
        <family val="2"/>
      </rPr>
      <t xml:space="preserve">10 NĂM 2013
</t>
    </r>
    <r>
      <rPr>
        <i/>
        <sz val="13"/>
        <color indexed="12"/>
        <rFont val="Arial Narrow"/>
        <family val="2"/>
      </rPr>
      <t>(Kèm theo Tờ  trình số 40/TTr-TCCB(P2) ngày  21 tháng 10 năm 2013 của Ban Tổ chức - Cán bộ)</t>
    </r>
  </si>
  <si>
    <t>HỌC VIỆN HÀNH CHÍNH QUỐC GIA</t>
  </si>
  <si>
    <t xml:space="preserve"> HỌC VIỆN HÀNH CHÍNH QUỐC GIA</t>
  </si>
  <si>
    <t>Chức danh nghề nghiệp</t>
  </si>
  <si>
    <t>Ngạch</t>
  </si>
  <si>
    <t>V.07.01.03</t>
  </si>
  <si>
    <t>Giảng viên cao cấp (hạng I)</t>
  </si>
  <si>
    <t>Giảng viên (hạng III)</t>
  </si>
  <si>
    <t>Giảng viên chính (hạng II)</t>
  </si>
  <si>
    <t>Ma so</t>
  </si>
  <si>
    <t>ĐỦ ĐIỀU KIỆN, TIÊU CHUẨN NÂNG LƯƠNG</t>
  </si>
  <si>
    <t>người lao động</t>
  </si>
  <si>
    <t xml:space="preserve"> CC, VC và NLĐ</t>
  </si>
  <si>
    <t>viên chức</t>
  </si>
  <si>
    <t>CC-VC-NLĐ</t>
  </si>
  <si>
    <t>CHÈN ĐIỀU CUỐI QĐ</t>
  </si>
  <si>
    <t xml:space="preserve">        và trên Website Học viện Hành chính Quốc gia.</t>
  </si>
  <si>
    <t xml:space="preserve">        (người tiếp nhận: Vũ Thị Hồng Diệp, ĐT: 0438 359 295/ 01687.02.55.99).</t>
  </si>
  <si>
    <t>Hệ số</t>
  </si>
  <si>
    <r>
      <t xml:space="preserve">        - Các ý kiến thắc mắc liên quan (nếu có), đề nghị phản hồi tới Ban Tổ chức - Cán bộ trước ngày</t>
    </r>
    <r>
      <rPr>
        <b/>
        <sz val="12"/>
        <rFont val="Arial Narrow"/>
        <family val="2"/>
      </rPr>
      <t xml:space="preserve"> 21/01</t>
    </r>
    <r>
      <rPr>
        <b/>
        <sz val="12"/>
        <color indexed="12"/>
        <rFont val="Arial Narrow"/>
        <family val="2"/>
      </rPr>
      <t>/2018</t>
    </r>
  </si>
  <si>
    <t>Bậc</t>
  </si>
  <si>
    <t>Mức</t>
  </si>
  <si>
    <t>Dieu 2</t>
  </si>
  <si>
    <t>CC, VC, NLĐ</t>
  </si>
  <si>
    <t>yy2</t>
  </si>
  <si>
    <t>mm2</t>
  </si>
  <si>
    <t>yy1</t>
  </si>
  <si>
    <t>mm1</t>
  </si>
  <si>
    <t>Hso 1</t>
  </si>
  <si>
    <t>Ngạch / CDNN</t>
  </si>
  <si>
    <t>Ten CDNN</t>
  </si>
  <si>
    <t>DV2</t>
  </si>
  <si>
    <t>DV1</t>
  </si>
  <si>
    <t>Ten</t>
  </si>
  <si>
    <t>Gtinh</t>
  </si>
  <si>
    <t>VK1</t>
  </si>
  <si>
    <t>Hso 2
-VK2</t>
  </si>
  <si>
    <r>
      <rPr>
        <b/>
        <sz val="12"/>
        <rFont val="Arial Narrow"/>
        <family val="2"/>
      </rPr>
      <t xml:space="preserve">* </t>
    </r>
    <r>
      <rPr>
        <b/>
        <u/>
        <sz val="12"/>
        <rFont val="Arial Narrow"/>
        <family val="2"/>
      </rPr>
      <t>Lưu ý</t>
    </r>
    <r>
      <rPr>
        <sz val="12"/>
        <rFont val="Arial Narrow"/>
        <family val="2"/>
      </rPr>
      <t xml:space="preserve">:  - Danh sách này được niêm yết công khai trên bảng tin nhà A tại trụ sở Học viện ở Hà Nội, bảng tin tại các  cơ sở, </t>
    </r>
  </si>
  <si>
    <t xml:space="preserve">                      phân viện thuộc Học viện và đăng tải trên Website Học viện Hành chính Quốc gia;</t>
  </si>
  <si>
    <t xml:space="preserve">         phân viện thuộc Học viện và đăng tải trên Website Học viện Hành chính Quốc gia;</t>
  </si>
  <si>
    <r>
      <t xml:space="preserve"> </t>
    </r>
    <r>
      <rPr>
        <b/>
        <sz val="12"/>
        <rFont val="Arial Narrow"/>
        <family val="2"/>
      </rPr>
      <t xml:space="preserve">* </t>
    </r>
    <r>
      <rPr>
        <b/>
        <u/>
        <sz val="12"/>
        <rFont val="Arial Narrow"/>
        <family val="2"/>
      </rPr>
      <t>Lưu ý:</t>
    </r>
    <r>
      <rPr>
        <b/>
        <sz val="12"/>
        <rFont val="Arial Narrow"/>
        <family val="2"/>
      </rPr>
      <t xml:space="preserve">   </t>
    </r>
    <r>
      <rPr>
        <sz val="12"/>
        <rFont val="Arial Narrow"/>
        <family val="2"/>
      </rPr>
      <t>- Danh sách này được niêm yết công khai trên bảng tin nhà A tại trụ sở Học viện ở Hà Nội, tại các cơ sở,</t>
    </r>
  </si>
  <si>
    <t>CC/ VC/ NLĐ</t>
  </si>
  <si>
    <t>Mức
PC
TNVK</t>
  </si>
  <si>
    <t>Số tháng</t>
  </si>
  <si>
    <t>Số
TT</t>
  </si>
  <si>
    <t>Họ tên</t>
  </si>
  <si>
    <t>Giới tính</t>
  </si>
  <si>
    <t>Đơn vị</t>
  </si>
  <si>
    <t>Kể từ ngày 01 tháng</t>
  </si>
  <si>
    <t>PCTN 
hiện hưởng</t>
  </si>
  <si>
    <t>Thời gian kéo dài/ không tính vào thời gian xét nâng lương</t>
  </si>
  <si>
    <t>Thời gian không tính vào thời gian tính hưởng PCTN</t>
  </si>
  <si>
    <t>PCTN xét nâng</t>
  </si>
  <si>
    <t>Lương/ PCTNVK
hiện hưởng</t>
  </si>
  <si>
    <t>Hệ số lương/ PCTNVK</t>
  </si>
  <si>
    <t>Lý do kéo dài/ không tính</t>
  </si>
  <si>
    <t>Lý do không tính</t>
  </si>
  <si>
    <t>Lương/ PCTNVK
xét nâng, hưởng</t>
  </si>
  <si>
    <t>Ngạch/CDNN
 và mã số</t>
  </si>
  <si>
    <t>Chức danh nghề nghiệp
 và mã số</t>
  </si>
  <si>
    <t>Phó Trưởng phòng</t>
  </si>
  <si>
    <t>Phòng Bồi dưỡng cán bộ, công chức, viên chức,</t>
  </si>
  <si>
    <t>Ban Quản lý bồi dưỡng</t>
  </si>
  <si>
    <t>1982</t>
  </si>
  <si>
    <t>Phòng Đào tạo chuyển đổi để thi cao học,</t>
  </si>
  <si>
    <t>Bộ môn quản lý và phát triển tổ chức bộ máy</t>
  </si>
  <si>
    <t>Khoa Khoa học hành chính và Tổ chức nhân sự</t>
  </si>
  <si>
    <t>Bộ môn Tổ chức bộ máy,</t>
  </si>
  <si>
    <t>Khoa Quản lý nhà nước về Xã hội</t>
  </si>
  <si>
    <t>Ban Quản lý đào tạo Sau đại học</t>
  </si>
  <si>
    <t>Trung tâm Ngoại ngữ - Tin học và Thông tin - Thư viện</t>
  </si>
  <si>
    <t>1977</t>
  </si>
  <si>
    <t>22</t>
  </si>
  <si>
    <t>Phân viện Học viện Hành chính Quốc gia tại thành phố Huế</t>
  </si>
  <si>
    <t>Phân viện Học viện Hành chính Quốc gia khu vực Tây Nguyên</t>
  </si>
  <si>
    <t>28</t>
  </si>
  <si>
    <t>Phòng Tài vụ - Kế toán,</t>
  </si>
  <si>
    <t>Phân viện Học viện Hành chính Quốc gia tại Thành phố Hồ Chí Minh</t>
  </si>
  <si>
    <t>Bộ môn Nhà nước và Pháp luật,</t>
  </si>
  <si>
    <t>Trưởng bộ môn</t>
  </si>
  <si>
    <t>Khoa Nhà nước - Pháp luật và Lý luận cơ sở</t>
  </si>
  <si>
    <t>Khoa Quản lý nhà nước về Kinh tế và Tài chính công</t>
  </si>
  <si>
    <t>Phó Trưởng khoa</t>
  </si>
  <si>
    <t>Bộ môn Quản lý nhà nước về Xã hội,</t>
  </si>
  <si>
    <t>CN</t>
  </si>
  <si>
    <t>PHÓ TRƯỞNG BAN</t>
  </si>
  <si>
    <t>TRƯỞNG BAN THƯ KÝ HỘI ĐỒNG LƯƠNG
Nguyễn Tiến Đạo</t>
  </si>
  <si>
    <r>
      <t xml:space="preserve">TRƯỞNG BAN THƯ KÝ HỘI ĐỒNG LƯƠNG
</t>
    </r>
    <r>
      <rPr>
        <b/>
        <sz val="13"/>
        <rFont val="Arial Narrow"/>
        <family val="2"/>
      </rPr>
      <t>Nguyễn Tiến Đạo</t>
    </r>
  </si>
  <si>
    <t>1973</t>
  </si>
  <si>
    <t>Khoa Đào tạo, bồi dưỡng công chức và Tại chức</t>
  </si>
  <si>
    <t>07</t>
  </si>
  <si>
    <t>Khoa Tổ chức và Quản lý nhân sự</t>
  </si>
  <si>
    <t>Bộ môn Khoa học chính trị,</t>
  </si>
  <si>
    <t>Khoa Lý luận cơ sở</t>
  </si>
  <si>
    <t>Bộ môn Chính trị học,</t>
  </si>
  <si>
    <t>23</t>
  </si>
  <si>
    <t>Bộ môn Nguyên lý Kinh tế,</t>
  </si>
  <si>
    <t>Khoa Quản lý nhà nước về Kinh tế</t>
  </si>
  <si>
    <t>Bộ môn Quản lý nhà nước về Đô thị</t>
  </si>
  <si>
    <t>Khoa Quản lý nhà nước về Đô thị và Nông thôn</t>
  </si>
  <si>
    <t>Phòng Đào tạo đại học,</t>
  </si>
  <si>
    <t>Phòng Quản lý đào tạo và Phát triển nhân lực hành chính</t>
  </si>
  <si>
    <t>TỔNG CỘNG:</t>
  </si>
  <si>
    <t>Ban Đào tạo</t>
  </si>
  <si>
    <t>24</t>
  </si>
  <si>
    <t>Phó Trưởng ban (cấp phòng)</t>
  </si>
  <si>
    <t>Ban Biên tập,</t>
  </si>
  <si>
    <t>Tạp chí Quản lý nhà nước</t>
  </si>
  <si>
    <t>17.141</t>
  </si>
  <si>
    <t>Phòng Quản lý khoa học và Đào tạo,</t>
  </si>
  <si>
    <t>Viện Nghiên cứu Khoa học hành chính</t>
  </si>
  <si>
    <t>Trung tâm Tư liệu và Thông tin khoa học hành chính,</t>
  </si>
  <si>
    <t>26</t>
  </si>
  <si>
    <t>Cơ sở Học viện Hành chính Quốc gia khu vực miền Trung</t>
  </si>
  <si>
    <t>Khoa Lý luận cơ sở và Quản lý nhà nước,</t>
  </si>
  <si>
    <t>Phân viện khu vực Tây Nguyên</t>
  </si>
  <si>
    <t>05</t>
  </si>
  <si>
    <t xml:space="preserve">Bộ môn Quản lý nhà nước về Kinh tế, </t>
  </si>
  <si>
    <t>Cơ sở Học viện Hành chính Quốc gia tại Thành phố Hồ Chí Minh</t>
  </si>
  <si>
    <t>Trung tâm Ngoại ngữ - Tin học,</t>
  </si>
  <si>
    <t>1962</t>
  </si>
  <si>
    <t>Nhân viên kỹ thuật</t>
  </si>
  <si>
    <t>Văn phòng,</t>
  </si>
  <si>
    <t>Ko hạn</t>
  </si>
  <si>
    <t>Phòng Tổ chức - Hành chính,</t>
  </si>
  <si>
    <t>Lái xe cơ quan</t>
  </si>
  <si>
    <t>Bộ môn Ngoại ngữ</t>
  </si>
  <si>
    <t>Phạm Thị Thanh Huyền</t>
  </si>
  <si>
    <t>Khoa Nhà nước và Pháp luật</t>
  </si>
  <si>
    <t>08</t>
  </si>
  <si>
    <t>Khoa Quản lý Tài chính công</t>
  </si>
  <si>
    <t>Khuất Việt Hải</t>
  </si>
  <si>
    <t>Bộ môn Quản lý ngân sách nhà nước,</t>
  </si>
  <si>
    <t>21</t>
  </si>
  <si>
    <t>Bộ môn Khoa học hành chính và Tổ chức nhân sự</t>
  </si>
  <si>
    <t>Bộ môn Ngoại ngữ,</t>
  </si>
  <si>
    <t>Nguyễn Đăng Quế</t>
  </si>
  <si>
    <t>1965</t>
  </si>
  <si>
    <t>công chức</t>
  </si>
  <si>
    <t>Phó Giám đốc Học viện</t>
  </si>
  <si>
    <t>Xếp lại PC 12/2014</t>
  </si>
  <si>
    <t>V.07.01.02</t>
  </si>
  <si>
    <t>Hà Thị Nga</t>
  </si>
  <si>
    <t>19</t>
  </si>
  <si>
    <t>1975</t>
  </si>
  <si>
    <t>Phòng Đào tạo, bồi dưỡng theo chức danh,</t>
  </si>
  <si>
    <t>Trần Thị Kim Khánh</t>
  </si>
  <si>
    <t>Lê Thị Vân Hạnh</t>
  </si>
  <si>
    <t>Nguyên phó Giám đốc Học viện</t>
  </si>
  <si>
    <t>Cộng NAM:</t>
  </si>
  <si>
    <t xml:space="preserve">PGS </t>
  </si>
  <si>
    <t>2009</t>
  </si>
  <si>
    <t>Lê Thị Hương</t>
  </si>
  <si>
    <t>Nguyên Trưởng khoa</t>
  </si>
  <si>
    <t>V.07.01.01</t>
  </si>
  <si>
    <t>15.110</t>
  </si>
  <si>
    <t>Trùng tên</t>
  </si>
  <si>
    <t>Lê Thị Hương 59</t>
  </si>
  <si>
    <t>Phạm Thu Thủy</t>
  </si>
  <si>
    <t>Trần Thị Hương Huế</t>
  </si>
  <si>
    <t xml:space="preserve">Bộ môn Văn bản hành chính, </t>
  </si>
  <si>
    <t>xếp tháng 8/2016</t>
  </si>
  <si>
    <t>Bùi Thị Huệ</t>
  </si>
  <si>
    <t xml:space="preserve">  </t>
  </si>
  <si>
    <t>Bà</t>
  </si>
  <si>
    <t>Vũ Thị Thu Phương</t>
  </si>
  <si>
    <t>VC</t>
  </si>
  <si>
    <t>Phòng Kế hoạch - Tổng hợp Hợp tác quốc tế,</t>
  </si>
  <si>
    <t>Ban Hợp tác quốc tế</t>
  </si>
  <si>
    <t>A1</t>
  </si>
  <si>
    <t>- - -</t>
  </si>
  <si>
    <t>Lương</t>
  </si>
  <si>
    <t>Ông</t>
  </si>
  <si>
    <t>Tống Đăng Hưng</t>
  </si>
  <si>
    <t>CVụ</t>
  </si>
  <si>
    <t>A3</t>
  </si>
  <si>
    <t>A3.1</t>
  </si>
  <si>
    <t>Chuyên viên cao cấp</t>
  </si>
  <si>
    <t>01.001</t>
  </si>
  <si>
    <t>Nguyễn Thị Ngân</t>
  </si>
  <si>
    <t>25</t>
  </si>
  <si>
    <t>1974</t>
  </si>
  <si>
    <t>Phòng Quản lý đào tạo Thạc sĩ,</t>
  </si>
  <si>
    <t>A2</t>
  </si>
  <si>
    <t>A2.1</t>
  </si>
  <si>
    <t>Đinh Thị Nguyệt</t>
  </si>
  <si>
    <t>Bộ môn Khoa học đại cương,</t>
  </si>
  <si>
    <t>Nguyễn Hoàng Quy</t>
  </si>
  <si>
    <t>1969</t>
  </si>
  <si>
    <t>Hoàng Ngọc Âu</t>
  </si>
  <si>
    <t>Bộ môn Chính sách tài chính quốc gia,</t>
  </si>
  <si>
    <t>Đặng Thị Minh</t>
  </si>
  <si>
    <t>Bộ môn Văn hóa - Giáo dục - Y tế,</t>
  </si>
  <si>
    <t>T</t>
  </si>
  <si>
    <t>Nguyễn Thu Phương</t>
  </si>
  <si>
    <t>NLĐ</t>
  </si>
  <si>
    <t>Trần Văn Tiến</t>
  </si>
  <si>
    <t>Bộ môn Quản lý nhà nước về Tài nguyên và Môi trường</t>
  </si>
  <si>
    <t>Phan Thị Thu Thủy</t>
  </si>
  <si>
    <t>1971</t>
  </si>
  <si>
    <t>Lương Văn Đăng</t>
  </si>
  <si>
    <t>nghỉ không lương từ 29/1/2018-29/4/2018</t>
  </si>
  <si>
    <t>Ngô Thị Phương Anh</t>
  </si>
  <si>
    <t>Phòng Đào tạo tại chức,</t>
  </si>
  <si>
    <t>Nguyễn Quỳnh Hoa</t>
  </si>
  <si>
    <t>Đặng Hương Ly</t>
  </si>
  <si>
    <t>Phòng Giáo dục thể chất - Chính trị và Quản lý sinh viên,</t>
  </si>
  <si>
    <t>Nguyễn Thị Hồng Ngọc</t>
  </si>
  <si>
    <t>0,4</t>
  </si>
  <si>
    <t>Biên tập viên chính</t>
  </si>
  <si>
    <t>17.140</t>
  </si>
  <si>
    <t>Hoàng Thị Trang</t>
  </si>
  <si>
    <t>06</t>
  </si>
  <si>
    <t>Lê Kim Nga</t>
  </si>
  <si>
    <t>Trưởng ban (cấp phòng)</t>
  </si>
  <si>
    <t>0,6</t>
  </si>
  <si>
    <t>Ban Thư ký - Trị sự,</t>
  </si>
  <si>
    <t>Nguyễn Hồng Vân</t>
  </si>
  <si>
    <t>Nguyễn Hữu Linh</t>
  </si>
  <si>
    <t>Phạm Thị Quyến</t>
  </si>
  <si>
    <t>Phòng Hành chính - Tổng hợp,</t>
  </si>
  <si>
    <t>Văn phòng Học viện</t>
  </si>
  <si>
    <t>Thư viện viên hạng III</t>
  </si>
  <si>
    <t>V.10.02.06</t>
  </si>
  <si>
    <t>Bác sĩ (hạng III)</t>
  </si>
  <si>
    <t>V.08.01.03</t>
  </si>
  <si>
    <t xml:space="preserve">Lê Văn Dự </t>
  </si>
  <si>
    <t>Q. Trưởng phòng</t>
  </si>
  <si>
    <t>Phòng Hành chính - Tổ chức - Tổng hợp,</t>
  </si>
  <si>
    <t>Nguyễn Thị Lý</t>
  </si>
  <si>
    <t>- -</t>
  </si>
  <si>
    <t>C</t>
  </si>
  <si>
    <t>Nhân viên</t>
  </si>
  <si>
    <t>01.005</t>
  </si>
  <si>
    <t>Nhân viên phục vụ</t>
  </si>
  <si>
    <t>01.009</t>
  </si>
  <si>
    <t>Nguyễn Thị Thanh Thảo</t>
  </si>
  <si>
    <t>01.007</t>
  </si>
  <si>
    <t>Bùi Minh Lựa</t>
  </si>
  <si>
    <t>Nhân viên bảo vệ</t>
  </si>
  <si>
    <t>01.011</t>
  </si>
  <si>
    <t xml:space="preserve">Nguyễn Thị Thu Hòa </t>
  </si>
  <si>
    <t>04</t>
  </si>
  <si>
    <t>Phan Thị Kim Phương</t>
  </si>
  <si>
    <t>Nguyễn Tự Do</t>
  </si>
  <si>
    <t>16</t>
  </si>
  <si>
    <t>Phòng Đào tạo,</t>
  </si>
  <si>
    <t>Hoàng Tử Anh</t>
  </si>
  <si>
    <t>Vũ Thị Thu Trang</t>
  </si>
  <si>
    <t>18</t>
  </si>
  <si>
    <t>Phó Đức Quang</t>
  </si>
  <si>
    <t>01.010</t>
  </si>
  <si>
    <t>II</t>
  </si>
  <si>
    <t>ĐỦ ĐIỀU KIỆN, TIÊU CHUẨN XÉT HƯỞNG, NÂNG PHỤ CẤP THÂM NIÊN VƯỢT KHUNG</t>
  </si>
  <si>
    <t>Trần Thị Xuyên</t>
  </si>
  <si>
    <t>BAN TỔ CHỨC CÁN BỘ</t>
  </si>
  <si>
    <t xml:space="preserve">Hà Nội, ngày 16 tháng 7 năm 2018 </t>
  </si>
  <si>
    <r>
      <t>DANH SÁCH NHÀ GIÁO THUỘC HỌC VIỆN HÀNH CHÍNH QUỐC GIA ĐỦ ĐIỀU KIỆN XÉT NÂNG PHỤ CẤP THÂM NIÊN 
TRONG THÁNG 7</t>
    </r>
    <r>
      <rPr>
        <b/>
        <sz val="12"/>
        <color rgb="FF0000FF"/>
        <rFont val="Arial"/>
        <family val="2"/>
      </rPr>
      <t xml:space="preserve"> NĂM 2018</t>
    </r>
  </si>
  <si>
    <r>
      <t xml:space="preserve">                      - Các ý kiến thắc mắc liên quan (nếu có), đề nghị phản hồi tới Ban Tổ chức cán bộ hạn cuối vào ngày</t>
    </r>
    <r>
      <rPr>
        <sz val="12"/>
        <color rgb="FF0000FF"/>
        <rFont val="Arial Narrow"/>
        <family val="2"/>
      </rPr>
      <t xml:space="preserve"> 26</t>
    </r>
    <r>
      <rPr>
        <b/>
        <sz val="12"/>
        <color rgb="FF0000FF"/>
        <rFont val="Arial Narrow"/>
        <family val="2"/>
      </rPr>
      <t>/7/2018</t>
    </r>
  </si>
  <si>
    <t xml:space="preserve">                       (người tiếp nhận: Lê Thị Thu, ĐT: 0438 359 295/ 0919.64.84.85).</t>
  </si>
  <si>
    <t xml:space="preserve">Hà Nội, ngày 16  tháng 7 năm 2018 </t>
  </si>
  <si>
    <r>
      <t xml:space="preserve">        - Các ý kiến thắc mắc liên quan (nếu có), đề nghị phản hồi tới Ban Tổ chức cán bộ hạn cuối vào ngày</t>
    </r>
    <r>
      <rPr>
        <b/>
        <sz val="12"/>
        <rFont val="Arial Narrow"/>
        <family val="2"/>
      </rPr>
      <t xml:space="preserve"> </t>
    </r>
    <r>
      <rPr>
        <b/>
        <sz val="12"/>
        <color rgb="FF0000FF"/>
        <rFont val="Arial Narrow"/>
        <family val="2"/>
      </rPr>
      <t>26/7/2018</t>
    </r>
  </si>
  <si>
    <t xml:space="preserve">        (người tiếp nhận: Lê Thị Thu, ĐT: 0438 359 295/ 0919.64.84.85).</t>
  </si>
  <si>
    <r>
      <t xml:space="preserve">DANH SÁCH CÔNG CHỨC, VIÊN CHỨC VÀ NGƯỜI LAO ĐỘNG THUỘC HỌC VIỆN HÀNH CHÍNH QUỐC GIA
ĐỦ ĐIỀU KIỆN, TIÊU CHUẨN XÉT NÂNG BẬC LƯƠNG THƯỜNG XUYÊN, XÉT HƯỞNG, NÂNG PHỤ CẤP THÂM NIÊN VƯỢT KHUNG
TRONG THÁNG 7 </t>
    </r>
    <r>
      <rPr>
        <b/>
        <sz val="12"/>
        <color rgb="FF0000FF"/>
        <rFont val="Arial Narrow"/>
        <family val="2"/>
      </rPr>
      <t>NĂM 2018</t>
    </r>
  </si>
  <si>
    <r>
      <t>ĐỦ ĐIỀU KIỆN, TIÊU CHUẨN XÉT NÂNG BẬC LƯƠNG THƯỜNG XUYÊN: 33</t>
    </r>
    <r>
      <rPr>
        <b/>
        <sz val="10"/>
        <color rgb="FF0000FF"/>
        <rFont val="Arial Narrow"/>
        <family val="2"/>
      </rPr>
      <t xml:space="preserve"> TRƯỜNG HỢP </t>
    </r>
  </si>
  <si>
    <t xml:space="preserve">PHÓ TRƯỞNG BAN </t>
  </si>
</sst>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0"/>
      <name val="Arial"/>
    </font>
    <font>
      <b/>
      <sz val="10"/>
      <name val="Arial"/>
      <family val="2"/>
    </font>
    <font>
      <sz val="10"/>
      <name val="Arial"/>
      <family val="2"/>
    </font>
    <font>
      <sz val="9"/>
      <name val="Arial"/>
      <family val="2"/>
    </font>
    <font>
      <sz val="12"/>
      <name val="Arial"/>
      <family val="2"/>
    </font>
    <font>
      <b/>
      <sz val="12"/>
      <name val="Arial"/>
      <family val="2"/>
    </font>
    <font>
      <i/>
      <sz val="10"/>
      <name val="Arial"/>
      <family val="2"/>
    </font>
    <font>
      <b/>
      <sz val="13"/>
      <name val="Arial"/>
      <family val="2"/>
    </font>
    <font>
      <b/>
      <sz val="11"/>
      <name val="Arial"/>
      <family val="2"/>
    </font>
    <font>
      <b/>
      <sz val="13"/>
      <name val="Arial Narrow"/>
      <family val="2"/>
    </font>
    <font>
      <b/>
      <sz val="13"/>
      <color indexed="12"/>
      <name val="Arial Narrow"/>
      <family val="2"/>
    </font>
    <font>
      <b/>
      <sz val="10"/>
      <name val="Arial Narrow"/>
      <family val="2"/>
    </font>
    <font>
      <b/>
      <sz val="8"/>
      <name val="Arial Narrow"/>
      <family val="2"/>
    </font>
    <font>
      <b/>
      <sz val="12"/>
      <name val="Arial Narrow"/>
      <family val="2"/>
    </font>
    <font>
      <sz val="12"/>
      <name val="Arial Narrow"/>
      <family val="2"/>
    </font>
    <font>
      <b/>
      <sz val="12"/>
      <color indexed="12"/>
      <name val="Arial Narrow"/>
      <family val="2"/>
    </font>
    <font>
      <sz val="8"/>
      <name val="Arial Narrow"/>
      <family val="2"/>
    </font>
    <font>
      <b/>
      <sz val="8"/>
      <color indexed="12"/>
      <name val="Arial Narrow"/>
      <family val="2"/>
    </font>
    <font>
      <sz val="8"/>
      <color indexed="12"/>
      <name val="Arial Narrow"/>
      <family val="2"/>
    </font>
    <font>
      <b/>
      <sz val="9"/>
      <name val="Arial Narrow"/>
      <family val="2"/>
    </font>
    <font>
      <sz val="9"/>
      <name val="Arial Narrow"/>
      <family val="2"/>
    </font>
    <font>
      <b/>
      <sz val="11"/>
      <name val="Arial Narrow"/>
      <family val="2"/>
    </font>
    <font>
      <sz val="10"/>
      <name val="Arial Narrow"/>
      <family val="2"/>
    </font>
    <font>
      <sz val="8"/>
      <color indexed="10"/>
      <name val="Arial Narrow"/>
      <family val="2"/>
    </font>
    <font>
      <sz val="9"/>
      <color indexed="13"/>
      <name val="Arial Narrow"/>
      <family val="2"/>
    </font>
    <font>
      <sz val="11"/>
      <name val="Arial Narrow"/>
      <family val="2"/>
    </font>
    <font>
      <sz val="12"/>
      <color indexed="12"/>
      <name val="Arial Narrow"/>
      <family val="2"/>
    </font>
    <font>
      <b/>
      <i/>
      <sz val="11"/>
      <name val="Arial Narrow"/>
      <family val="2"/>
    </font>
    <font>
      <i/>
      <sz val="12"/>
      <name val="Arial Narrow"/>
      <family val="2"/>
    </font>
    <font>
      <i/>
      <sz val="13"/>
      <color indexed="12"/>
      <name val="Arial Narrow"/>
      <family val="2"/>
    </font>
    <font>
      <b/>
      <i/>
      <sz val="12"/>
      <color indexed="9"/>
      <name val="Arial Narrow"/>
      <family val="2"/>
    </font>
    <font>
      <sz val="11"/>
      <color theme="0"/>
      <name val="Arial Narrow"/>
      <family val="2"/>
    </font>
    <font>
      <b/>
      <u/>
      <sz val="12"/>
      <name val="Arial Narrow"/>
      <family val="2"/>
    </font>
    <font>
      <sz val="12"/>
      <color indexed="8"/>
      <name val="Arial Narrow"/>
      <family val="2"/>
    </font>
    <font>
      <sz val="12"/>
      <color indexed="13"/>
      <name val="Arial Narrow"/>
      <family val="2"/>
    </font>
    <font>
      <sz val="12"/>
      <color indexed="58"/>
      <name val="Arial Narrow"/>
      <family val="2"/>
    </font>
    <font>
      <sz val="12"/>
      <color indexed="16"/>
      <name val="Arial Narrow"/>
      <family val="2"/>
    </font>
    <font>
      <b/>
      <sz val="12"/>
      <color rgb="FF0000FF"/>
      <name val="Arial"/>
      <family val="2"/>
    </font>
    <font>
      <b/>
      <sz val="10"/>
      <color theme="0"/>
      <name val="Arial Narrow"/>
      <family val="2"/>
    </font>
    <font>
      <sz val="10"/>
      <color theme="0"/>
      <name val="Arial Narrow"/>
      <family val="2"/>
    </font>
    <font>
      <b/>
      <sz val="12"/>
      <color theme="0"/>
      <name val="Arial"/>
      <family val="2"/>
    </font>
    <font>
      <sz val="12"/>
      <color theme="0"/>
      <name val="Arial Narrow"/>
      <family val="2"/>
    </font>
    <font>
      <i/>
      <sz val="12"/>
      <color theme="0"/>
      <name val="Arial Narrow"/>
      <family val="2"/>
    </font>
    <font>
      <b/>
      <sz val="13"/>
      <color theme="0"/>
      <name val="Arial"/>
      <family val="2"/>
    </font>
    <font>
      <b/>
      <sz val="12"/>
      <color rgb="FF0000FF"/>
      <name val="Arial Narrow"/>
      <family val="2"/>
    </font>
    <font>
      <sz val="12"/>
      <color rgb="FF0000FF"/>
      <name val="Arial Narrow"/>
      <family val="2"/>
    </font>
    <font>
      <i/>
      <sz val="12"/>
      <color rgb="FF0000FF"/>
      <name val="Arial Narrow"/>
      <family val="2"/>
    </font>
    <font>
      <sz val="10"/>
      <color rgb="FF0000FF"/>
      <name val="Arial Narrow"/>
      <family val="2"/>
    </font>
    <font>
      <b/>
      <sz val="10"/>
      <color rgb="FF0000FF"/>
      <name val="Arial Narrow"/>
      <family val="2"/>
    </font>
    <font>
      <i/>
      <sz val="10"/>
      <name val="Arial Narrow"/>
      <family val="2"/>
    </font>
    <font>
      <i/>
      <sz val="11"/>
      <name val="Arial Narrow"/>
      <family val="2"/>
    </font>
    <font>
      <b/>
      <sz val="10"/>
      <color indexed="9"/>
      <name val="Arial Narrow"/>
      <family val="2"/>
    </font>
    <font>
      <sz val="13"/>
      <name val="Arial Narrow"/>
      <family val="2"/>
    </font>
    <font>
      <b/>
      <i/>
      <sz val="12"/>
      <color theme="0"/>
      <name val="Arial Narrow"/>
      <family val="2"/>
    </font>
    <font>
      <i/>
      <sz val="10"/>
      <color theme="0"/>
      <name val="Arial"/>
      <family val="2"/>
    </font>
    <font>
      <sz val="10"/>
      <color theme="0"/>
      <name val="Arial"/>
      <family val="2"/>
    </font>
    <font>
      <b/>
      <i/>
      <sz val="12"/>
      <color rgb="FF0000FF"/>
      <name val="Arial Narrow"/>
      <family val="2"/>
    </font>
    <font>
      <b/>
      <i/>
      <sz val="12"/>
      <color rgb="FF0000FF"/>
      <name val="Arial"/>
      <family val="2"/>
    </font>
    <font>
      <sz val="11"/>
      <color rgb="FF0000FF"/>
      <name val="Arial Narrow"/>
      <family val="2"/>
    </font>
    <font>
      <sz val="11"/>
      <color indexed="8"/>
      <name val="Arial Narrow"/>
      <family val="2"/>
    </font>
    <font>
      <sz val="11"/>
      <color rgb="FF800000"/>
      <name val="Arial Narrow"/>
      <family val="2"/>
    </font>
    <font>
      <sz val="11"/>
      <color indexed="58"/>
      <name val="Arial Narrow"/>
      <family val="2"/>
    </font>
    <font>
      <b/>
      <sz val="11"/>
      <color indexed="12"/>
      <name val="Arial Narrow"/>
      <family val="2"/>
    </font>
    <font>
      <sz val="11"/>
      <color indexed="9"/>
      <name val="Arial Narrow"/>
      <family val="2"/>
    </font>
    <font>
      <sz val="11"/>
      <color rgb="FFFF0000"/>
      <name val="Arial Narrow"/>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dotted">
        <color indexed="64"/>
      </left>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double">
        <color indexed="64"/>
      </bottom>
      <diagonal/>
    </border>
    <border>
      <left style="dotted">
        <color indexed="64"/>
      </left>
      <right style="thin">
        <color indexed="64"/>
      </right>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839">
    <xf numFmtId="0" fontId="0" fillId="0" borderId="0" xfId="0"/>
    <xf numFmtId="1" fontId="4" fillId="2" borderId="0" xfId="0" applyNumberFormat="1" applyFont="1" applyFill="1" applyBorder="1" applyAlignment="1"/>
    <xf numFmtId="0" fontId="9" fillId="2" borderId="0" xfId="0" applyFont="1" applyFill="1" applyBorder="1" applyAlignment="1">
      <alignment horizontal="center" wrapText="1"/>
    </xf>
    <xf numFmtId="0" fontId="11"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xf>
    <xf numFmtId="0" fontId="16" fillId="0" borderId="0" xfId="0" applyFont="1" applyAlignment="1">
      <alignment vertical="center"/>
    </xf>
    <xf numFmtId="0" fontId="17" fillId="2" borderId="1" xfId="0" applyNumberFormat="1" applyFont="1" applyFill="1" applyBorder="1" applyAlignment="1">
      <alignment horizontal="center" vertical="center" wrapText="1"/>
    </xf>
    <xf numFmtId="0" fontId="16" fillId="0" borderId="0" xfId="0" applyFont="1" applyAlignment="1">
      <alignment horizontal="center" vertical="center"/>
    </xf>
    <xf numFmtId="0" fontId="16" fillId="2" borderId="0" xfId="0" applyFont="1" applyFill="1" applyAlignment="1">
      <alignment vertical="center"/>
    </xf>
    <xf numFmtId="0" fontId="16" fillId="2" borderId="0" xfId="0" applyFont="1" applyFill="1" applyAlignment="1">
      <alignment horizontal="center" vertical="center"/>
    </xf>
    <xf numFmtId="0" fontId="16" fillId="2" borderId="7" xfId="0" applyNumberFormat="1" applyFont="1" applyFill="1" applyBorder="1" applyAlignment="1">
      <alignment horizontal="center" vertical="center" wrapText="1"/>
    </xf>
    <xf numFmtId="2" fontId="16" fillId="2" borderId="1" xfId="0" applyNumberFormat="1" applyFont="1" applyFill="1" applyBorder="1" applyAlignment="1">
      <alignment horizontal="left" vertical="center"/>
    </xf>
    <xf numFmtId="1" fontId="16" fillId="2" borderId="1" xfId="0" applyNumberFormat="1" applyFont="1" applyFill="1" applyBorder="1" applyAlignment="1">
      <alignment horizontal="center" vertical="center" wrapText="1"/>
    </xf>
    <xf numFmtId="1" fontId="12" fillId="2" borderId="7" xfId="0" applyNumberFormat="1" applyFont="1" applyFill="1" applyBorder="1" applyAlignment="1">
      <alignment horizontal="right" vertical="center"/>
    </xf>
    <xf numFmtId="0" fontId="18" fillId="2" borderId="1" xfId="0" applyFont="1" applyFill="1" applyBorder="1" applyAlignment="1">
      <alignment vertical="center"/>
    </xf>
    <xf numFmtId="2" fontId="18" fillId="2" borderId="1" xfId="0" applyNumberFormat="1" applyFont="1" applyFill="1" applyBorder="1" applyAlignment="1">
      <alignment horizontal="center" vertical="center"/>
    </xf>
    <xf numFmtId="0" fontId="16" fillId="2" borderId="0" xfId="0" applyFont="1" applyFill="1" applyAlignment="1">
      <alignment horizontal="left" vertical="center"/>
    </xf>
    <xf numFmtId="0" fontId="16" fillId="0" borderId="0" xfId="0" applyFont="1" applyBorder="1" applyAlignment="1">
      <alignment vertical="center"/>
    </xf>
    <xf numFmtId="0" fontId="16" fillId="2" borderId="0" xfId="0" applyFont="1" applyFill="1" applyBorder="1" applyAlignment="1">
      <alignment horizontal="left" vertical="center"/>
    </xf>
    <xf numFmtId="2" fontId="16" fillId="2" borderId="0" xfId="0" applyNumberFormat="1" applyFont="1" applyFill="1" applyAlignment="1">
      <alignment horizontal="center" vertical="center"/>
    </xf>
    <xf numFmtId="2" fontId="16" fillId="2" borderId="0" xfId="0" applyNumberFormat="1" applyFont="1" applyFill="1" applyAlignment="1">
      <alignment vertical="center"/>
    </xf>
    <xf numFmtId="49" fontId="16" fillId="0" borderId="0" xfId="0" applyNumberFormat="1" applyFont="1" applyAlignment="1">
      <alignment vertical="center"/>
    </xf>
    <xf numFmtId="1" fontId="12" fillId="2" borderId="0" xfId="0" applyNumberFormat="1" applyFont="1" applyFill="1" applyAlignment="1">
      <alignment horizontal="center" vertical="center"/>
    </xf>
    <xf numFmtId="0" fontId="16" fillId="0" borderId="0" xfId="0" applyNumberFormat="1" applyFont="1" applyAlignment="1">
      <alignment vertical="center"/>
    </xf>
    <xf numFmtId="2" fontId="16" fillId="0" borderId="0" xfId="0" applyNumberFormat="1" applyFont="1" applyAlignment="1">
      <alignment vertical="center"/>
    </xf>
    <xf numFmtId="0" fontId="16" fillId="0" borderId="0" xfId="0" applyNumberFormat="1" applyFont="1" applyAlignment="1">
      <alignment horizontal="left" vertical="center"/>
    </xf>
    <xf numFmtId="2" fontId="16" fillId="0" borderId="0" xfId="0" applyNumberFormat="1" applyFont="1" applyAlignment="1">
      <alignment horizontal="center" vertical="center"/>
    </xf>
    <xf numFmtId="1" fontId="16" fillId="2" borderId="0" xfId="0" applyNumberFormat="1" applyFont="1" applyFill="1" applyAlignment="1">
      <alignment vertical="center"/>
    </xf>
    <xf numFmtId="49" fontId="16" fillId="2" borderId="0" xfId="0" applyNumberFormat="1" applyFont="1" applyFill="1" applyAlignment="1">
      <alignment horizontal="center" vertical="center"/>
    </xf>
    <xf numFmtId="49" fontId="16" fillId="2" borderId="0" xfId="0" applyNumberFormat="1" applyFont="1" applyFill="1" applyAlignment="1">
      <alignment horizontal="left" vertical="center"/>
    </xf>
    <xf numFmtId="2" fontId="21" fillId="2" borderId="0" xfId="0" applyNumberFormat="1" applyFont="1" applyFill="1" applyBorder="1" applyAlignment="1">
      <alignment horizontal="center" vertical="center"/>
    </xf>
    <xf numFmtId="0" fontId="25" fillId="0" borderId="0" xfId="0" applyFont="1" applyAlignment="1">
      <alignment vertical="center"/>
    </xf>
    <xf numFmtId="49" fontId="21" fillId="2" borderId="0" xfId="0" applyNumberFormat="1" applyFont="1" applyFill="1" applyBorder="1" applyAlignment="1">
      <alignment horizontal="left" wrapText="1"/>
    </xf>
    <xf numFmtId="0" fontId="16" fillId="0" borderId="0" xfId="0" applyFont="1" applyAlignment="1">
      <alignment horizontal="left" vertical="center"/>
    </xf>
    <xf numFmtId="49" fontId="16" fillId="0" borderId="0" xfId="0" applyNumberFormat="1" applyFont="1" applyAlignment="1">
      <alignment horizontal="right" vertical="center"/>
    </xf>
    <xf numFmtId="0" fontId="16" fillId="0" borderId="0" xfId="0" applyNumberFormat="1" applyFont="1" applyBorder="1" applyAlignment="1">
      <alignment horizontal="left" vertical="center"/>
    </xf>
    <xf numFmtId="2" fontId="16" fillId="0" borderId="0" xfId="0" applyNumberFormat="1" applyFont="1" applyBorder="1" applyAlignment="1">
      <alignment horizontal="center" vertical="center"/>
    </xf>
    <xf numFmtId="1" fontId="22" fillId="2" borderId="0" xfId="0" applyNumberFormat="1" applyFont="1" applyFill="1" applyAlignment="1">
      <alignment vertical="center"/>
    </xf>
    <xf numFmtId="0" fontId="16" fillId="0" borderId="0" xfId="0" applyFont="1" applyAlignment="1">
      <alignment vertical="center" wrapText="1"/>
    </xf>
    <xf numFmtId="0" fontId="16" fillId="4" borderId="0" xfId="0" applyFont="1" applyFill="1" applyAlignment="1">
      <alignment vertical="center"/>
    </xf>
    <xf numFmtId="2" fontId="22" fillId="2" borderId="0" xfId="0" applyNumberFormat="1" applyFont="1" applyFill="1" applyBorder="1" applyAlignment="1">
      <alignment horizontal="center" vertical="center"/>
    </xf>
    <xf numFmtId="2" fontId="26" fillId="2" borderId="0" xfId="0" applyNumberFormat="1" applyFont="1" applyFill="1" applyBorder="1" applyAlignment="1">
      <alignment horizontal="right" vertical="center"/>
    </xf>
    <xf numFmtId="0" fontId="14" fillId="0" borderId="0" xfId="0" applyFont="1" applyAlignment="1">
      <alignment vertical="center"/>
    </xf>
    <xf numFmtId="0" fontId="14" fillId="2" borderId="0" xfId="0" applyFont="1" applyFill="1" applyAlignment="1">
      <alignment vertical="center"/>
    </xf>
    <xf numFmtId="0" fontId="21" fillId="2" borderId="0" xfId="0" applyFont="1" applyFill="1" applyBorder="1" applyAlignment="1"/>
    <xf numFmtId="0" fontId="21" fillId="2" borderId="0" xfId="0" applyFont="1" applyFill="1" applyBorder="1" applyAlignment="1">
      <alignment horizontal="center"/>
    </xf>
    <xf numFmtId="0" fontId="21" fillId="2" borderId="0" xfId="0" applyFont="1" applyFill="1" applyBorder="1" applyAlignment="1">
      <alignment horizontal="left"/>
    </xf>
    <xf numFmtId="0" fontId="21" fillId="2" borderId="0" xfId="0" applyFont="1" applyFill="1" applyBorder="1" applyAlignment="1">
      <alignment horizontal="right"/>
    </xf>
    <xf numFmtId="49" fontId="21" fillId="2" borderId="0" xfId="0" applyNumberFormat="1" applyFont="1" applyFill="1" applyBorder="1" applyAlignment="1">
      <alignment horizontal="right"/>
    </xf>
    <xf numFmtId="49" fontId="21" fillId="2" borderId="0" xfId="0" applyNumberFormat="1" applyFont="1" applyFill="1" applyBorder="1" applyAlignment="1">
      <alignment horizontal="left"/>
    </xf>
    <xf numFmtId="0" fontId="25" fillId="2" borderId="0" xfId="0" applyFont="1" applyFill="1" applyBorder="1" applyAlignment="1">
      <alignment horizontal="right"/>
    </xf>
    <xf numFmtId="0" fontId="22" fillId="2" borderId="9" xfId="0" applyNumberFormat="1" applyFont="1" applyFill="1" applyBorder="1" applyAlignment="1">
      <alignment horizontal="left" vertical="center" wrapText="1"/>
    </xf>
    <xf numFmtId="49" fontId="23" fillId="2" borderId="9" xfId="0" applyNumberFormat="1" applyFont="1" applyFill="1" applyBorder="1" applyAlignment="1">
      <alignment horizontal="left" vertical="center"/>
    </xf>
    <xf numFmtId="0" fontId="24" fillId="2" borderId="0" xfId="0" applyNumberFormat="1" applyFont="1" applyFill="1" applyAlignment="1">
      <alignment horizontal="center" vertical="center"/>
    </xf>
    <xf numFmtId="1" fontId="12" fillId="2" borderId="7"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xf>
    <xf numFmtId="1" fontId="17" fillId="2" borderId="13"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22" fillId="2" borderId="0" xfId="0" applyFont="1" applyFill="1" applyAlignment="1">
      <alignment vertical="center"/>
    </xf>
    <xf numFmtId="0" fontId="13" fillId="0" borderId="0" xfId="0" applyNumberFormat="1" applyFont="1" applyAlignment="1">
      <alignment horizontal="center"/>
    </xf>
    <xf numFmtId="0" fontId="27" fillId="0" borderId="0" xfId="0" applyNumberFormat="1" applyFont="1" applyBorder="1" applyAlignment="1">
      <alignment horizontal="left"/>
    </xf>
    <xf numFmtId="2" fontId="13" fillId="0" borderId="0" xfId="0" applyNumberFormat="1" applyFont="1" applyAlignment="1"/>
    <xf numFmtId="0" fontId="13" fillId="0" borderId="0" xfId="0" applyNumberFormat="1" applyFont="1" applyBorder="1" applyAlignment="1">
      <alignment wrapText="1"/>
    </xf>
    <xf numFmtId="0" fontId="13" fillId="0" borderId="0" xfId="0" applyNumberFormat="1" applyFont="1" applyBorder="1" applyAlignment="1">
      <alignment horizontal="left" wrapText="1"/>
    </xf>
    <xf numFmtId="2" fontId="14" fillId="0" borderId="0" xfId="0" applyNumberFormat="1" applyFont="1" applyAlignment="1"/>
    <xf numFmtId="0" fontId="14" fillId="0" borderId="0" xfId="0" applyNumberFormat="1" applyFont="1" applyAlignment="1">
      <alignment horizontal="center"/>
    </xf>
    <xf numFmtId="0" fontId="22" fillId="0" borderId="0" xfId="0" quotePrefix="1" applyNumberFormat="1" applyFont="1" applyBorder="1" applyAlignment="1">
      <alignment horizontal="left"/>
    </xf>
    <xf numFmtId="0" fontId="14" fillId="0" borderId="0" xfId="0" applyNumberFormat="1" applyFont="1" applyAlignment="1">
      <alignment wrapText="1"/>
    </xf>
    <xf numFmtId="0" fontId="14" fillId="0" borderId="0" xfId="0" applyNumberFormat="1" applyFont="1" applyBorder="1" applyAlignment="1">
      <alignment horizontal="center" wrapText="1"/>
    </xf>
    <xf numFmtId="0" fontId="14" fillId="0" borderId="0" xfId="0" applyNumberFormat="1" applyFont="1" applyBorder="1" applyAlignment="1">
      <alignment wrapText="1"/>
    </xf>
    <xf numFmtId="0" fontId="14" fillId="0" borderId="0" xfId="0" applyNumberFormat="1" applyFont="1" applyBorder="1" applyAlignment="1">
      <alignment horizontal="left" wrapText="1"/>
    </xf>
    <xf numFmtId="2" fontId="14" fillId="2" borderId="0" xfId="0" applyNumberFormat="1" applyFont="1" applyFill="1" applyBorder="1" applyAlignment="1">
      <alignment horizontal="center" vertical="center"/>
    </xf>
    <xf numFmtId="2" fontId="22" fillId="0" borderId="0" xfId="0" applyNumberFormat="1" applyFont="1" applyAlignment="1"/>
    <xf numFmtId="0" fontId="28" fillId="0" borderId="0" xfId="0" applyNumberFormat="1" applyFont="1" applyBorder="1" applyAlignment="1">
      <alignment wrapText="1"/>
    </xf>
    <xf numFmtId="0" fontId="28" fillId="0" borderId="0" xfId="0" applyNumberFormat="1" applyFont="1" applyBorder="1" applyAlignment="1">
      <alignment horizontal="left" wrapText="1"/>
    </xf>
    <xf numFmtId="0" fontId="14" fillId="2" borderId="0" xfId="0" applyNumberFormat="1" applyFont="1" applyFill="1" applyAlignment="1">
      <alignment horizontal="center" wrapText="1"/>
    </xf>
    <xf numFmtId="49" fontId="16" fillId="0" borderId="0" xfId="0" applyNumberFormat="1" applyFont="1" applyBorder="1" applyAlignment="1">
      <alignment horizontal="right" vertical="center"/>
    </xf>
    <xf numFmtId="49" fontId="16" fillId="0" borderId="0" xfId="0" applyNumberFormat="1" applyFont="1" applyBorder="1" applyAlignment="1">
      <alignment vertical="center"/>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3" fillId="2" borderId="0" xfId="0" applyFont="1" applyFill="1" applyBorder="1" applyAlignment="1">
      <alignment horizontal="right"/>
    </xf>
    <xf numFmtId="0" fontId="13" fillId="2" borderId="0" xfId="0"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right"/>
    </xf>
    <xf numFmtId="0" fontId="25" fillId="0" borderId="0" xfId="0" applyFont="1" applyAlignment="1">
      <alignment horizontal="left" vertical="center"/>
    </xf>
    <xf numFmtId="0" fontId="25" fillId="2" borderId="0" xfId="0" applyFont="1" applyFill="1" applyAlignment="1">
      <alignment horizontal="right"/>
    </xf>
    <xf numFmtId="1" fontId="25" fillId="2" borderId="0" xfId="0" applyNumberFormat="1" applyFont="1" applyFill="1" applyBorder="1" applyAlignment="1">
      <alignment horizontal="right"/>
    </xf>
    <xf numFmtId="1" fontId="13" fillId="2" borderId="0" xfId="0" applyNumberFormat="1" applyFont="1" applyFill="1" applyBorder="1" applyAlignment="1">
      <alignment horizontal="center"/>
    </xf>
    <xf numFmtId="0" fontId="0" fillId="0" borderId="0" xfId="0" applyAlignment="1">
      <alignment horizontal="right"/>
    </xf>
    <xf numFmtId="0" fontId="2" fillId="0" borderId="0" xfId="0" applyFont="1"/>
    <xf numFmtId="0" fontId="28" fillId="0" borderId="0" xfId="0" applyNumberFormat="1" applyFont="1" applyBorder="1" applyAlignment="1">
      <alignment horizontal="center" wrapText="1"/>
    </xf>
    <xf numFmtId="0" fontId="21" fillId="2" borderId="0" xfId="0" applyNumberFormat="1" applyFont="1" applyFill="1" applyAlignment="1">
      <alignment horizontal="center" vertical="center" wrapText="1"/>
    </xf>
    <xf numFmtId="49" fontId="21" fillId="2" borderId="0" xfId="0" applyNumberFormat="1" applyFont="1" applyFill="1" applyBorder="1" applyAlignment="1">
      <alignment horizontal="center" vertical="center" wrapText="1"/>
    </xf>
    <xf numFmtId="2" fontId="21" fillId="2" borderId="0" xfId="0" applyNumberFormat="1" applyFont="1" applyFill="1" applyAlignment="1">
      <alignment horizontal="center" vertical="center"/>
    </xf>
    <xf numFmtId="0" fontId="25" fillId="0" borderId="1" xfId="0" applyFont="1" applyBorder="1" applyAlignment="1">
      <alignment horizontal="center" vertical="center"/>
    </xf>
    <xf numFmtId="0" fontId="21" fillId="2" borderId="0" xfId="0" applyFont="1" applyFill="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22" fillId="2" borderId="1" xfId="0" applyNumberFormat="1" applyFont="1" applyFill="1" applyBorder="1" applyAlignment="1">
      <alignment horizontal="center" vertical="center" wrapText="1"/>
    </xf>
    <xf numFmtId="0" fontId="20" fillId="6" borderId="1" xfId="0" applyNumberFormat="1" applyFont="1" applyFill="1" applyBorder="1" applyAlignment="1">
      <alignment horizontal="center" vertical="center" wrapText="1"/>
    </xf>
    <xf numFmtId="0" fontId="20" fillId="6" borderId="1" xfId="0" applyNumberFormat="1" applyFont="1" applyFill="1" applyBorder="1" applyAlignment="1">
      <alignment horizontal="left" vertical="center" wrapText="1"/>
    </xf>
    <xf numFmtId="0" fontId="20" fillId="6" borderId="12" xfId="0" applyNumberFormat="1" applyFont="1" applyFill="1" applyBorder="1" applyAlignment="1">
      <alignment horizontal="center" vertical="center" wrapText="1"/>
    </xf>
    <xf numFmtId="0" fontId="20" fillId="6" borderId="23" xfId="0" applyNumberFormat="1" applyFont="1" applyFill="1" applyBorder="1" applyAlignment="1">
      <alignment horizontal="left" vertical="center"/>
    </xf>
    <xf numFmtId="1" fontId="20" fillId="6" borderId="1" xfId="0" applyNumberFormat="1" applyFont="1" applyFill="1" applyBorder="1" applyAlignment="1">
      <alignment horizontal="center" vertical="center"/>
    </xf>
    <xf numFmtId="2" fontId="20" fillId="6" borderId="1" xfId="0" applyNumberFormat="1" applyFont="1" applyFill="1" applyBorder="1" applyAlignment="1">
      <alignment horizontal="center" vertical="center"/>
    </xf>
    <xf numFmtId="49" fontId="20" fillId="6" borderId="20" xfId="0" applyNumberFormat="1" applyFont="1" applyFill="1" applyBorder="1" applyAlignment="1">
      <alignment horizontal="right" vertical="center"/>
    </xf>
    <xf numFmtId="49" fontId="20" fillId="6" borderId="17" xfId="0" applyNumberFormat="1" applyFont="1" applyFill="1" applyBorder="1" applyAlignment="1">
      <alignment horizontal="center" vertical="center"/>
    </xf>
    <xf numFmtId="1" fontId="20" fillId="6" borderId="1" xfId="0" applyNumberFormat="1" applyFont="1" applyFill="1" applyBorder="1" applyAlignment="1">
      <alignment horizontal="center" vertical="center" wrapText="1"/>
    </xf>
    <xf numFmtId="0" fontId="19" fillId="6" borderId="13" xfId="0" applyFont="1" applyFill="1" applyBorder="1" applyAlignment="1">
      <alignment horizontal="center" vertical="center"/>
    </xf>
    <xf numFmtId="0" fontId="20" fillId="6" borderId="1" xfId="0" applyFont="1" applyFill="1" applyBorder="1" applyAlignment="1">
      <alignment horizontal="center" vertical="center"/>
    </xf>
    <xf numFmtId="1" fontId="20" fillId="6" borderId="8" xfId="0" applyNumberFormat="1" applyFont="1" applyFill="1" applyBorder="1" applyAlignment="1">
      <alignment horizontal="right" vertical="center" wrapText="1"/>
    </xf>
    <xf numFmtId="1" fontId="20" fillId="6" borderId="7" xfId="0" applyNumberFormat="1" applyFont="1" applyFill="1" applyBorder="1" applyAlignment="1">
      <alignment horizontal="right" vertical="center" wrapText="1"/>
    </xf>
    <xf numFmtId="49" fontId="20" fillId="6" borderId="20" xfId="0" applyNumberFormat="1" applyFont="1" applyFill="1" applyBorder="1" applyAlignment="1">
      <alignment horizontal="right" vertical="center" wrapText="1"/>
    </xf>
    <xf numFmtId="0" fontId="19" fillId="6" borderId="1" xfId="0" applyNumberFormat="1" applyFont="1" applyFill="1" applyBorder="1" applyAlignment="1">
      <alignment horizontal="center" vertical="center" wrapText="1"/>
    </xf>
    <xf numFmtId="1" fontId="20" fillId="6" borderId="7" xfId="0" applyNumberFormat="1" applyFont="1" applyFill="1" applyBorder="1" applyAlignment="1">
      <alignment horizontal="center" vertical="center"/>
    </xf>
    <xf numFmtId="0" fontId="20" fillId="6" borderId="1" xfId="0" applyFont="1" applyFill="1" applyBorder="1" applyAlignment="1">
      <alignment vertical="center"/>
    </xf>
    <xf numFmtId="0" fontId="20" fillId="6" borderId="1" xfId="0" applyNumberFormat="1" applyFont="1" applyFill="1" applyBorder="1" applyAlignment="1">
      <alignment horizontal="center" vertical="center"/>
    </xf>
    <xf numFmtId="0" fontId="20" fillId="6" borderId="13" xfId="0" applyNumberFormat="1" applyFont="1" applyFill="1" applyBorder="1" applyAlignment="1">
      <alignment horizontal="center" vertical="center"/>
    </xf>
    <xf numFmtId="0" fontId="20" fillId="6" borderId="14" xfId="0" applyNumberFormat="1" applyFont="1" applyFill="1" applyBorder="1" applyAlignment="1">
      <alignment horizontal="center" vertical="center" wrapText="1"/>
    </xf>
    <xf numFmtId="0" fontId="20" fillId="6" borderId="12" xfId="0" applyNumberFormat="1" applyFont="1" applyFill="1" applyBorder="1" applyAlignment="1">
      <alignment horizontal="center" vertical="center"/>
    </xf>
    <xf numFmtId="1" fontId="19" fillId="6" borderId="7" xfId="0" applyNumberFormat="1" applyFont="1" applyFill="1" applyBorder="1" applyAlignment="1">
      <alignment horizontal="right" vertical="center"/>
    </xf>
    <xf numFmtId="0" fontId="20" fillId="6" borderId="13" xfId="0" applyFont="1" applyFill="1" applyBorder="1" applyAlignment="1">
      <alignment vertical="center"/>
    </xf>
    <xf numFmtId="0" fontId="20" fillId="6" borderId="12" xfId="0" applyFont="1" applyFill="1" applyBorder="1" applyAlignment="1">
      <alignment vertical="center"/>
    </xf>
    <xf numFmtId="1" fontId="19" fillId="6" borderId="8" xfId="0" applyNumberFormat="1" applyFont="1" applyFill="1" applyBorder="1" applyAlignment="1">
      <alignment horizontal="center" vertical="center"/>
    </xf>
    <xf numFmtId="1" fontId="19" fillId="6" borderId="23" xfId="0" applyNumberFormat="1" applyFont="1" applyFill="1" applyBorder="1" applyAlignment="1">
      <alignment horizontal="center" vertical="center" wrapText="1"/>
    </xf>
    <xf numFmtId="0" fontId="20" fillId="6" borderId="9" xfId="0" applyNumberFormat="1" applyFont="1" applyFill="1" applyBorder="1" applyAlignment="1">
      <alignment horizontal="center" vertical="center"/>
    </xf>
    <xf numFmtId="0" fontId="20" fillId="6" borderId="1" xfId="0" applyNumberFormat="1" applyFont="1" applyFill="1" applyBorder="1" applyAlignment="1">
      <alignment horizontal="left" vertical="center"/>
    </xf>
    <xf numFmtId="0" fontId="20" fillId="6" borderId="1" xfId="0" applyNumberFormat="1" applyFont="1" applyFill="1" applyBorder="1" applyAlignment="1">
      <alignment vertical="center"/>
    </xf>
    <xf numFmtId="0" fontId="20" fillId="6" borderId="9" xfId="0" applyNumberFormat="1" applyFont="1" applyFill="1" applyBorder="1" applyAlignment="1">
      <alignment horizontal="left" vertical="center" wrapText="1"/>
    </xf>
    <xf numFmtId="0" fontId="20" fillId="6" borderId="19" xfId="0" applyNumberFormat="1" applyFont="1" applyFill="1" applyBorder="1" applyAlignment="1">
      <alignment horizontal="right" vertical="center" wrapText="1"/>
    </xf>
    <xf numFmtId="0" fontId="20" fillId="6" borderId="26" xfId="0" applyNumberFormat="1" applyFont="1" applyFill="1" applyBorder="1" applyAlignment="1">
      <alignment horizontal="center" vertical="center" wrapText="1"/>
    </xf>
    <xf numFmtId="1" fontId="19" fillId="6" borderId="1" xfId="0" applyNumberFormat="1" applyFont="1" applyFill="1" applyBorder="1" applyAlignment="1">
      <alignment horizontal="center" vertical="center"/>
    </xf>
    <xf numFmtId="0" fontId="20" fillId="6" borderId="8" xfId="0" applyFont="1" applyFill="1" applyBorder="1" applyAlignment="1">
      <alignment vertical="center"/>
    </xf>
    <xf numFmtId="0" fontId="25" fillId="6" borderId="1" xfId="0" applyNumberFormat="1" applyFont="1" applyFill="1" applyBorder="1" applyAlignment="1">
      <alignment horizontal="left" vertical="center" wrapText="1"/>
    </xf>
    <xf numFmtId="0" fontId="25" fillId="6" borderId="1" xfId="0" applyFont="1" applyFill="1" applyBorder="1" applyAlignment="1">
      <alignment vertical="center"/>
    </xf>
    <xf numFmtId="0" fontId="20" fillId="6" borderId="19" xfId="0" applyNumberFormat="1" applyFont="1" applyFill="1" applyBorder="1" applyAlignment="1">
      <alignment horizontal="left" vertical="center" wrapText="1"/>
    </xf>
    <xf numFmtId="0" fontId="20" fillId="6" borderId="8" xfId="0" applyNumberFormat="1" applyFont="1" applyFill="1" applyBorder="1" applyAlignment="1">
      <alignment horizontal="center" vertical="center" wrapText="1"/>
    </xf>
    <xf numFmtId="49" fontId="20" fillId="6" borderId="9" xfId="0" applyNumberFormat="1" applyFont="1" applyFill="1" applyBorder="1" applyAlignment="1">
      <alignment vertical="center"/>
    </xf>
    <xf numFmtId="0" fontId="2" fillId="0" borderId="0" xfId="0" applyFont="1" applyBorder="1"/>
    <xf numFmtId="2" fontId="26" fillId="2" borderId="0" xfId="0" applyNumberFormat="1" applyFont="1" applyFill="1" applyAlignment="1">
      <alignment vertical="center"/>
    </xf>
    <xf numFmtId="0" fontId="14" fillId="2" borderId="0" xfId="0" applyFont="1" applyFill="1" applyBorder="1" applyAlignment="1">
      <alignment horizontal="left" vertical="center"/>
    </xf>
    <xf numFmtId="49" fontId="20" fillId="6" borderId="0" xfId="0" applyNumberFormat="1" applyFont="1" applyFill="1" applyBorder="1" applyAlignment="1">
      <alignment horizontal="center" vertical="center"/>
    </xf>
    <xf numFmtId="1" fontId="21" fillId="2" borderId="0" xfId="0" applyNumberFormat="1" applyFont="1" applyFill="1" applyBorder="1" applyAlignment="1">
      <alignment horizontal="right"/>
    </xf>
    <xf numFmtId="0" fontId="21" fillId="0" borderId="0" xfId="0" applyFont="1" applyFill="1" applyBorder="1" applyAlignment="1">
      <alignment horizontal="center"/>
    </xf>
    <xf numFmtId="0" fontId="25" fillId="0" borderId="0" xfId="0" applyFont="1" applyFill="1" applyBorder="1" applyAlignment="1">
      <alignment horizontal="center"/>
    </xf>
    <xf numFmtId="0" fontId="21" fillId="3" borderId="0" xfId="0" applyFont="1" applyFill="1" applyAlignment="1">
      <alignment vertical="center"/>
    </xf>
    <xf numFmtId="0" fontId="21" fillId="3" borderId="0" xfId="0" applyFont="1" applyFill="1" applyAlignment="1">
      <alignment horizontal="left" vertical="center" wrapText="1"/>
    </xf>
    <xf numFmtId="0" fontId="19" fillId="6" borderId="12" xfId="0" applyFont="1" applyFill="1" applyBorder="1" applyAlignment="1">
      <alignment horizontal="left" vertical="center"/>
    </xf>
    <xf numFmtId="2" fontId="19" fillId="6" borderId="1" xfId="0" applyNumberFormat="1" applyFont="1" applyFill="1" applyBorder="1" applyAlignment="1">
      <alignment horizontal="center" vertical="center"/>
    </xf>
    <xf numFmtId="0" fontId="25" fillId="2" borderId="0" xfId="0" applyFont="1" applyFill="1" applyAlignment="1">
      <alignment horizontal="left"/>
    </xf>
    <xf numFmtId="0" fontId="14" fillId="2" borderId="0" xfId="0" applyFont="1" applyFill="1" applyBorder="1" applyAlignment="1">
      <alignment horizontal="left"/>
    </xf>
    <xf numFmtId="0" fontId="0" fillId="0" borderId="0" xfId="0" applyAlignment="1">
      <alignment horizontal="left"/>
    </xf>
    <xf numFmtId="0" fontId="0" fillId="0" borderId="0" xfId="0" applyAlignment="1">
      <alignment horizontal="left" wrapText="1"/>
    </xf>
    <xf numFmtId="0" fontId="25" fillId="0" borderId="1" xfId="0" applyFont="1" applyBorder="1" applyAlignment="1">
      <alignment horizontal="left" vertical="center" wrapText="1"/>
    </xf>
    <xf numFmtId="2" fontId="21" fillId="2" borderId="0" xfId="0" applyNumberFormat="1" applyFont="1" applyFill="1" applyAlignment="1">
      <alignment horizontal="left" vertical="center"/>
    </xf>
    <xf numFmtId="0" fontId="21" fillId="3" borderId="0" xfId="0" applyFont="1" applyFill="1" applyAlignment="1">
      <alignment horizontal="left" vertical="center"/>
    </xf>
    <xf numFmtId="0" fontId="25" fillId="0" borderId="1" xfId="0" applyFont="1" applyBorder="1" applyAlignment="1">
      <alignment horizontal="left" vertical="center"/>
    </xf>
    <xf numFmtId="0" fontId="21" fillId="3" borderId="0" xfId="0" applyFont="1" applyFill="1" applyAlignment="1">
      <alignment horizontal="center" vertical="center"/>
    </xf>
    <xf numFmtId="49" fontId="21" fillId="2" borderId="0" xfId="0" applyNumberFormat="1" applyFont="1" applyFill="1" applyBorder="1" applyAlignment="1">
      <alignment vertical="center" wrapText="1"/>
    </xf>
    <xf numFmtId="0" fontId="21" fillId="6" borderId="0" xfId="0" applyFont="1" applyFill="1" applyAlignment="1">
      <alignment vertical="center"/>
    </xf>
    <xf numFmtId="2" fontId="13" fillId="0" borderId="0" xfId="0" applyNumberFormat="1" applyFont="1" applyBorder="1" applyAlignment="1"/>
    <xf numFmtId="0" fontId="0" fillId="0" borderId="0" xfId="0" applyAlignment="1">
      <alignment wrapText="1"/>
    </xf>
    <xf numFmtId="0" fontId="22" fillId="2" borderId="1" xfId="0" applyNumberFormat="1" applyFont="1" applyFill="1" applyBorder="1" applyAlignment="1">
      <alignment horizontal="left" vertical="center" wrapText="1"/>
    </xf>
    <xf numFmtId="0" fontId="22" fillId="0" borderId="1" xfId="0" applyFont="1" applyBorder="1" applyAlignment="1">
      <alignment vertical="center" wrapText="1"/>
    </xf>
    <xf numFmtId="0" fontId="20" fillId="6" borderId="0" xfId="0" applyFont="1" applyFill="1" applyAlignment="1">
      <alignment vertical="center"/>
    </xf>
    <xf numFmtId="0" fontId="21" fillId="2" borderId="0" xfId="0" applyFont="1" applyFill="1" applyBorder="1" applyAlignment="1">
      <alignment horizontal="right" textRotation="90"/>
    </xf>
    <xf numFmtId="0" fontId="16" fillId="0" borderId="0" xfId="0" applyFont="1" applyBorder="1" applyAlignment="1">
      <alignment horizontal="right" vertical="center" textRotation="90"/>
    </xf>
    <xf numFmtId="0" fontId="22" fillId="2" borderId="0" xfId="0" applyFont="1" applyFill="1" applyAlignment="1">
      <alignment horizontal="center" vertical="center" wrapText="1"/>
    </xf>
    <xf numFmtId="0" fontId="14" fillId="2" borderId="0" xfId="0" applyNumberFormat="1" applyFont="1" applyFill="1" applyAlignment="1">
      <alignment horizontal="left" wrapText="1"/>
    </xf>
    <xf numFmtId="0" fontId="14" fillId="2" borderId="0" xfId="0" applyNumberFormat="1" applyFont="1" applyFill="1" applyAlignment="1">
      <alignment horizontal="center" textRotation="90" wrapText="1"/>
    </xf>
    <xf numFmtId="49" fontId="13" fillId="2" borderId="0" xfId="0" applyNumberFormat="1" applyFont="1" applyFill="1" applyBorder="1" applyAlignment="1">
      <alignment horizontal="left" wrapText="1"/>
    </xf>
    <xf numFmtId="49" fontId="13" fillId="2" borderId="0" xfId="0" applyNumberFormat="1" applyFont="1" applyFill="1" applyBorder="1" applyAlignment="1">
      <alignment horizontal="center" wrapText="1"/>
    </xf>
    <xf numFmtId="49" fontId="13" fillId="2" borderId="0" xfId="0" applyNumberFormat="1" applyFont="1" applyFill="1" applyBorder="1" applyAlignment="1">
      <alignment wrapText="1"/>
    </xf>
    <xf numFmtId="2" fontId="14" fillId="2" borderId="0" xfId="0" applyNumberFormat="1" applyFont="1" applyFill="1" applyAlignment="1"/>
    <xf numFmtId="2" fontId="14" fillId="2" borderId="0" xfId="0" applyNumberFormat="1" applyFont="1" applyFill="1" applyAlignment="1">
      <alignment horizontal="left"/>
    </xf>
    <xf numFmtId="2" fontId="14" fillId="2" borderId="0" xfId="0" applyNumberFormat="1" applyFont="1" applyFill="1" applyAlignment="1">
      <alignment horizontal="center"/>
    </xf>
    <xf numFmtId="2" fontId="41" fillId="0" borderId="0" xfId="0" applyNumberFormat="1" applyFont="1" applyAlignment="1"/>
    <xf numFmtId="0" fontId="41" fillId="0" borderId="0" xfId="0" applyNumberFormat="1" applyFont="1" applyBorder="1" applyAlignment="1">
      <alignment horizontal="center" wrapText="1"/>
    </xf>
    <xf numFmtId="0" fontId="41" fillId="0" borderId="0" xfId="0" applyNumberFormat="1" applyFont="1" applyAlignment="1">
      <alignment wrapText="1"/>
    </xf>
    <xf numFmtId="0" fontId="41" fillId="0" borderId="0" xfId="0" applyNumberFormat="1" applyFont="1" applyAlignment="1">
      <alignment horizontal="left"/>
    </xf>
    <xf numFmtId="0" fontId="41" fillId="0" borderId="0" xfId="0" applyNumberFormat="1" applyFont="1" applyBorder="1" applyAlignment="1">
      <alignment wrapText="1"/>
    </xf>
    <xf numFmtId="0" fontId="41" fillId="0" borderId="0" xfId="0" applyNumberFormat="1" applyFont="1" applyBorder="1" applyAlignment="1">
      <alignment horizontal="left" wrapText="1"/>
    </xf>
    <xf numFmtId="0" fontId="42" fillId="0" borderId="0" xfId="0" applyNumberFormat="1" applyFont="1" applyBorder="1" applyAlignment="1">
      <alignment wrapText="1"/>
    </xf>
    <xf numFmtId="0" fontId="42" fillId="0" borderId="0" xfId="0" applyNumberFormat="1" applyFont="1" applyBorder="1" applyAlignment="1">
      <alignment horizontal="left" wrapText="1"/>
    </xf>
    <xf numFmtId="0" fontId="21" fillId="6" borderId="0" xfId="0" applyFont="1" applyFill="1" applyAlignment="1"/>
    <xf numFmtId="0" fontId="21" fillId="3" borderId="0" xfId="0" applyFont="1" applyFill="1" applyAlignment="1">
      <alignment horizontal="left" wrapText="1"/>
    </xf>
    <xf numFmtId="0" fontId="21" fillId="3" borderId="0" xfId="0" applyFont="1" applyFill="1" applyAlignment="1">
      <alignment horizontal="left"/>
    </xf>
    <xf numFmtId="0" fontId="21" fillId="3" borderId="0" xfId="0" applyFont="1" applyFill="1" applyAlignment="1"/>
    <xf numFmtId="0" fontId="21" fillId="3" borderId="0" xfId="0" applyFont="1" applyFill="1" applyAlignment="1">
      <alignment horizontal="center"/>
    </xf>
    <xf numFmtId="0" fontId="13" fillId="0" borderId="0" xfId="0" quotePrefix="1" applyNumberFormat="1" applyFont="1" applyAlignment="1">
      <alignment horizontal="center" wrapText="1"/>
    </xf>
    <xf numFmtId="0" fontId="5" fillId="0" borderId="0" xfId="0" applyFont="1" applyAlignment="1">
      <alignment wrapText="1"/>
    </xf>
    <xf numFmtId="0" fontId="7" fillId="0" borderId="0" xfId="0" applyFont="1" applyAlignment="1">
      <alignment vertical="center"/>
    </xf>
    <xf numFmtId="0" fontId="5" fillId="0" borderId="0" xfId="0" applyFont="1" applyAlignment="1">
      <alignment vertical="top"/>
    </xf>
    <xf numFmtId="0" fontId="5" fillId="0" borderId="16" xfId="0" applyFont="1" applyBorder="1" applyAlignment="1"/>
    <xf numFmtId="2" fontId="28" fillId="2" borderId="0" xfId="0" applyNumberFormat="1" applyFont="1" applyFill="1" applyAlignment="1"/>
    <xf numFmtId="0" fontId="21" fillId="2" borderId="0" xfId="0" applyFont="1" applyFill="1" applyBorder="1" applyAlignment="1">
      <alignment horizontal="right" wrapText="1"/>
    </xf>
    <xf numFmtId="1" fontId="21" fillId="0" borderId="0" xfId="0" applyNumberFormat="1" applyFont="1" applyFill="1" applyBorder="1" applyAlignment="1">
      <alignment horizontal="center" textRotation="90"/>
    </xf>
    <xf numFmtId="0" fontId="21" fillId="2" borderId="0" xfId="0" applyFont="1" applyFill="1" applyBorder="1" applyAlignment="1">
      <alignment horizontal="center" wrapText="1"/>
    </xf>
    <xf numFmtId="49" fontId="16" fillId="2" borderId="0" xfId="0" applyNumberFormat="1" applyFont="1" applyFill="1" applyBorder="1" applyAlignment="1">
      <alignment horizontal="left" vertical="center"/>
    </xf>
    <xf numFmtId="2" fontId="16" fillId="2" borderId="0" xfId="0" applyNumberFormat="1" applyFont="1" applyFill="1" applyAlignment="1">
      <alignment horizontal="right" vertical="center"/>
    </xf>
    <xf numFmtId="2" fontId="16" fillId="2" borderId="0" xfId="0" applyNumberFormat="1" applyFont="1" applyFill="1" applyAlignment="1">
      <alignment horizontal="left" vertical="center" wrapText="1"/>
    </xf>
    <xf numFmtId="1" fontId="16" fillId="0" borderId="0" xfId="0" applyNumberFormat="1" applyFont="1" applyAlignment="1">
      <alignment horizontal="right" vertical="center"/>
    </xf>
    <xf numFmtId="1" fontId="22" fillId="0" borderId="0" xfId="0" applyNumberFormat="1" applyFont="1" applyAlignment="1">
      <alignment horizontal="center" vertical="center" wrapText="1"/>
    </xf>
    <xf numFmtId="49" fontId="22" fillId="0" borderId="0" xfId="0" applyNumberFormat="1" applyFont="1" applyAlignment="1">
      <alignment vertical="center"/>
    </xf>
    <xf numFmtId="1" fontId="12" fillId="2" borderId="0" xfId="0" applyNumberFormat="1" applyFont="1" applyFill="1" applyAlignment="1">
      <alignment vertical="center"/>
    </xf>
    <xf numFmtId="2" fontId="16" fillId="2" borderId="21" xfId="0" applyNumberFormat="1" applyFont="1" applyFill="1" applyBorder="1" applyAlignment="1">
      <alignment vertical="center"/>
    </xf>
    <xf numFmtId="2" fontId="16" fillId="2" borderId="10" xfId="0" applyNumberFormat="1" applyFont="1" applyFill="1" applyBorder="1" applyAlignment="1">
      <alignment horizontal="right" vertical="center"/>
    </xf>
    <xf numFmtId="2" fontId="12" fillId="0" borderId="0" xfId="0" applyNumberFormat="1" applyFont="1" applyAlignment="1">
      <alignment horizontal="center" vertical="center"/>
    </xf>
    <xf numFmtId="2" fontId="16" fillId="0" borderId="18" xfId="0" applyNumberFormat="1" applyFont="1" applyBorder="1" applyAlignment="1">
      <alignment horizontal="right" vertical="center"/>
    </xf>
    <xf numFmtId="0" fontId="25" fillId="7" borderId="1" xfId="0" applyFont="1" applyFill="1" applyBorder="1" applyAlignment="1">
      <alignment vertical="center"/>
    </xf>
    <xf numFmtId="0" fontId="25" fillId="7" borderId="1" xfId="0" applyFont="1" applyFill="1" applyBorder="1" applyAlignment="1">
      <alignment horizontal="center" vertical="center"/>
    </xf>
    <xf numFmtId="49" fontId="20" fillId="6" borderId="27" xfId="0" applyNumberFormat="1" applyFont="1" applyFill="1" applyBorder="1" applyAlignment="1">
      <alignment horizontal="center" vertical="center" wrapText="1"/>
    </xf>
    <xf numFmtId="1" fontId="20" fillId="6" borderId="8" xfId="0" applyNumberFormat="1" applyFont="1" applyFill="1" applyBorder="1" applyAlignment="1">
      <alignment horizontal="left" vertical="center" wrapText="1"/>
    </xf>
    <xf numFmtId="0" fontId="25" fillId="2" borderId="0" xfId="0" applyFont="1" applyFill="1" applyBorder="1" applyAlignment="1">
      <alignment horizontal="center"/>
    </xf>
    <xf numFmtId="0" fontId="14" fillId="2" borderId="0" xfId="0" applyFont="1" applyFill="1" applyBorder="1" applyAlignment="1">
      <alignment horizontal="center"/>
    </xf>
    <xf numFmtId="0" fontId="25" fillId="0" borderId="1" xfId="0" applyFont="1" applyBorder="1" applyAlignment="1">
      <alignment horizontal="right" vertical="center"/>
    </xf>
    <xf numFmtId="0" fontId="25" fillId="2" borderId="0" xfId="0" applyFont="1" applyFill="1" applyAlignment="1">
      <alignment horizontal="center"/>
    </xf>
    <xf numFmtId="0" fontId="0" fillId="0" borderId="0" xfId="0"/>
    <xf numFmtId="0" fontId="14" fillId="0" borderId="0" xfId="0" applyFont="1" applyAlignment="1">
      <alignment horizontal="center" vertical="center"/>
    </xf>
    <xf numFmtId="0" fontId="14" fillId="2" borderId="0" xfId="0" applyNumberFormat="1" applyFont="1" applyFill="1" applyBorder="1" applyAlignment="1"/>
    <xf numFmtId="0" fontId="14" fillId="0" borderId="0" xfId="0" applyNumberFormat="1" applyFont="1" applyBorder="1" applyAlignment="1">
      <alignment horizontal="left"/>
    </xf>
    <xf numFmtId="0" fontId="14" fillId="0" borderId="0" xfId="0" applyNumberFormat="1" applyFont="1" applyBorder="1" applyAlignment="1"/>
    <xf numFmtId="0" fontId="14" fillId="2" borderId="0" xfId="0" applyNumberFormat="1" applyFont="1" applyFill="1" applyBorder="1" applyAlignment="1">
      <alignment horizontal="left"/>
    </xf>
    <xf numFmtId="0" fontId="14" fillId="0" borderId="0" xfId="0" applyNumberFormat="1" applyFont="1" applyBorder="1" applyAlignment="1">
      <alignment horizontal="right"/>
    </xf>
    <xf numFmtId="0" fontId="26" fillId="2" borderId="0" xfId="0" applyNumberFormat="1" applyFont="1" applyFill="1" applyBorder="1" applyAlignment="1">
      <alignment horizontal="right"/>
    </xf>
    <xf numFmtId="0" fontId="26" fillId="2" borderId="0" xfId="0" applyNumberFormat="1" applyFont="1" applyFill="1" applyBorder="1" applyAlignment="1">
      <alignment horizontal="left" wrapText="1"/>
    </xf>
    <xf numFmtId="0" fontId="26" fillId="2" borderId="0" xfId="0" applyNumberFormat="1" applyFont="1" applyFill="1" applyBorder="1" applyAlignment="1">
      <alignment horizontal="center"/>
    </xf>
    <xf numFmtId="0" fontId="26" fillId="2" borderId="0" xfId="0" applyNumberFormat="1" applyFont="1" applyFill="1" applyBorder="1" applyAlignment="1">
      <alignment horizontal="left"/>
    </xf>
    <xf numFmtId="0" fontId="26" fillId="0" borderId="0" xfId="0" applyNumberFormat="1" applyFont="1" applyBorder="1" applyAlignment="1"/>
    <xf numFmtId="0" fontId="26" fillId="0" borderId="0" xfId="0" applyNumberFormat="1" applyFont="1" applyBorder="1" applyAlignment="1">
      <alignment horizontal="left"/>
    </xf>
    <xf numFmtId="0" fontId="26" fillId="0" borderId="0" xfId="0" applyNumberFormat="1" applyFont="1" applyBorder="1" applyAlignment="1">
      <alignment horizontal="center"/>
    </xf>
    <xf numFmtId="0" fontId="26" fillId="0" borderId="0" xfId="0" applyNumberFormat="1" applyFont="1" applyBorder="1" applyAlignment="1">
      <alignment horizontal="right"/>
    </xf>
    <xf numFmtId="0" fontId="14" fillId="2" borderId="0" xfId="0" applyNumberFormat="1" applyFont="1" applyFill="1" applyBorder="1" applyAlignment="1">
      <alignment horizontal="right"/>
    </xf>
    <xf numFmtId="0" fontId="14" fillId="2" borderId="0" xfId="0" applyNumberFormat="1" applyFont="1" applyFill="1" applyBorder="1" applyAlignment="1">
      <alignment horizontal="center"/>
    </xf>
    <xf numFmtId="0" fontId="14" fillId="2" borderId="0" xfId="0" applyNumberFormat="1" applyFont="1" applyFill="1" applyBorder="1" applyAlignment="1">
      <alignment horizontal="center" wrapText="1"/>
    </xf>
    <xf numFmtId="0" fontId="14" fillId="2" borderId="0" xfId="0" applyNumberFormat="1" applyFont="1" applyFill="1" applyBorder="1" applyAlignment="1">
      <alignment horizontal="left" wrapText="1"/>
    </xf>
    <xf numFmtId="0" fontId="34" fillId="2" borderId="0" xfId="0" applyNumberFormat="1" applyFont="1" applyFill="1" applyBorder="1" applyAlignment="1">
      <alignment horizontal="center"/>
    </xf>
    <xf numFmtId="0" fontId="35" fillId="0" borderId="0" xfId="0" applyNumberFormat="1" applyFont="1" applyBorder="1" applyAlignment="1"/>
    <xf numFmtId="0" fontId="13" fillId="2" borderId="0" xfId="0" applyNumberFormat="1" applyFont="1" applyFill="1" applyBorder="1" applyAlignment="1">
      <alignment horizontal="center"/>
    </xf>
    <xf numFmtId="0" fontId="26" fillId="2" borderId="0" xfId="0" applyNumberFormat="1" applyFont="1" applyFill="1" applyBorder="1" applyAlignment="1"/>
    <xf numFmtId="0" fontId="15" fillId="0" borderId="0" xfId="0" applyNumberFormat="1" applyFont="1" applyBorder="1" applyAlignment="1">
      <alignment horizontal="center"/>
    </xf>
    <xf numFmtId="0" fontId="15" fillId="2" borderId="0" xfId="0" applyNumberFormat="1" applyFont="1" applyFill="1" applyBorder="1" applyAlignment="1"/>
    <xf numFmtId="0" fontId="36" fillId="2" borderId="0" xfId="0" applyNumberFormat="1" applyFont="1" applyFill="1" applyBorder="1" applyAlignment="1"/>
    <xf numFmtId="0" fontId="36" fillId="2" borderId="0" xfId="0" applyNumberFormat="1" applyFont="1" applyFill="1" applyBorder="1" applyAlignment="1">
      <alignment horizontal="right"/>
    </xf>
    <xf numFmtId="0" fontId="36" fillId="0" borderId="0" xfId="0" applyNumberFormat="1" applyFont="1" applyBorder="1" applyAlignment="1"/>
    <xf numFmtId="0" fontId="14" fillId="2" borderId="0" xfId="0" applyNumberFormat="1" applyFont="1" applyFill="1" applyAlignment="1"/>
    <xf numFmtId="0" fontId="33" fillId="2" borderId="0" xfId="0" applyNumberFormat="1" applyFont="1" applyFill="1" applyAlignment="1">
      <alignment wrapText="1"/>
    </xf>
    <xf numFmtId="0" fontId="14" fillId="0" borderId="0" xfId="0" applyNumberFormat="1" applyFont="1" applyAlignment="1"/>
    <xf numFmtId="0" fontId="13" fillId="2" borderId="28" xfId="0" applyNumberFormat="1" applyFont="1" applyFill="1" applyBorder="1" applyAlignment="1">
      <alignment horizontal="center" wrapText="1"/>
    </xf>
    <xf numFmtId="0" fontId="13" fillId="2" borderId="0" xfId="0" applyNumberFormat="1" applyFont="1" applyFill="1" applyBorder="1" applyAlignment="1">
      <alignment horizontal="right"/>
    </xf>
    <xf numFmtId="0" fontId="13" fillId="2" borderId="0" xfId="0" applyNumberFormat="1" applyFont="1" applyFill="1" applyBorder="1" applyAlignment="1">
      <alignment horizontal="center" wrapText="1"/>
    </xf>
    <xf numFmtId="0" fontId="13" fillId="2" borderId="0" xfId="0" applyNumberFormat="1" applyFont="1" applyFill="1" applyBorder="1" applyAlignment="1">
      <alignment wrapText="1"/>
    </xf>
    <xf numFmtId="0" fontId="13" fillId="2" borderId="0" xfId="0" applyNumberFormat="1" applyFont="1" applyFill="1" applyBorder="1" applyAlignment="1">
      <alignment horizontal="left" wrapText="1"/>
    </xf>
    <xf numFmtId="0" fontId="14" fillId="5" borderId="3" xfId="0" applyNumberFormat="1" applyFont="1" applyFill="1" applyBorder="1" applyAlignment="1">
      <alignment horizontal="center" wrapText="1"/>
    </xf>
    <xf numFmtId="0" fontId="14" fillId="2" borderId="0" xfId="0" applyNumberFormat="1" applyFont="1" applyFill="1" applyBorder="1" applyAlignment="1">
      <alignment horizontal="right" wrapText="1"/>
    </xf>
    <xf numFmtId="0" fontId="14" fillId="2" borderId="0" xfId="0" applyNumberFormat="1" applyFont="1" applyFill="1" applyBorder="1" applyAlignment="1">
      <alignment wrapText="1"/>
    </xf>
    <xf numFmtId="0" fontId="14" fillId="5" borderId="2" xfId="0" applyNumberFormat="1" applyFont="1" applyFill="1" applyBorder="1" applyAlignment="1">
      <alignment horizontal="center"/>
    </xf>
    <xf numFmtId="0" fontId="14" fillId="5" borderId="2" xfId="0" applyNumberFormat="1" applyFont="1" applyFill="1" applyBorder="1" applyAlignment="1">
      <alignment horizontal="center" wrapText="1"/>
    </xf>
    <xf numFmtId="0" fontId="14" fillId="5" borderId="0" xfId="0" applyNumberFormat="1" applyFont="1" applyFill="1" applyBorder="1" applyAlignment="1">
      <alignment horizontal="center" wrapText="1"/>
    </xf>
    <xf numFmtId="0" fontId="14" fillId="5" borderId="4" xfId="0" applyNumberFormat="1" applyFont="1" applyFill="1" applyBorder="1" applyAlignment="1">
      <alignment horizontal="center"/>
    </xf>
    <xf numFmtId="0" fontId="14" fillId="5" borderId="0" xfId="0" applyNumberFormat="1" applyFont="1" applyFill="1" applyBorder="1" applyAlignment="1">
      <alignment horizontal="center"/>
    </xf>
    <xf numFmtId="0" fontId="14" fillId="5" borderId="3" xfId="0" applyNumberFormat="1" applyFont="1" applyFill="1" applyBorder="1" applyAlignment="1">
      <alignment horizontal="center"/>
    </xf>
    <xf numFmtId="0" fontId="22" fillId="7" borderId="0" xfId="0" applyFont="1" applyFill="1" applyAlignment="1">
      <alignment vertical="center"/>
    </xf>
    <xf numFmtId="2" fontId="21" fillId="2" borderId="0" xfId="0" applyNumberFormat="1" applyFont="1" applyFill="1" applyAlignment="1">
      <alignment horizontal="center" vertical="center" wrapText="1"/>
    </xf>
    <xf numFmtId="0" fontId="16" fillId="6" borderId="0" xfId="0" applyFont="1" applyFill="1" applyBorder="1" applyAlignment="1">
      <alignment horizontal="left" vertical="center"/>
    </xf>
    <xf numFmtId="2" fontId="22" fillId="2" borderId="1" xfId="0" applyNumberFormat="1" applyFont="1" applyFill="1" applyBorder="1" applyAlignment="1">
      <alignment horizontal="left" vertical="center"/>
    </xf>
    <xf numFmtId="1" fontId="22" fillId="2" borderId="1" xfId="0" applyNumberFormat="1" applyFont="1" applyFill="1" applyBorder="1" applyAlignment="1">
      <alignment horizontal="center" vertical="center" wrapText="1"/>
    </xf>
    <xf numFmtId="2" fontId="22"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vertical="center"/>
    </xf>
    <xf numFmtId="0" fontId="22" fillId="2" borderId="1" xfId="0" applyNumberFormat="1" applyFont="1" applyFill="1" applyBorder="1" applyAlignment="1">
      <alignment horizontal="center" vertical="center"/>
    </xf>
    <xf numFmtId="0" fontId="22" fillId="2" borderId="1" xfId="0" applyNumberFormat="1" applyFont="1" applyFill="1" applyBorder="1" applyAlignment="1">
      <alignment vertical="center"/>
    </xf>
    <xf numFmtId="1" fontId="11" fillId="2" borderId="1" xfId="0" applyNumberFormat="1" applyFont="1" applyFill="1" applyBorder="1" applyAlignment="1">
      <alignment horizontal="center" vertical="center"/>
    </xf>
    <xf numFmtId="0" fontId="22" fillId="2" borderId="7"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2" fillId="2" borderId="1" xfId="0" applyFont="1" applyFill="1" applyBorder="1" applyAlignment="1">
      <alignment vertical="center"/>
    </xf>
    <xf numFmtId="49" fontId="11" fillId="7" borderId="1" xfId="0" applyNumberFormat="1" applyFont="1" applyFill="1" applyBorder="1" applyAlignment="1">
      <alignment horizontal="center" vertical="center" wrapText="1"/>
    </xf>
    <xf numFmtId="0" fontId="22" fillId="2" borderId="1" xfId="0" applyFont="1" applyFill="1" applyBorder="1" applyAlignment="1">
      <alignment horizontal="left"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vertical="center" wrapText="1"/>
    </xf>
    <xf numFmtId="0" fontId="22" fillId="2" borderId="1" xfId="0" applyNumberFormat="1" applyFont="1" applyFill="1" applyBorder="1" applyAlignment="1">
      <alignment horizontal="left" vertical="center"/>
    </xf>
    <xf numFmtId="49" fontId="22" fillId="2" borderId="1" xfId="0" applyNumberFormat="1" applyFont="1" applyFill="1" applyBorder="1" applyAlignment="1">
      <alignment horizontal="left" vertical="center"/>
    </xf>
    <xf numFmtId="0" fontId="11" fillId="2" borderId="1" xfId="0" applyFont="1" applyFill="1" applyBorder="1" applyAlignment="1">
      <alignment horizontal="center" vertical="center"/>
    </xf>
    <xf numFmtId="1" fontId="11" fillId="2" borderId="1" xfId="0" applyNumberFormat="1" applyFont="1" applyFill="1" applyBorder="1" applyAlignment="1">
      <alignment horizontal="right" vertical="center"/>
    </xf>
    <xf numFmtId="2" fontId="11" fillId="2" borderId="1" xfId="0" applyNumberFormat="1" applyFont="1" applyFill="1" applyBorder="1" applyAlignment="1">
      <alignment horizontal="center" vertical="center"/>
    </xf>
    <xf numFmtId="0" fontId="11" fillId="6" borderId="0"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0" applyFont="1" applyFill="1" applyBorder="1" applyAlignment="1">
      <alignment horizontal="left" vertical="center"/>
    </xf>
    <xf numFmtId="49" fontId="11" fillId="6" borderId="1" xfId="0" applyNumberFormat="1" applyFont="1" applyFill="1" applyBorder="1" applyAlignment="1">
      <alignment horizontal="center" vertical="center" textRotation="90"/>
    </xf>
    <xf numFmtId="49" fontId="11" fillId="6" borderId="1" xfId="0" applyNumberFormat="1" applyFont="1" applyFill="1" applyBorder="1" applyAlignment="1">
      <alignment horizontal="center" vertical="center"/>
    </xf>
    <xf numFmtId="0" fontId="11" fillId="6" borderId="1" xfId="0" applyNumberFormat="1" applyFont="1" applyFill="1" applyBorder="1" applyAlignment="1">
      <alignment horizontal="center" vertical="center"/>
    </xf>
    <xf numFmtId="0" fontId="11" fillId="6" borderId="7" xfId="0" applyFont="1" applyFill="1" applyBorder="1" applyAlignment="1">
      <alignment horizontal="left" vertical="center"/>
    </xf>
    <xf numFmtId="0" fontId="11" fillId="6" borderId="12" xfId="0" applyNumberFormat="1" applyFont="1" applyFill="1" applyBorder="1" applyAlignment="1">
      <alignment horizontal="left" vertical="center"/>
    </xf>
    <xf numFmtId="2" fontId="11" fillId="6" borderId="1" xfId="0" applyNumberFormat="1" applyFont="1" applyFill="1" applyBorder="1" applyAlignment="1">
      <alignment horizontal="right" vertical="center"/>
    </xf>
    <xf numFmtId="2" fontId="11" fillId="6" borderId="7" xfId="0" applyNumberFormat="1" applyFont="1" applyFill="1" applyBorder="1" applyAlignment="1">
      <alignment horizontal="right" vertical="center"/>
    </xf>
    <xf numFmtId="2" fontId="11" fillId="6" borderId="8" xfId="0" applyNumberFormat="1" applyFont="1" applyFill="1" applyBorder="1" applyAlignment="1">
      <alignment horizontal="center" vertical="center"/>
    </xf>
    <xf numFmtId="0" fontId="11" fillId="6" borderId="8" xfId="0" applyNumberFormat="1" applyFont="1" applyFill="1" applyBorder="1" applyAlignment="1">
      <alignment horizontal="center" vertical="center"/>
    </xf>
    <xf numFmtId="2" fontId="11" fillId="6" borderId="1" xfId="0" applyNumberFormat="1" applyFont="1" applyFill="1" applyBorder="1" applyAlignment="1">
      <alignment horizontal="left" vertical="center"/>
    </xf>
    <xf numFmtId="1" fontId="11" fillId="6" borderId="7" xfId="0" applyNumberFormat="1" applyFont="1" applyFill="1" applyBorder="1" applyAlignment="1">
      <alignment horizontal="center" vertical="center"/>
    </xf>
    <xf numFmtId="1" fontId="11" fillId="6" borderId="1" xfId="0" applyNumberFormat="1" applyFont="1" applyFill="1" applyBorder="1" applyAlignment="1">
      <alignment horizontal="center" vertical="center"/>
    </xf>
    <xf numFmtId="1" fontId="11" fillId="6" borderId="25" xfId="0" applyNumberFormat="1" applyFont="1" applyFill="1" applyBorder="1" applyAlignment="1">
      <alignment horizontal="center" vertical="center"/>
    </xf>
    <xf numFmtId="0" fontId="11" fillId="6" borderId="9" xfId="0" applyFont="1" applyFill="1" applyBorder="1" applyAlignment="1">
      <alignment vertical="center"/>
    </xf>
    <xf numFmtId="0" fontId="11" fillId="6" borderId="1" xfId="0" applyFont="1" applyFill="1" applyBorder="1" applyAlignment="1">
      <alignment vertical="center"/>
    </xf>
    <xf numFmtId="1" fontId="11" fillId="6" borderId="14" xfId="0" applyNumberFormat="1" applyFont="1" applyFill="1" applyBorder="1" applyAlignment="1">
      <alignment horizontal="center" vertical="center"/>
    </xf>
    <xf numFmtId="1" fontId="11" fillId="6" borderId="9" xfId="0" applyNumberFormat="1" applyFont="1" applyFill="1" applyBorder="1" applyAlignment="1">
      <alignment horizontal="center" vertical="center"/>
    </xf>
    <xf numFmtId="0" fontId="11" fillId="6" borderId="1" xfId="0" applyNumberFormat="1" applyFont="1" applyFill="1" applyBorder="1" applyAlignment="1">
      <alignment horizontal="left" vertical="center"/>
    </xf>
    <xf numFmtId="49" fontId="11" fillId="6" borderId="0" xfId="0" applyNumberFormat="1" applyFont="1" applyFill="1" applyBorder="1" applyAlignment="1">
      <alignment vertical="center"/>
    </xf>
    <xf numFmtId="0" fontId="11" fillId="6" borderId="0" xfId="0" applyNumberFormat="1" applyFont="1" applyFill="1" applyBorder="1" applyAlignment="1">
      <alignment vertical="center"/>
    </xf>
    <xf numFmtId="0" fontId="11" fillId="6" borderId="0" xfId="0" applyNumberFormat="1" applyFont="1" applyFill="1" applyBorder="1" applyAlignment="1">
      <alignment horizontal="left" vertical="center"/>
    </xf>
    <xf numFmtId="0" fontId="11" fillId="6" borderId="0" xfId="0" applyFont="1" applyFill="1" applyAlignment="1">
      <alignment vertical="center"/>
    </xf>
    <xf numFmtId="49" fontId="11" fillId="6" borderId="0" xfId="0" applyNumberFormat="1" applyFont="1" applyFill="1" applyBorder="1" applyAlignment="1">
      <alignment horizontal="left" vertical="center"/>
    </xf>
    <xf numFmtId="0" fontId="11" fillId="6" borderId="0" xfId="0" applyNumberFormat="1" applyFont="1" applyFill="1" applyAlignment="1">
      <alignment horizontal="center" vertical="center"/>
    </xf>
    <xf numFmtId="2" fontId="11" fillId="6" borderId="0" xfId="0" applyNumberFormat="1" applyFont="1" applyFill="1" applyBorder="1" applyAlignment="1">
      <alignment horizontal="left" vertical="center"/>
    </xf>
    <xf numFmtId="1" fontId="11" fillId="6" borderId="0" xfId="0" applyNumberFormat="1" applyFont="1" applyFill="1" applyBorder="1" applyAlignment="1">
      <alignment horizontal="center" vertical="center"/>
    </xf>
    <xf numFmtId="0" fontId="11" fillId="6" borderId="0" xfId="0" applyFont="1" applyFill="1" applyBorder="1" applyAlignment="1">
      <alignment horizontal="center" vertical="center"/>
    </xf>
    <xf numFmtId="2" fontId="11" fillId="6" borderId="0" xfId="0" applyNumberFormat="1" applyFont="1" applyFill="1" applyBorder="1" applyAlignment="1">
      <alignment horizontal="center" vertical="center"/>
    </xf>
    <xf numFmtId="1" fontId="11" fillId="6" borderId="0" xfId="0" applyNumberFormat="1" applyFont="1" applyFill="1" applyBorder="1" applyAlignment="1">
      <alignment horizontal="right" vertical="center"/>
    </xf>
    <xf numFmtId="0" fontId="11" fillId="6" borderId="0" xfId="0" applyFont="1" applyFill="1" applyBorder="1" applyAlignment="1">
      <alignment vertical="center"/>
    </xf>
    <xf numFmtId="0" fontId="47" fillId="2" borderId="7" xfId="0" applyNumberFormat="1" applyFont="1" applyFill="1" applyBorder="1" applyAlignment="1">
      <alignment vertical="center" wrapText="1"/>
    </xf>
    <xf numFmtId="0" fontId="47" fillId="2" borderId="9" xfId="0" applyNumberFormat="1" applyFont="1" applyFill="1" applyBorder="1" applyAlignment="1">
      <alignment horizontal="left" vertical="center" wrapText="1"/>
    </xf>
    <xf numFmtId="49" fontId="47" fillId="0" borderId="7" xfId="0" applyNumberFormat="1" applyFont="1" applyBorder="1" applyAlignment="1">
      <alignment horizontal="right" vertical="center"/>
    </xf>
    <xf numFmtId="0" fontId="47" fillId="0" borderId="9" xfId="0" applyNumberFormat="1" applyFont="1" applyBorder="1" applyAlignment="1">
      <alignment horizontal="left" vertical="center"/>
    </xf>
    <xf numFmtId="0" fontId="47" fillId="2" borderId="7" xfId="0" applyNumberFormat="1" applyFont="1" applyFill="1" applyBorder="1" applyAlignment="1">
      <alignment horizontal="right" vertical="center" wrapText="1"/>
    </xf>
    <xf numFmtId="0" fontId="47" fillId="2" borderId="1" xfId="0" applyFont="1" applyFill="1" applyBorder="1" applyAlignment="1">
      <alignment horizontal="center" vertical="center"/>
    </xf>
    <xf numFmtId="2" fontId="47" fillId="2" borderId="1" xfId="0" applyNumberFormat="1" applyFont="1" applyFill="1" applyBorder="1" applyAlignment="1">
      <alignment horizontal="center" vertical="center" wrapText="1"/>
    </xf>
    <xf numFmtId="2" fontId="47" fillId="2" borderId="1" xfId="0" applyNumberFormat="1" applyFont="1" applyFill="1" applyBorder="1" applyAlignment="1">
      <alignment horizontal="center" vertical="center"/>
    </xf>
    <xf numFmtId="0" fontId="47" fillId="2" borderId="13" xfId="0" applyNumberFormat="1" applyFont="1" applyFill="1" applyBorder="1" applyAlignment="1">
      <alignment horizontal="left" vertical="center" wrapText="1"/>
    </xf>
    <xf numFmtId="2" fontId="47" fillId="2" borderId="12" xfId="0" applyNumberFormat="1" applyFont="1" applyFill="1" applyBorder="1" applyAlignment="1">
      <alignment horizontal="center" vertical="center"/>
    </xf>
    <xf numFmtId="2" fontId="47" fillId="2" borderId="7" xfId="0" applyNumberFormat="1" applyFont="1" applyFill="1" applyBorder="1" applyAlignment="1">
      <alignment horizontal="center" vertical="center"/>
    </xf>
    <xf numFmtId="0" fontId="22" fillId="0" borderId="0" xfId="0" applyNumberFormat="1" applyFont="1" applyAlignment="1">
      <alignment wrapText="1"/>
    </xf>
    <xf numFmtId="1" fontId="22"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wrapText="1"/>
    </xf>
    <xf numFmtId="0" fontId="22" fillId="2" borderId="0" xfId="0" applyFont="1" applyFill="1" applyAlignment="1">
      <alignment vertical="center" wrapText="1"/>
    </xf>
    <xf numFmtId="0" fontId="22" fillId="2" borderId="0" xfId="0" applyNumberFormat="1" applyFont="1" applyFill="1" applyBorder="1" applyAlignment="1">
      <alignment vertical="center"/>
    </xf>
    <xf numFmtId="0" fontId="22" fillId="2" borderId="0" xfId="0" applyNumberFormat="1" applyFont="1" applyFill="1" applyBorder="1" applyAlignment="1">
      <alignment horizontal="center" vertical="center"/>
    </xf>
    <xf numFmtId="0" fontId="22" fillId="2" borderId="0" xfId="0" applyNumberFormat="1" applyFont="1" applyFill="1" applyBorder="1" applyAlignment="1">
      <alignment horizontal="left" vertical="center"/>
    </xf>
    <xf numFmtId="0" fontId="22" fillId="2" borderId="0" xfId="0" applyFont="1" applyFill="1" applyBorder="1" applyAlignment="1">
      <alignment vertical="center"/>
    </xf>
    <xf numFmtId="0" fontId="22" fillId="2" borderId="0" xfId="0" applyNumberFormat="1" applyFont="1" applyFill="1" applyAlignment="1">
      <alignment horizontal="center" vertical="center"/>
    </xf>
    <xf numFmtId="0" fontId="22" fillId="2" borderId="0" xfId="0" applyNumberFormat="1" applyFont="1" applyFill="1" applyAlignment="1">
      <alignment horizontal="center" wrapText="1"/>
    </xf>
    <xf numFmtId="0" fontId="49" fillId="0" borderId="0" xfId="0" applyNumberFormat="1" applyFont="1" applyBorder="1" applyAlignment="1">
      <alignment wrapText="1"/>
    </xf>
    <xf numFmtId="0" fontId="49" fillId="0" borderId="0" xfId="0" applyNumberFormat="1" applyFont="1" applyBorder="1" applyAlignment="1">
      <alignment horizontal="left" wrapText="1"/>
    </xf>
    <xf numFmtId="0" fontId="49" fillId="0" borderId="0" xfId="0" applyNumberFormat="1" applyFont="1" applyBorder="1" applyAlignment="1">
      <alignment horizontal="center" wrapText="1"/>
    </xf>
    <xf numFmtId="0" fontId="11" fillId="0" borderId="0" xfId="0" applyNumberFormat="1" applyFont="1" applyBorder="1" applyAlignment="1"/>
    <xf numFmtId="0" fontId="22" fillId="2" borderId="0" xfId="0" applyFont="1" applyFill="1" applyBorder="1" applyAlignment="1">
      <alignment horizontal="left" vertical="center"/>
    </xf>
    <xf numFmtId="0" fontId="22" fillId="2" borderId="0" xfId="0" applyNumberFormat="1" applyFont="1" applyFill="1" applyBorder="1" applyAlignment="1">
      <alignment horizontal="left" vertical="center" wrapText="1"/>
    </xf>
    <xf numFmtId="49" fontId="22" fillId="2" borderId="0" xfId="0" applyNumberFormat="1" applyFont="1" applyFill="1" applyBorder="1" applyAlignment="1">
      <alignment horizontal="left" vertical="center"/>
    </xf>
    <xf numFmtId="2" fontId="22" fillId="2" borderId="0" xfId="0" applyNumberFormat="1" applyFont="1" applyFill="1" applyBorder="1" applyAlignment="1">
      <alignment horizontal="left" vertical="center"/>
    </xf>
    <xf numFmtId="0" fontId="11" fillId="2" borderId="0" xfId="0"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xf>
    <xf numFmtId="1" fontId="22"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1" fontId="11" fillId="2" borderId="0" xfId="0" applyNumberFormat="1" applyFont="1" applyFill="1" applyBorder="1" applyAlignment="1">
      <alignment horizontal="right" vertical="center"/>
    </xf>
    <xf numFmtId="2" fontId="11" fillId="2" borderId="0" xfId="0" applyNumberFormat="1" applyFont="1" applyFill="1" applyBorder="1" applyAlignment="1">
      <alignment horizontal="center" vertical="center"/>
    </xf>
    <xf numFmtId="0" fontId="22" fillId="7" borderId="0" xfId="0" applyNumberFormat="1" applyFont="1" applyFill="1" applyBorder="1" applyAlignment="1">
      <alignment horizontal="center" vertical="center" wrapText="1"/>
    </xf>
    <xf numFmtId="0" fontId="22" fillId="7" borderId="0" xfId="0" applyNumberFormat="1" applyFont="1" applyFill="1" applyAlignment="1">
      <alignment horizontal="center" wrapText="1"/>
    </xf>
    <xf numFmtId="0" fontId="22" fillId="7" borderId="0" xfId="0" applyNumberFormat="1" applyFont="1" applyFill="1" applyAlignment="1">
      <alignment wrapText="1"/>
    </xf>
    <xf numFmtId="0" fontId="49" fillId="7" borderId="0" xfId="0" applyNumberFormat="1" applyFont="1" applyFill="1" applyBorder="1" applyAlignment="1">
      <alignment wrapText="1"/>
    </xf>
    <xf numFmtId="0" fontId="49" fillId="7" borderId="0" xfId="0" applyNumberFormat="1" applyFont="1" applyFill="1" applyBorder="1" applyAlignment="1">
      <alignment horizontal="left" wrapText="1"/>
    </xf>
    <xf numFmtId="0" fontId="49" fillId="7" borderId="0" xfId="0" applyNumberFormat="1" applyFont="1" applyFill="1" applyBorder="1" applyAlignment="1">
      <alignment horizontal="center" wrapText="1"/>
    </xf>
    <xf numFmtId="2" fontId="22" fillId="7" borderId="0" xfId="0" applyNumberFormat="1" applyFont="1" applyFill="1" applyBorder="1" applyAlignment="1">
      <alignment horizontal="center" vertical="center"/>
    </xf>
    <xf numFmtId="0" fontId="11" fillId="7" borderId="0" xfId="0" applyNumberFormat="1" applyFont="1" applyFill="1" applyBorder="1" applyAlignment="1"/>
    <xf numFmtId="0" fontId="22" fillId="7" borderId="0" xfId="0" applyFont="1" applyFill="1" applyBorder="1" applyAlignment="1">
      <alignment horizontal="left" vertical="center"/>
    </xf>
    <xf numFmtId="0" fontId="22" fillId="7" borderId="0" xfId="0" applyNumberFormat="1" applyFont="1" applyFill="1" applyBorder="1" applyAlignment="1">
      <alignment horizontal="left" vertical="center" wrapText="1"/>
    </xf>
    <xf numFmtId="49" fontId="22" fillId="7" borderId="0" xfId="0" applyNumberFormat="1" applyFont="1" applyFill="1" applyBorder="1" applyAlignment="1">
      <alignment horizontal="center" vertical="center"/>
    </xf>
    <xf numFmtId="0" fontId="22" fillId="7" borderId="0" xfId="0" applyFont="1" applyFill="1" applyAlignment="1">
      <alignment vertical="center" wrapText="1"/>
    </xf>
    <xf numFmtId="0" fontId="22" fillId="7" borderId="0" xfId="0" applyNumberFormat="1" applyFont="1" applyFill="1" applyBorder="1" applyAlignment="1">
      <alignment vertical="center"/>
    </xf>
    <xf numFmtId="0" fontId="22" fillId="7" borderId="0" xfId="0" applyNumberFormat="1" applyFont="1" applyFill="1" applyBorder="1" applyAlignment="1">
      <alignment horizontal="center" vertical="center"/>
    </xf>
    <xf numFmtId="0" fontId="22" fillId="7" borderId="0" xfId="0" applyNumberFormat="1" applyFont="1" applyFill="1" applyBorder="1" applyAlignment="1">
      <alignment horizontal="left" vertical="center"/>
    </xf>
    <xf numFmtId="49" fontId="22" fillId="7" borderId="0" xfId="0" applyNumberFormat="1" applyFont="1" applyFill="1" applyBorder="1" applyAlignment="1">
      <alignment horizontal="left" vertical="center"/>
    </xf>
    <xf numFmtId="0" fontId="22" fillId="7" borderId="0" xfId="0" applyNumberFormat="1" applyFont="1" applyFill="1" applyAlignment="1">
      <alignment horizontal="center" vertical="center"/>
    </xf>
    <xf numFmtId="2" fontId="22" fillId="7" borderId="0" xfId="0" applyNumberFormat="1" applyFont="1" applyFill="1" applyBorder="1" applyAlignment="1">
      <alignment horizontal="left" vertical="center"/>
    </xf>
    <xf numFmtId="0" fontId="11" fillId="7" borderId="0" xfId="0" applyNumberFormat="1" applyFont="1" applyFill="1" applyBorder="1" applyAlignment="1">
      <alignment horizontal="center" vertical="center" wrapText="1"/>
    </xf>
    <xf numFmtId="1" fontId="11" fillId="7" borderId="0" xfId="0" applyNumberFormat="1" applyFont="1" applyFill="1" applyBorder="1" applyAlignment="1">
      <alignment horizontal="center" vertical="center"/>
    </xf>
    <xf numFmtId="1" fontId="22" fillId="7" borderId="0" xfId="0" applyNumberFormat="1" applyFont="1" applyFill="1" applyBorder="1" applyAlignment="1">
      <alignment horizontal="center" vertical="center" wrapText="1"/>
    </xf>
    <xf numFmtId="1" fontId="22" fillId="7" borderId="0" xfId="0" applyNumberFormat="1" applyFont="1" applyFill="1" applyBorder="1" applyAlignment="1">
      <alignment horizontal="center" vertical="center"/>
    </xf>
    <xf numFmtId="0" fontId="11" fillId="7" borderId="0" xfId="0" applyFont="1" applyFill="1" applyBorder="1" applyAlignment="1">
      <alignment horizontal="center" vertical="center"/>
    </xf>
    <xf numFmtId="1" fontId="11" fillId="7" borderId="0" xfId="0" applyNumberFormat="1" applyFont="1" applyFill="1" applyBorder="1" applyAlignment="1">
      <alignment horizontal="right" vertical="center"/>
    </xf>
    <xf numFmtId="2" fontId="11" fillId="7" borderId="0" xfId="0" applyNumberFormat="1" applyFont="1" applyFill="1" applyBorder="1" applyAlignment="1">
      <alignment horizontal="center" vertical="center"/>
    </xf>
    <xf numFmtId="0" fontId="22" fillId="7" borderId="0" xfId="0" applyFont="1" applyFill="1" applyBorder="1" applyAlignment="1">
      <alignment vertical="center"/>
    </xf>
    <xf numFmtId="49" fontId="47" fillId="6" borderId="7" xfId="0" applyNumberFormat="1" applyFont="1" applyFill="1" applyBorder="1" applyAlignment="1">
      <alignment horizontal="right" vertical="center"/>
    </xf>
    <xf numFmtId="49" fontId="47" fillId="6" borderId="8" xfId="0" applyNumberFormat="1" applyFont="1" applyFill="1" applyBorder="1" applyAlignment="1">
      <alignment horizontal="center" vertical="center"/>
    </xf>
    <xf numFmtId="0" fontId="47" fillId="2" borderId="8" xfId="0" applyNumberFormat="1" applyFont="1" applyFill="1" applyBorder="1" applyAlignment="1">
      <alignment horizontal="left" vertical="center" wrapText="1"/>
    </xf>
    <xf numFmtId="0" fontId="16" fillId="0" borderId="0" xfId="0" applyNumberFormat="1" applyFont="1" applyBorder="1" applyAlignment="1">
      <alignment vertical="center"/>
    </xf>
    <xf numFmtId="1" fontId="16" fillId="0" borderId="0" xfId="0" applyNumberFormat="1" applyFont="1" applyBorder="1" applyAlignment="1">
      <alignment horizontal="right" vertical="center"/>
    </xf>
    <xf numFmtId="1" fontId="22" fillId="0" borderId="0" xfId="0" applyNumberFormat="1" applyFont="1" applyBorder="1" applyAlignment="1">
      <alignment horizontal="center" vertical="center" wrapText="1"/>
    </xf>
    <xf numFmtId="2" fontId="16" fillId="0" borderId="0" xfId="0" applyNumberFormat="1" applyFont="1" applyBorder="1" applyAlignment="1">
      <alignment vertical="center"/>
    </xf>
    <xf numFmtId="0" fontId="25" fillId="0" borderId="0" xfId="0" applyFont="1" applyFill="1" applyBorder="1" applyAlignment="1">
      <alignment horizontal="left"/>
    </xf>
    <xf numFmtId="2" fontId="47" fillId="0" borderId="8" xfId="0" applyNumberFormat="1" applyFont="1" applyBorder="1" applyAlignment="1">
      <alignment horizontal="left" vertical="center"/>
    </xf>
    <xf numFmtId="2" fontId="47" fillId="6" borderId="8" xfId="0" applyNumberFormat="1" applyFont="1" applyFill="1" applyBorder="1" applyAlignment="1">
      <alignment horizontal="left" vertical="center"/>
    </xf>
    <xf numFmtId="0" fontId="47" fillId="2" borderId="8" xfId="0" applyFont="1" applyFill="1" applyBorder="1" applyAlignment="1">
      <alignment horizontal="left" vertical="center"/>
    </xf>
    <xf numFmtId="49" fontId="21" fillId="2" borderId="0" xfId="0" applyNumberFormat="1" applyFont="1" applyFill="1" applyBorder="1" applyAlignment="1">
      <alignment horizontal="left" vertical="center" wrapText="1"/>
    </xf>
    <xf numFmtId="2" fontId="28" fillId="2" borderId="0" xfId="0" applyNumberFormat="1" applyFont="1" applyFill="1" applyAlignment="1">
      <alignment horizontal="left"/>
    </xf>
    <xf numFmtId="0" fontId="13" fillId="2" borderId="0" xfId="0" applyNumberFormat="1" applyFont="1" applyFill="1" applyBorder="1" applyAlignment="1">
      <alignment horizontal="left"/>
    </xf>
    <xf numFmtId="49" fontId="47" fillId="0" borderId="8" xfId="0" applyNumberFormat="1" applyFont="1" applyBorder="1" applyAlignment="1">
      <alignment horizontal="left" vertical="center"/>
    </xf>
    <xf numFmtId="49" fontId="47" fillId="6" borderId="8" xfId="0" applyNumberFormat="1" applyFont="1" applyFill="1" applyBorder="1" applyAlignment="1">
      <alignment horizontal="left" vertical="center"/>
    </xf>
    <xf numFmtId="0" fontId="47" fillId="6" borderId="9" xfId="0" applyNumberFormat="1" applyFont="1" applyFill="1" applyBorder="1" applyAlignment="1">
      <alignment horizontal="left" vertical="center"/>
    </xf>
    <xf numFmtId="0" fontId="47" fillId="2" borderId="7" xfId="0" applyFont="1" applyFill="1" applyBorder="1" applyAlignment="1">
      <alignment vertical="center"/>
    </xf>
    <xf numFmtId="0" fontId="33" fillId="0" borderId="0" xfId="0" applyNumberFormat="1" applyFont="1" applyBorder="1" applyAlignment="1">
      <alignment horizontal="left" wrapText="1"/>
    </xf>
    <xf numFmtId="2" fontId="21" fillId="2" borderId="0" xfId="0" applyNumberFormat="1" applyFont="1" applyFill="1" applyBorder="1" applyAlignment="1">
      <alignment horizontal="left"/>
    </xf>
    <xf numFmtId="49" fontId="47" fillId="0" borderId="9" xfId="0" applyNumberFormat="1" applyFont="1" applyBorder="1" applyAlignment="1">
      <alignment horizontal="left" vertical="center"/>
    </xf>
    <xf numFmtId="2" fontId="16" fillId="0" borderId="0" xfId="0" applyNumberFormat="1" applyFont="1" applyBorder="1" applyAlignment="1">
      <alignment horizontal="left" vertical="center"/>
    </xf>
    <xf numFmtId="2" fontId="16" fillId="0" borderId="0" xfId="0" applyNumberFormat="1" applyFont="1" applyAlignment="1">
      <alignment horizontal="left" vertical="center"/>
    </xf>
    <xf numFmtId="2" fontId="28" fillId="2" borderId="0" xfId="0" applyNumberFormat="1" applyFont="1" applyFill="1" applyAlignment="1">
      <alignment wrapText="1"/>
    </xf>
    <xf numFmtId="0" fontId="25" fillId="2" borderId="0" xfId="0" applyFont="1" applyFill="1" applyBorder="1" applyAlignment="1">
      <alignment horizontal="right" wrapText="1"/>
    </xf>
    <xf numFmtId="0" fontId="20" fillId="2" borderId="0" xfId="0" applyNumberFormat="1" applyFont="1" applyFill="1" applyAlignment="1">
      <alignment horizontal="center" vertical="center" wrapText="1"/>
    </xf>
    <xf numFmtId="0" fontId="11" fillId="7" borderId="1" xfId="0" applyNumberFormat="1" applyFont="1" applyFill="1" applyBorder="1" applyAlignment="1">
      <alignment horizontal="center" vertical="center" wrapText="1"/>
    </xf>
    <xf numFmtId="0" fontId="14" fillId="0" borderId="0" xfId="0" applyFont="1" applyAlignment="1">
      <alignment horizontal="left" vertical="center"/>
    </xf>
    <xf numFmtId="0" fontId="25" fillId="2" borderId="0" xfId="0" applyFont="1" applyFill="1" applyBorder="1" applyAlignment="1">
      <alignment horizontal="left"/>
    </xf>
    <xf numFmtId="1" fontId="25" fillId="2" borderId="1" xfId="0" applyNumberFormat="1" applyFont="1" applyFill="1" applyBorder="1" applyAlignment="1">
      <alignment horizontal="left" vertical="center" wrapText="1"/>
    </xf>
    <xf numFmtId="0" fontId="16" fillId="0" borderId="0" xfId="0" applyFont="1" applyBorder="1" applyAlignment="1">
      <alignment horizontal="left" vertical="center"/>
    </xf>
    <xf numFmtId="49" fontId="20" fillId="6" borderId="17" xfId="0" applyNumberFormat="1" applyFont="1" applyFill="1" applyBorder="1" applyAlignment="1">
      <alignment horizontal="left" vertical="center"/>
    </xf>
    <xf numFmtId="49" fontId="21" fillId="2" borderId="0" xfId="0" applyNumberFormat="1" applyFont="1" applyFill="1" applyBorder="1" applyAlignment="1">
      <alignment horizontal="center"/>
    </xf>
    <xf numFmtId="49" fontId="47" fillId="2" borderId="7"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6" fillId="10" borderId="0" xfId="0" applyFont="1" applyFill="1"/>
    <xf numFmtId="0" fontId="50" fillId="10" borderId="7" xfId="0" applyFont="1" applyFill="1" applyBorder="1" applyAlignment="1">
      <alignment horizontal="right" vertical="center"/>
    </xf>
    <xf numFmtId="0" fontId="50" fillId="10" borderId="8" xfId="0" applyFont="1" applyFill="1" applyBorder="1" applyAlignment="1">
      <alignment horizontal="left" vertical="center"/>
    </xf>
    <xf numFmtId="0" fontId="0" fillId="6" borderId="0" xfId="0" applyFill="1" applyAlignment="1">
      <alignment horizontal="left"/>
    </xf>
    <xf numFmtId="0" fontId="14" fillId="6" borderId="0" xfId="0" applyFont="1" applyFill="1" applyAlignment="1">
      <alignment vertical="center"/>
    </xf>
    <xf numFmtId="0" fontId="0" fillId="0" borderId="0" xfId="0" applyBorder="1"/>
    <xf numFmtId="2" fontId="11" fillId="6" borderId="1" xfId="0" applyNumberFormat="1" applyFont="1" applyFill="1" applyBorder="1" applyAlignment="1">
      <alignment horizontal="center" vertical="center"/>
    </xf>
    <xf numFmtId="0" fontId="14" fillId="0" borderId="0" xfId="0" applyFont="1" applyAlignment="1">
      <alignment horizontal="right" vertical="center"/>
    </xf>
    <xf numFmtId="0" fontId="22" fillId="2" borderId="9" xfId="0" applyFont="1" applyFill="1" applyBorder="1" applyAlignment="1">
      <alignment vertical="center"/>
    </xf>
    <xf numFmtId="0" fontId="25" fillId="0" borderId="0" xfId="0" applyFont="1" applyBorder="1" applyAlignment="1">
      <alignment vertical="center"/>
    </xf>
    <xf numFmtId="0" fontId="3" fillId="6" borderId="20" xfId="0" applyFont="1" applyFill="1" applyBorder="1" applyAlignment="1">
      <alignment horizontal="center" vertical="center" wrapText="1"/>
    </xf>
    <xf numFmtId="2" fontId="11" fillId="6" borderId="13" xfId="0" applyNumberFormat="1" applyFont="1" applyFill="1" applyBorder="1" applyAlignment="1">
      <alignment horizontal="right" vertical="center"/>
    </xf>
    <xf numFmtId="2" fontId="11" fillId="6" borderId="23" xfId="0" applyNumberFormat="1" applyFont="1" applyFill="1" applyBorder="1" applyAlignment="1">
      <alignment horizontal="center" vertical="center"/>
    </xf>
    <xf numFmtId="0" fontId="47" fillId="6" borderId="13" xfId="0" applyNumberFormat="1" applyFont="1" applyFill="1" applyBorder="1" applyAlignment="1">
      <alignment horizontal="center" vertical="center"/>
    </xf>
    <xf numFmtId="0" fontId="47" fillId="6" borderId="12" xfId="0" applyNumberFormat="1" applyFont="1" applyFill="1" applyBorder="1" applyAlignment="1">
      <alignment horizontal="left" vertical="center" wrapText="1"/>
    </xf>
    <xf numFmtId="0" fontId="22" fillId="0" borderId="0" xfId="0" applyFont="1" applyAlignment="1">
      <alignment vertical="center"/>
    </xf>
    <xf numFmtId="0" fontId="11" fillId="0" borderId="6" xfId="0" applyFont="1" applyBorder="1" applyAlignment="1">
      <alignment vertical="center" wrapText="1"/>
    </xf>
    <xf numFmtId="0" fontId="22" fillId="2" borderId="0" xfId="0" applyFont="1" applyFill="1" applyAlignment="1">
      <alignment horizontal="right" vertical="center"/>
    </xf>
    <xf numFmtId="0" fontId="11" fillId="0" borderId="10" xfId="0" applyFont="1" applyBorder="1" applyAlignment="1">
      <alignment vertical="center" wrapText="1"/>
    </xf>
    <xf numFmtId="0" fontId="11" fillId="0" borderId="3" xfId="0" applyFont="1" applyBorder="1" applyAlignment="1">
      <alignment vertical="center" wrapText="1"/>
    </xf>
    <xf numFmtId="1" fontId="51" fillId="7" borderId="1" xfId="0" applyNumberFormat="1" applyFont="1" applyFill="1" applyBorder="1" applyAlignment="1">
      <alignment horizontal="center" vertical="center" textRotation="90" wrapText="1"/>
    </xf>
    <xf numFmtId="0" fontId="22" fillId="0" borderId="0" xfId="0" applyFont="1" applyBorder="1" applyAlignment="1">
      <alignment vertical="center"/>
    </xf>
    <xf numFmtId="0" fontId="11" fillId="0" borderId="8" xfId="0" applyFont="1" applyBorder="1" applyAlignment="1">
      <alignment vertical="center" wrapText="1"/>
    </xf>
    <xf numFmtId="0" fontId="22" fillId="2" borderId="8" xfId="0" applyNumberFormat="1" applyFont="1" applyFill="1" applyBorder="1" applyAlignment="1">
      <alignment horizontal="left" vertical="center" wrapText="1"/>
    </xf>
    <xf numFmtId="0" fontId="22" fillId="7" borderId="1" xfId="0" applyFont="1" applyFill="1" applyBorder="1" applyAlignment="1">
      <alignment vertical="center"/>
    </xf>
    <xf numFmtId="0" fontId="22" fillId="7" borderId="3" xfId="0" applyFont="1" applyFill="1" applyBorder="1" applyAlignment="1">
      <alignment vertical="center"/>
    </xf>
    <xf numFmtId="0" fontId="21" fillId="2" borderId="0" xfId="0" applyFont="1" applyFill="1" applyBorder="1" applyAlignment="1">
      <alignment horizontal="left" wrapText="1"/>
    </xf>
    <xf numFmtId="0" fontId="0" fillId="0" borderId="0" xfId="0" applyAlignment="1">
      <alignment horizontal="center"/>
    </xf>
    <xf numFmtId="0" fontId="11" fillId="7" borderId="1" xfId="0" applyFont="1" applyFill="1" applyBorder="1" applyAlignment="1">
      <alignment horizontal="center" vertical="center" wrapText="1"/>
    </xf>
    <xf numFmtId="0" fontId="13" fillId="0" borderId="0" xfId="0" applyFont="1" applyAlignment="1">
      <alignment wrapText="1"/>
    </xf>
    <xf numFmtId="0" fontId="22" fillId="0" borderId="12" xfId="0" applyFont="1" applyBorder="1" applyAlignment="1">
      <alignment horizontal="center" vertical="center" wrapText="1"/>
    </xf>
    <xf numFmtId="0" fontId="49" fillId="10" borderId="1" xfId="0" applyFont="1" applyFill="1" applyBorder="1" applyAlignment="1">
      <alignment horizontal="center" vertical="center"/>
    </xf>
    <xf numFmtId="0" fontId="13" fillId="0" borderId="0" xfId="0" applyFont="1" applyAlignment="1">
      <alignment vertical="center" wrapText="1"/>
    </xf>
    <xf numFmtId="2" fontId="52" fillId="2" borderId="0" xfId="0" applyNumberFormat="1" applyFont="1" applyFill="1" applyAlignment="1">
      <alignment horizontal="left"/>
    </xf>
    <xf numFmtId="2" fontId="25" fillId="2" borderId="0" xfId="0" applyNumberFormat="1" applyFont="1" applyFill="1" applyAlignment="1">
      <alignment horizontal="left" wrapText="1"/>
    </xf>
    <xf numFmtId="2" fontId="52" fillId="2" borderId="0" xfId="0" applyNumberFormat="1" applyFont="1" applyFill="1" applyAlignment="1">
      <alignment horizontal="left" wrapText="1"/>
    </xf>
    <xf numFmtId="2" fontId="52" fillId="2" borderId="0" xfId="0" applyNumberFormat="1" applyFont="1" applyFill="1" applyAlignment="1">
      <alignment horizontal="center"/>
    </xf>
    <xf numFmtId="2" fontId="52" fillId="2" borderId="0" xfId="0" applyNumberFormat="1" applyFont="1" applyFill="1" applyAlignment="1"/>
    <xf numFmtId="0" fontId="21" fillId="2" borderId="0" xfId="0" applyNumberFormat="1" applyFont="1" applyFill="1" applyAlignment="1">
      <alignment horizontal="right"/>
    </xf>
    <xf numFmtId="0" fontId="21" fillId="2" borderId="0" xfId="0" applyNumberFormat="1" applyFont="1" applyFill="1" applyBorder="1" applyAlignment="1">
      <alignment horizontal="left"/>
    </xf>
    <xf numFmtId="0" fontId="11" fillId="0" borderId="1" xfId="0" applyFont="1" applyBorder="1" applyAlignment="1">
      <alignment vertical="center" wrapText="1"/>
    </xf>
    <xf numFmtId="0" fontId="11" fillId="0" borderId="7" xfId="0" applyFont="1" applyBorder="1" applyAlignment="1">
      <alignment vertical="center" wrapText="1"/>
    </xf>
    <xf numFmtId="0" fontId="11" fillId="7" borderId="3" xfId="0" applyFont="1" applyFill="1" applyBorder="1" applyAlignment="1">
      <alignment vertical="center" wrapText="1"/>
    </xf>
    <xf numFmtId="0" fontId="22" fillId="0" borderId="8" xfId="0" applyFont="1" applyBorder="1" applyAlignment="1">
      <alignment vertical="center" wrapText="1"/>
    </xf>
    <xf numFmtId="0" fontId="22" fillId="0" borderId="13" xfId="0" applyFont="1" applyBorder="1" applyAlignment="1">
      <alignment horizontal="center" vertical="center" wrapText="1"/>
    </xf>
    <xf numFmtId="0" fontId="49" fillId="10" borderId="0" xfId="0" applyFont="1" applyFill="1" applyAlignment="1">
      <alignment horizontal="center" vertical="center"/>
    </xf>
    <xf numFmtId="0" fontId="49" fillId="10" borderId="1" xfId="0" applyFont="1" applyFill="1" applyBorder="1" applyAlignment="1">
      <alignment horizontal="center" vertical="center" wrapText="1"/>
    </xf>
    <xf numFmtId="0" fontId="49" fillId="10" borderId="7" xfId="0" applyFont="1" applyFill="1" applyBorder="1" applyAlignment="1">
      <alignment vertical="center"/>
    </xf>
    <xf numFmtId="0" fontId="49" fillId="10" borderId="1" xfId="0" applyFont="1" applyFill="1" applyBorder="1" applyAlignment="1">
      <alignment vertical="center"/>
    </xf>
    <xf numFmtId="0" fontId="49" fillId="10" borderId="0" xfId="0" applyFont="1" applyFill="1" applyAlignment="1">
      <alignment horizontal="left" vertical="center"/>
    </xf>
    <xf numFmtId="0" fontId="11" fillId="9" borderId="0" xfId="0" applyFont="1" applyFill="1" applyAlignment="1">
      <alignment horizontal="center" vertical="center"/>
    </xf>
    <xf numFmtId="0" fontId="11" fillId="9" borderId="1" xfId="0" applyFont="1" applyFill="1" applyBorder="1" applyAlignment="1">
      <alignment horizontal="center" vertical="center"/>
    </xf>
    <xf numFmtId="0" fontId="11" fillId="9"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9" borderId="7" xfId="0" applyFont="1" applyFill="1" applyBorder="1" applyAlignment="1">
      <alignment vertical="center"/>
    </xf>
    <xf numFmtId="0" fontId="11" fillId="7" borderId="1" xfId="0" applyFont="1" applyFill="1" applyBorder="1" applyAlignment="1">
      <alignment vertical="center"/>
    </xf>
    <xf numFmtId="0" fontId="11" fillId="9" borderId="13" xfId="0" applyFont="1" applyFill="1" applyBorder="1" applyAlignment="1">
      <alignment horizontal="center" vertical="center" wrapText="1"/>
    </xf>
    <xf numFmtId="0" fontId="11" fillId="9" borderId="23"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8" xfId="0" applyFont="1" applyFill="1" applyBorder="1" applyAlignment="1">
      <alignment horizontal="left" vertical="center"/>
    </xf>
    <xf numFmtId="0" fontId="11" fillId="8" borderId="8" xfId="0" applyFont="1" applyFill="1" applyBorder="1" applyAlignment="1">
      <alignment horizontal="center" vertical="center" textRotation="90"/>
    </xf>
    <xf numFmtId="0" fontId="11" fillId="8" borderId="9" xfId="0" applyFont="1" applyFill="1" applyBorder="1" applyAlignment="1">
      <alignment horizontal="center" vertical="center"/>
    </xf>
    <xf numFmtId="0" fontId="11" fillId="9" borderId="7" xfId="0" applyFont="1" applyFill="1" applyBorder="1" applyAlignment="1">
      <alignment horizontal="center" vertical="center" wrapText="1"/>
    </xf>
    <xf numFmtId="0" fontId="11" fillId="8" borderId="7"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0" fontId="11" fillId="7" borderId="0" xfId="0" applyFont="1" applyFill="1" applyAlignment="1">
      <alignment horizontal="center" wrapText="1"/>
    </xf>
    <xf numFmtId="0" fontId="11" fillId="7" borderId="0" xfId="0" applyFont="1" applyFill="1" applyAlignment="1">
      <alignment horizontal="left" wrapText="1"/>
    </xf>
    <xf numFmtId="0" fontId="49" fillId="10" borderId="12" xfId="0" applyFont="1" applyFill="1" applyBorder="1" applyAlignment="1">
      <alignment horizontal="center" vertical="center"/>
    </xf>
    <xf numFmtId="0" fontId="11" fillId="9" borderId="20" xfId="0" applyFont="1" applyFill="1" applyBorder="1" applyAlignment="1">
      <alignment horizontal="center" vertical="center"/>
    </xf>
    <xf numFmtId="0" fontId="11" fillId="9" borderId="19" xfId="0" applyFont="1" applyFill="1" applyBorder="1" applyAlignment="1">
      <alignment horizontal="center" vertical="center" wrapText="1"/>
    </xf>
    <xf numFmtId="0" fontId="11" fillId="9" borderId="9"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left" wrapText="1"/>
    </xf>
    <xf numFmtId="0" fontId="25" fillId="6" borderId="0" xfId="0" applyFont="1" applyFill="1" applyAlignment="1">
      <alignment horizontal="left"/>
    </xf>
    <xf numFmtId="0" fontId="25" fillId="0" borderId="1" xfId="0" applyFont="1" applyBorder="1" applyAlignment="1">
      <alignment horizontal="center" vertical="center" wrapText="1"/>
    </xf>
    <xf numFmtId="0" fontId="0" fillId="0" borderId="0" xfId="0" applyAlignment="1">
      <alignment horizontal="center" wrapText="1"/>
    </xf>
    <xf numFmtId="0" fontId="20" fillId="6" borderId="2" xfId="0" applyNumberFormat="1" applyFont="1" applyFill="1" applyBorder="1" applyAlignment="1">
      <alignment horizontal="center" vertical="center" wrapText="1"/>
    </xf>
    <xf numFmtId="1" fontId="20" fillId="6" borderId="9" xfId="0" applyNumberFormat="1" applyFont="1" applyFill="1" applyBorder="1" applyAlignment="1">
      <alignment horizontal="left" vertical="center" wrapText="1"/>
    </xf>
    <xf numFmtId="0" fontId="22" fillId="2" borderId="1" xfId="0" applyFont="1" applyFill="1" applyBorder="1" applyAlignment="1">
      <alignment horizontal="left" vertical="center" wrapText="1"/>
    </xf>
    <xf numFmtId="49" fontId="22" fillId="2" borderId="1" xfId="0" applyNumberFormat="1" applyFont="1" applyFill="1" applyBorder="1" applyAlignment="1">
      <alignment horizontal="center" vertical="center" textRotation="90" wrapText="1"/>
    </xf>
    <xf numFmtId="49" fontId="22" fillId="2" borderId="1" xfId="0" applyNumberFormat="1" applyFont="1" applyFill="1" applyBorder="1" applyAlignment="1">
      <alignment horizontal="center" vertical="center" wrapText="1"/>
    </xf>
    <xf numFmtId="0" fontId="22" fillId="2" borderId="12" xfId="0" applyNumberFormat="1" applyFont="1" applyFill="1" applyBorder="1" applyAlignment="1">
      <alignment horizontal="left" vertical="center" wrapText="1"/>
    </xf>
    <xf numFmtId="2" fontId="22" fillId="2" borderId="1" xfId="0" applyNumberFormat="1" applyFont="1" applyFill="1" applyBorder="1" applyAlignment="1">
      <alignment horizontal="right" vertical="center"/>
    </xf>
    <xf numFmtId="2" fontId="22" fillId="2" borderId="13" xfId="0" applyNumberFormat="1" applyFont="1" applyFill="1" applyBorder="1" applyAlignment="1">
      <alignment horizontal="right" vertical="center"/>
    </xf>
    <xf numFmtId="2" fontId="22" fillId="2" borderId="23" xfId="0" applyNumberFormat="1" applyFont="1" applyFill="1" applyBorder="1" applyAlignment="1">
      <alignment horizontal="center" vertical="center" wrapText="1"/>
    </xf>
    <xf numFmtId="2" fontId="22" fillId="2" borderId="12" xfId="0" applyNumberFormat="1" applyFont="1" applyFill="1" applyBorder="1" applyAlignment="1">
      <alignment horizontal="center" vertical="center"/>
    </xf>
    <xf numFmtId="0" fontId="22" fillId="2" borderId="13" xfId="0" applyNumberFormat="1" applyFont="1" applyFill="1" applyBorder="1" applyAlignment="1">
      <alignment horizontal="left" vertical="center" wrapText="1"/>
    </xf>
    <xf numFmtId="2" fontId="22" fillId="2" borderId="7" xfId="0" applyNumberFormat="1" applyFont="1" applyFill="1" applyBorder="1" applyAlignment="1">
      <alignment horizontal="center" vertical="center"/>
    </xf>
    <xf numFmtId="0" fontId="22" fillId="2" borderId="7" xfId="0" applyNumberFormat="1" applyFont="1" applyFill="1" applyBorder="1" applyAlignment="1">
      <alignment vertical="center" wrapText="1"/>
    </xf>
    <xf numFmtId="2" fontId="22" fillId="2" borderId="1" xfId="0" applyNumberFormat="1" applyFont="1" applyFill="1" applyBorder="1" applyAlignment="1">
      <alignment horizontal="center" vertical="center" wrapText="1"/>
    </xf>
    <xf numFmtId="0" fontId="22" fillId="2" borderId="7" xfId="0" applyNumberFormat="1" applyFont="1" applyFill="1" applyBorder="1" applyAlignment="1">
      <alignment horizontal="right" vertical="center" wrapText="1"/>
    </xf>
    <xf numFmtId="49" fontId="22" fillId="6" borderId="7" xfId="0" applyNumberFormat="1" applyFont="1" applyFill="1" applyBorder="1" applyAlignment="1">
      <alignment horizontal="right" vertical="center"/>
    </xf>
    <xf numFmtId="2" fontId="22" fillId="6" borderId="8" xfId="0" applyNumberFormat="1" applyFont="1" applyFill="1" applyBorder="1" applyAlignment="1">
      <alignment horizontal="left" vertical="center"/>
    </xf>
    <xf numFmtId="49" fontId="22" fillId="6" borderId="8" xfId="0" applyNumberFormat="1" applyFont="1" applyFill="1" applyBorder="1" applyAlignment="1">
      <alignment horizontal="center" vertical="center"/>
    </xf>
    <xf numFmtId="0" fontId="22" fillId="6" borderId="9" xfId="0" applyNumberFormat="1" applyFont="1" applyFill="1" applyBorder="1" applyAlignment="1">
      <alignment horizontal="left" vertical="center"/>
    </xf>
    <xf numFmtId="0" fontId="22" fillId="6" borderId="13" xfId="0" applyNumberFormat="1" applyFont="1" applyFill="1" applyBorder="1" applyAlignment="1">
      <alignment horizontal="center" vertical="center"/>
    </xf>
    <xf numFmtId="0" fontId="22" fillId="6" borderId="12" xfId="0" applyNumberFormat="1" applyFont="1" applyFill="1" applyBorder="1" applyAlignment="1">
      <alignment horizontal="left" vertical="center" wrapText="1"/>
    </xf>
    <xf numFmtId="0" fontId="22" fillId="2" borderId="7" xfId="0" applyFont="1" applyFill="1" applyBorder="1" applyAlignment="1">
      <alignment vertical="center"/>
    </xf>
    <xf numFmtId="0" fontId="22" fillId="2" borderId="8" xfId="0" applyFont="1" applyFill="1" applyBorder="1" applyAlignment="1">
      <alignment horizontal="left" vertical="center"/>
    </xf>
    <xf numFmtId="49" fontId="22" fillId="0" borderId="9" xfId="0" applyNumberFormat="1" applyFont="1" applyBorder="1" applyAlignment="1">
      <alignment horizontal="left" vertical="center"/>
    </xf>
    <xf numFmtId="49" fontId="22" fillId="0" borderId="7" xfId="0" applyNumberFormat="1" applyFont="1" applyBorder="1" applyAlignment="1">
      <alignment horizontal="right" vertical="center"/>
    </xf>
    <xf numFmtId="2" fontId="22" fillId="0" borderId="8" xfId="0" applyNumberFormat="1" applyFont="1" applyBorder="1" applyAlignment="1">
      <alignment horizontal="left" vertical="center"/>
    </xf>
    <xf numFmtId="49" fontId="22" fillId="2" borderId="7" xfId="0" applyNumberFormat="1" applyFont="1" applyFill="1" applyBorder="1" applyAlignment="1">
      <alignment horizontal="center" vertical="center"/>
    </xf>
    <xf numFmtId="49" fontId="22" fillId="0" borderId="8" xfId="0" applyNumberFormat="1" applyFont="1" applyBorder="1" applyAlignment="1">
      <alignment horizontal="left" vertical="center"/>
    </xf>
    <xf numFmtId="0" fontId="22" fillId="0" borderId="9" xfId="0" applyNumberFormat="1" applyFont="1" applyBorder="1" applyAlignment="1">
      <alignment horizontal="left" vertical="center"/>
    </xf>
    <xf numFmtId="1" fontId="20" fillId="6" borderId="2" xfId="0" applyNumberFormat="1" applyFont="1" applyFill="1" applyBorder="1" applyAlignment="1">
      <alignment horizontal="center" vertical="center"/>
    </xf>
    <xf numFmtId="0" fontId="20" fillId="6" borderId="2" xfId="0" applyFont="1" applyFill="1" applyBorder="1" applyAlignment="1">
      <alignment horizontal="center" vertical="center"/>
    </xf>
    <xf numFmtId="49" fontId="22" fillId="6" borderId="1" xfId="0" applyNumberFormat="1" applyFont="1" applyFill="1" applyBorder="1" applyAlignment="1">
      <alignment vertical="center" wrapText="1"/>
    </xf>
    <xf numFmtId="2" fontId="16" fillId="2" borderId="0" xfId="0" applyNumberFormat="1" applyFont="1" applyFill="1" applyBorder="1" applyAlignment="1">
      <alignment vertical="center"/>
    </xf>
    <xf numFmtId="2" fontId="16" fillId="2" borderId="0" xfId="0" applyNumberFormat="1" applyFont="1" applyFill="1" applyBorder="1" applyAlignment="1">
      <alignment horizontal="right" vertical="center"/>
    </xf>
    <xf numFmtId="2" fontId="16" fillId="0" borderId="0" xfId="0" applyNumberFormat="1" applyFont="1" applyBorder="1" applyAlignment="1">
      <alignment horizontal="right" vertical="center"/>
    </xf>
    <xf numFmtId="0" fontId="6" fillId="10" borderId="1" xfId="0" applyFont="1" applyFill="1" applyBorder="1" applyAlignment="1">
      <alignment horizontal="center" vertical="center"/>
    </xf>
    <xf numFmtId="0" fontId="13" fillId="0" borderId="0" xfId="0" applyNumberFormat="1" applyFont="1" applyBorder="1" applyAlignment="1">
      <alignment horizontal="center" wrapText="1"/>
    </xf>
    <xf numFmtId="0" fontId="11" fillId="0" borderId="1" xfId="0" applyFont="1" applyBorder="1" applyAlignment="1">
      <alignment horizontal="center" vertical="center" wrapText="1"/>
    </xf>
    <xf numFmtId="0" fontId="6" fillId="10" borderId="1" xfId="0" applyFont="1" applyFill="1" applyBorder="1" applyAlignment="1">
      <alignment horizontal="left" vertical="center"/>
    </xf>
    <xf numFmtId="0" fontId="30" fillId="2" borderId="0" xfId="0" applyNumberFormat="1" applyFont="1" applyFill="1" applyBorder="1" applyAlignment="1">
      <alignment horizontal="center" vertical="center" wrapText="1"/>
    </xf>
    <xf numFmtId="0" fontId="13" fillId="2" borderId="0" xfId="0" applyFont="1" applyFill="1" applyBorder="1" applyAlignment="1">
      <alignment horizontal="left" wrapText="1"/>
    </xf>
    <xf numFmtId="0" fontId="2" fillId="0" borderId="0" xfId="0" applyFont="1" applyAlignment="1">
      <alignment horizontal="center"/>
    </xf>
    <xf numFmtId="0" fontId="0" fillId="0" borderId="0" xfId="0"/>
    <xf numFmtId="0" fontId="49" fillId="10" borderId="9" xfId="0" applyFont="1" applyFill="1" applyBorder="1" applyAlignment="1">
      <alignment horizontal="center" vertical="center"/>
    </xf>
    <xf numFmtId="0" fontId="22" fillId="2" borderId="0" xfId="0" applyFont="1" applyFill="1" applyBorder="1" applyAlignment="1">
      <alignment horizontal="right" vertical="center"/>
    </xf>
    <xf numFmtId="0" fontId="6" fillId="10" borderId="0" xfId="0" applyFont="1" applyFill="1" applyBorder="1"/>
    <xf numFmtId="0" fontId="38" fillId="6" borderId="0" xfId="0" applyFont="1" applyFill="1" applyBorder="1" applyAlignment="1">
      <alignment horizontal="center" vertical="center" wrapText="1"/>
    </xf>
    <xf numFmtId="0" fontId="39" fillId="6" borderId="0" xfId="0" applyFont="1" applyFill="1" applyBorder="1" applyAlignment="1">
      <alignment horizontal="right" vertical="center"/>
    </xf>
    <xf numFmtId="0" fontId="39" fillId="6" borderId="0" xfId="0" applyFont="1" applyFill="1" applyBorder="1" applyAlignment="1">
      <alignment horizontal="left" vertical="center"/>
    </xf>
    <xf numFmtId="0" fontId="39" fillId="6" borderId="0" xfId="0" applyFont="1" applyFill="1" applyBorder="1" applyAlignment="1">
      <alignment vertical="center"/>
    </xf>
    <xf numFmtId="0" fontId="31" fillId="6" borderId="0" xfId="0" applyFont="1" applyFill="1" applyBorder="1" applyAlignment="1">
      <alignment vertical="center"/>
    </xf>
    <xf numFmtId="0" fontId="31" fillId="6" borderId="0" xfId="0" applyFont="1" applyFill="1" applyBorder="1" applyAlignment="1">
      <alignment horizontal="left" vertical="center"/>
    </xf>
    <xf numFmtId="0" fontId="54" fillId="6" borderId="0" xfId="0" applyFont="1" applyFill="1" applyBorder="1" applyAlignment="1">
      <alignment horizontal="center" vertical="center"/>
    </xf>
    <xf numFmtId="0" fontId="54" fillId="6" borderId="0" xfId="0" applyFont="1" applyFill="1" applyBorder="1"/>
    <xf numFmtId="0" fontId="54" fillId="6" borderId="0" xfId="0" applyFont="1" applyFill="1" applyBorder="1" applyAlignment="1">
      <alignment horizontal="left"/>
    </xf>
    <xf numFmtId="0" fontId="2" fillId="11" borderId="0" xfId="0" applyFont="1" applyFill="1" applyBorder="1"/>
    <xf numFmtId="0" fontId="2" fillId="11" borderId="0" xfId="0" applyFont="1" applyFill="1"/>
    <xf numFmtId="0" fontId="25" fillId="11" borderId="0" xfId="0" applyFont="1" applyFill="1" applyBorder="1" applyAlignment="1">
      <alignment horizontal="right"/>
    </xf>
    <xf numFmtId="0" fontId="25" fillId="11" borderId="0" xfId="0" applyFont="1" applyFill="1" applyAlignment="1">
      <alignment horizontal="right"/>
    </xf>
    <xf numFmtId="2" fontId="14" fillId="11" borderId="0" xfId="0" applyNumberFormat="1" applyFont="1" applyFill="1" applyAlignment="1"/>
    <xf numFmtId="0" fontId="0" fillId="11" borderId="0" xfId="0" applyFill="1"/>
    <xf numFmtId="0" fontId="14" fillId="11" borderId="0" xfId="0" applyFont="1" applyFill="1" applyAlignment="1">
      <alignment vertical="center"/>
    </xf>
    <xf numFmtId="0" fontId="0" fillId="11" borderId="0" xfId="0" applyFill="1" applyBorder="1"/>
    <xf numFmtId="0" fontId="14" fillId="11" borderId="0" xfId="0" applyFont="1" applyFill="1" applyBorder="1" applyAlignment="1">
      <alignment horizontal="right"/>
    </xf>
    <xf numFmtId="0" fontId="39" fillId="11" borderId="0" xfId="0" applyFont="1" applyFill="1" applyBorder="1" applyAlignment="1">
      <alignment horizontal="right" vertical="center"/>
    </xf>
    <xf numFmtId="0" fontId="39" fillId="11" borderId="0" xfId="0" applyFont="1" applyFill="1" applyBorder="1" applyAlignment="1">
      <alignment vertical="center"/>
    </xf>
    <xf numFmtId="0" fontId="31" fillId="11" borderId="0" xfId="0" applyFont="1" applyFill="1" applyBorder="1" applyAlignment="1">
      <alignment vertical="center"/>
    </xf>
    <xf numFmtId="0" fontId="54" fillId="11" borderId="0" xfId="0" applyFont="1" applyFill="1" applyBorder="1"/>
    <xf numFmtId="2" fontId="13" fillId="11" borderId="0" xfId="0" applyNumberFormat="1" applyFont="1" applyFill="1" applyAlignment="1"/>
    <xf numFmtId="2" fontId="13" fillId="11" borderId="0" xfId="0" applyNumberFormat="1" applyFont="1" applyFill="1" applyBorder="1" applyAlignment="1"/>
    <xf numFmtId="0" fontId="16" fillId="11" borderId="1" xfId="0" applyNumberFormat="1" applyFont="1" applyFill="1" applyBorder="1" applyAlignment="1">
      <alignment horizontal="center" vertical="center" wrapText="1"/>
    </xf>
    <xf numFmtId="0" fontId="16" fillId="11" borderId="0" xfId="0" applyFont="1" applyFill="1" applyAlignment="1">
      <alignment vertical="center"/>
    </xf>
    <xf numFmtId="0" fontId="55" fillId="6" borderId="0" xfId="0" applyFont="1" applyFill="1"/>
    <xf numFmtId="0" fontId="2" fillId="6" borderId="0" xfId="0" applyFont="1" applyFill="1" applyBorder="1"/>
    <xf numFmtId="0" fontId="2" fillId="6" borderId="0" xfId="0" applyFont="1" applyFill="1"/>
    <xf numFmtId="0" fontId="2" fillId="6" borderId="0" xfId="0" applyFont="1" applyFill="1" applyAlignment="1">
      <alignment horizontal="left"/>
    </xf>
    <xf numFmtId="0" fontId="31" fillId="6" borderId="0" xfId="0" applyFont="1" applyFill="1" applyAlignment="1">
      <alignment horizontal="right"/>
    </xf>
    <xf numFmtId="0" fontId="25" fillId="6" borderId="0" xfId="0" applyFont="1" applyFill="1" applyBorder="1" applyAlignment="1">
      <alignment horizontal="right"/>
    </xf>
    <xf numFmtId="0" fontId="25" fillId="6" borderId="0" xfId="0" applyFont="1" applyFill="1" applyAlignment="1">
      <alignment horizontal="right"/>
    </xf>
    <xf numFmtId="49" fontId="21" fillId="6" borderId="0" xfId="0" applyNumberFormat="1" applyFont="1" applyFill="1" applyBorder="1" applyAlignment="1">
      <alignment horizontal="left" wrapText="1"/>
    </xf>
    <xf numFmtId="2" fontId="41" fillId="6" borderId="0" xfId="0" applyNumberFormat="1" applyFont="1" applyFill="1" applyAlignment="1"/>
    <xf numFmtId="2" fontId="14" fillId="6" borderId="0" xfId="0" applyNumberFormat="1" applyFont="1" applyFill="1" applyAlignment="1"/>
    <xf numFmtId="0" fontId="40" fillId="6" borderId="0" xfId="0" applyFont="1" applyFill="1" applyAlignment="1">
      <alignment wrapText="1"/>
    </xf>
    <xf numFmtId="0" fontId="5" fillId="6" borderId="0" xfId="0" applyFont="1" applyFill="1" applyAlignment="1">
      <alignment wrapText="1"/>
    </xf>
    <xf numFmtId="0" fontId="0" fillId="6" borderId="0" xfId="0" applyFill="1"/>
    <xf numFmtId="0" fontId="41" fillId="6" borderId="0" xfId="0" applyFont="1" applyFill="1" applyAlignment="1">
      <alignment horizontal="center" vertical="center"/>
    </xf>
    <xf numFmtId="0" fontId="14" fillId="6" borderId="0" xfId="0" applyFont="1" applyFill="1" applyAlignment="1">
      <alignment horizontal="center" vertical="center"/>
    </xf>
    <xf numFmtId="49" fontId="14" fillId="6" borderId="0" xfId="0" applyNumberFormat="1" applyFont="1" applyFill="1" applyAlignment="1">
      <alignment vertical="center"/>
    </xf>
    <xf numFmtId="0" fontId="0" fillId="6" borderId="0" xfId="0" applyFill="1" applyBorder="1"/>
    <xf numFmtId="0" fontId="41" fillId="6" borderId="0" xfId="0" applyFont="1" applyFill="1" applyBorder="1" applyAlignment="1">
      <alignment horizontal="right"/>
    </xf>
    <xf numFmtId="0" fontId="14" fillId="6" borderId="0" xfId="0" applyFont="1" applyFill="1" applyBorder="1" applyAlignment="1">
      <alignment horizontal="right"/>
    </xf>
    <xf numFmtId="0" fontId="14" fillId="6" borderId="0" xfId="0" applyFont="1" applyFill="1" applyBorder="1" applyAlignment="1">
      <alignment horizontal="left"/>
    </xf>
    <xf numFmtId="0" fontId="40" fillId="6" borderId="0" xfId="0" applyFont="1" applyFill="1" applyBorder="1" applyAlignment="1"/>
    <xf numFmtId="0" fontId="5" fillId="6" borderId="0" xfId="0" applyFont="1" applyFill="1" applyBorder="1" applyAlignment="1"/>
    <xf numFmtId="2" fontId="14" fillId="6" borderId="0" xfId="0" applyNumberFormat="1" applyFont="1" applyFill="1" applyAlignment="1">
      <alignment horizontal="left"/>
    </xf>
    <xf numFmtId="2" fontId="25" fillId="6" borderId="0" xfId="0" applyNumberFormat="1" applyFont="1" applyFill="1" applyAlignment="1">
      <alignment horizontal="left"/>
    </xf>
    <xf numFmtId="2" fontId="14" fillId="6" borderId="0" xfId="0" applyNumberFormat="1" applyFont="1" applyFill="1" applyAlignment="1">
      <alignment horizontal="center"/>
    </xf>
    <xf numFmtId="0" fontId="40" fillId="6" borderId="0" xfId="0" applyFont="1" applyFill="1" applyAlignment="1">
      <alignment vertical="top"/>
    </xf>
    <xf numFmtId="0" fontId="5" fillId="6" borderId="0" xfId="0" applyFont="1" applyFill="1" applyAlignment="1">
      <alignment vertical="top"/>
    </xf>
    <xf numFmtId="2" fontId="13" fillId="6" borderId="0" xfId="0" applyNumberFormat="1" applyFont="1" applyFill="1" applyAlignment="1"/>
    <xf numFmtId="2" fontId="13" fillId="6" borderId="0" xfId="0" applyNumberFormat="1" applyFont="1" applyFill="1" applyAlignment="1">
      <alignment horizontal="left"/>
    </xf>
    <xf numFmtId="2" fontId="21" fillId="6" borderId="0" xfId="0" applyNumberFormat="1" applyFont="1" applyFill="1" applyAlignment="1">
      <alignment horizontal="left"/>
    </xf>
    <xf numFmtId="2" fontId="13" fillId="6" borderId="0" xfId="0" applyNumberFormat="1" applyFont="1" applyFill="1" applyBorder="1" applyAlignment="1">
      <alignment horizontal="center"/>
    </xf>
    <xf numFmtId="2" fontId="13" fillId="6" borderId="0" xfId="0" applyNumberFormat="1" applyFont="1" applyFill="1" applyBorder="1" applyAlignment="1"/>
    <xf numFmtId="1" fontId="16" fillId="6" borderId="0" xfId="0" applyNumberFormat="1" applyFont="1" applyFill="1" applyBorder="1" applyAlignment="1">
      <alignment horizontal="center" vertical="center"/>
    </xf>
    <xf numFmtId="0" fontId="16" fillId="6" borderId="9" xfId="0" applyFont="1" applyFill="1" applyBorder="1" applyAlignment="1">
      <alignment horizontal="left" vertical="center"/>
    </xf>
    <xf numFmtId="0" fontId="16" fillId="6" borderId="7" xfId="0" applyNumberFormat="1" applyFont="1" applyFill="1" applyBorder="1" applyAlignment="1">
      <alignment horizontal="center" vertical="center" wrapText="1"/>
    </xf>
    <xf numFmtId="49" fontId="16" fillId="6" borderId="0" xfId="0" applyNumberFormat="1" applyFont="1" applyFill="1" applyBorder="1" applyAlignment="1">
      <alignment horizontal="center" vertical="center"/>
    </xf>
    <xf numFmtId="0" fontId="16" fillId="6" borderId="0" xfId="0" applyNumberFormat="1" applyFont="1" applyFill="1" applyBorder="1" applyAlignment="1">
      <alignment horizontal="center" vertical="center" wrapText="1"/>
    </xf>
    <xf numFmtId="0" fontId="16" fillId="6" borderId="0" xfId="0" applyFont="1" applyFill="1" applyAlignment="1">
      <alignment vertical="center" wrapText="1"/>
    </xf>
    <xf numFmtId="0" fontId="16" fillId="6" borderId="13" xfId="0" applyNumberFormat="1" applyFont="1" applyFill="1" applyBorder="1" applyAlignment="1">
      <alignment horizontal="left" vertical="center"/>
    </xf>
    <xf numFmtId="0" fontId="16" fillId="6" borderId="12" xfId="0" applyNumberFormat="1" applyFont="1" applyFill="1" applyBorder="1" applyAlignment="1">
      <alignment horizontal="center" vertical="center"/>
    </xf>
    <xf numFmtId="0" fontId="16" fillId="6" borderId="13" xfId="0" applyNumberFormat="1" applyFont="1" applyFill="1" applyBorder="1" applyAlignment="1">
      <alignment vertical="center"/>
    </xf>
    <xf numFmtId="0" fontId="16" fillId="6" borderId="8" xfId="0" applyNumberFormat="1" applyFont="1" applyFill="1" applyBorder="1" applyAlignment="1">
      <alignment vertical="center"/>
    </xf>
    <xf numFmtId="0" fontId="16" fillId="6" borderId="1" xfId="0" applyNumberFormat="1" applyFont="1" applyFill="1" applyBorder="1" applyAlignment="1">
      <alignment horizontal="left" vertical="center"/>
    </xf>
    <xf numFmtId="0" fontId="53" fillId="6" borderId="0" xfId="0" applyNumberFormat="1" applyFont="1" applyFill="1" applyBorder="1" applyAlignment="1">
      <alignment horizontal="center" vertical="center" wrapText="1"/>
    </xf>
    <xf numFmtId="0" fontId="30" fillId="6" borderId="0" xfId="0" applyNumberFormat="1" applyFont="1" applyFill="1" applyBorder="1" applyAlignment="1">
      <alignment horizontal="center" vertical="center" wrapText="1"/>
    </xf>
    <xf numFmtId="0" fontId="16" fillId="6" borderId="11" xfId="0" applyFont="1" applyFill="1" applyBorder="1" applyAlignment="1">
      <alignment horizontal="left" vertical="center"/>
    </xf>
    <xf numFmtId="0" fontId="25" fillId="6" borderId="15" xfId="0" applyNumberFormat="1" applyFont="1" applyFill="1" applyBorder="1" applyAlignment="1">
      <alignment horizontal="left" vertical="center" wrapText="1"/>
    </xf>
    <xf numFmtId="0" fontId="16" fillId="6" borderId="6" xfId="0" applyNumberFormat="1" applyFont="1" applyFill="1" applyBorder="1" applyAlignment="1">
      <alignment horizontal="center" vertical="center" wrapText="1"/>
    </xf>
    <xf numFmtId="0" fontId="43" fillId="6" borderId="0" xfId="0" applyFont="1" applyFill="1" applyAlignment="1">
      <alignment vertical="center"/>
    </xf>
    <xf numFmtId="0" fontId="7" fillId="6" borderId="0" xfId="0" applyFont="1" applyFill="1" applyAlignment="1">
      <alignment vertical="center"/>
    </xf>
    <xf numFmtId="0" fontId="9" fillId="6" borderId="0" xfId="0" applyNumberFormat="1" applyFont="1" applyFill="1" applyBorder="1" applyAlignment="1"/>
    <xf numFmtId="0" fontId="25" fillId="6" borderId="0" xfId="0" applyNumberFormat="1" applyFont="1" applyFill="1" applyBorder="1" applyAlignment="1">
      <alignment horizontal="left" vertical="center" wrapText="1"/>
    </xf>
    <xf numFmtId="0" fontId="38" fillId="6" borderId="0" xfId="0" applyFont="1" applyFill="1" applyBorder="1" applyAlignment="1">
      <alignment vertical="center" wrapText="1"/>
    </xf>
    <xf numFmtId="2" fontId="14" fillId="2" borderId="0" xfId="0" applyNumberFormat="1" applyFont="1" applyFill="1" applyBorder="1" applyAlignment="1"/>
    <xf numFmtId="2" fontId="52" fillId="2" borderId="0" xfId="0" applyNumberFormat="1" applyFont="1" applyFill="1" applyBorder="1" applyAlignment="1"/>
    <xf numFmtId="0" fontId="21" fillId="3" borderId="0" xfId="0" applyFont="1" applyFill="1" applyBorder="1" applyAlignment="1"/>
    <xf numFmtId="0" fontId="21" fillId="3" borderId="0" xfId="0" applyFont="1" applyFill="1" applyBorder="1" applyAlignment="1">
      <alignment vertical="center"/>
    </xf>
    <xf numFmtId="0" fontId="49" fillId="10" borderId="0" xfId="0" applyFont="1" applyFill="1" applyBorder="1" applyAlignment="1">
      <alignment horizontal="center" vertical="center"/>
    </xf>
    <xf numFmtId="0" fontId="11" fillId="9" borderId="0" xfId="0" applyFont="1" applyFill="1" applyBorder="1" applyAlignment="1">
      <alignment horizontal="center" vertical="center"/>
    </xf>
    <xf numFmtId="0" fontId="14" fillId="0" borderId="0" xfId="0" applyFont="1" applyBorder="1" applyAlignment="1">
      <alignment vertical="center"/>
    </xf>
    <xf numFmtId="2" fontId="14" fillId="0" borderId="0" xfId="0" applyNumberFormat="1" applyFont="1" applyBorder="1" applyAlignment="1"/>
    <xf numFmtId="2" fontId="14" fillId="11" borderId="0" xfId="0" applyNumberFormat="1" applyFont="1" applyFill="1" applyBorder="1" applyAlignment="1"/>
    <xf numFmtId="0" fontId="14" fillId="11" borderId="0" xfId="0" applyFont="1" applyFill="1" applyBorder="1" applyAlignment="1">
      <alignment vertical="center"/>
    </xf>
    <xf numFmtId="0" fontId="22" fillId="11" borderId="0" xfId="0" applyFont="1" applyFill="1" applyBorder="1" applyAlignment="1">
      <alignment horizontal="right" vertical="center"/>
    </xf>
    <xf numFmtId="0" fontId="22" fillId="11" borderId="0" xfId="0" applyFont="1" applyFill="1" applyBorder="1" applyAlignment="1">
      <alignment vertical="center"/>
    </xf>
    <xf numFmtId="0" fontId="25" fillId="11" borderId="0" xfId="0" applyFont="1" applyFill="1" applyBorder="1" applyAlignment="1">
      <alignment vertical="center"/>
    </xf>
    <xf numFmtId="0" fontId="6" fillId="11" borderId="0" xfId="0" applyFont="1" applyFill="1" applyBorder="1"/>
    <xf numFmtId="0" fontId="11" fillId="9" borderId="9" xfId="0" applyFont="1" applyFill="1" applyBorder="1" applyAlignment="1">
      <alignment horizontal="center" vertical="center" wrapText="1"/>
    </xf>
    <xf numFmtId="0" fontId="47" fillId="2" borderId="7" xfId="0" applyNumberFormat="1" applyFont="1" applyFill="1" applyBorder="1" applyAlignment="1">
      <alignment horizontal="center" vertical="center" wrapText="1"/>
    </xf>
    <xf numFmtId="0" fontId="47" fillId="2" borderId="1" xfId="0" applyNumberFormat="1" applyFont="1" applyFill="1" applyBorder="1" applyAlignment="1">
      <alignment horizontal="center" vertical="center" wrapText="1"/>
    </xf>
    <xf numFmtId="2" fontId="47" fillId="2" borderId="1" xfId="0" applyNumberFormat="1" applyFont="1" applyFill="1" applyBorder="1" applyAlignment="1">
      <alignment horizontal="left" vertical="center"/>
    </xf>
    <xf numFmtId="1" fontId="48" fillId="2" borderId="7" xfId="0" applyNumberFormat="1" applyFont="1" applyFill="1" applyBorder="1" applyAlignment="1">
      <alignment horizontal="center" vertical="center"/>
    </xf>
    <xf numFmtId="1" fontId="47" fillId="2" borderId="1" xfId="0" applyNumberFormat="1" applyFont="1" applyFill="1" applyBorder="1" applyAlignment="1">
      <alignment horizontal="center" vertical="center" wrapText="1"/>
    </xf>
    <xf numFmtId="1" fontId="47" fillId="2" borderId="1" xfId="0" applyNumberFormat="1" applyFont="1" applyFill="1" applyBorder="1" applyAlignment="1">
      <alignment horizontal="center" vertical="center"/>
    </xf>
    <xf numFmtId="1" fontId="48" fillId="2" borderId="13" xfId="0" applyNumberFormat="1" applyFont="1" applyFill="1" applyBorder="1" applyAlignment="1">
      <alignment horizontal="center" vertical="center"/>
    </xf>
    <xf numFmtId="0" fontId="48" fillId="2" borderId="1" xfId="0" applyFont="1" applyFill="1" applyBorder="1" applyAlignment="1">
      <alignment horizontal="center" vertical="center"/>
    </xf>
    <xf numFmtId="2" fontId="47" fillId="4" borderId="1" xfId="0" applyNumberFormat="1" applyFont="1" applyFill="1" applyBorder="1" applyAlignment="1">
      <alignment horizontal="center" vertical="center"/>
    </xf>
    <xf numFmtId="1" fontId="47" fillId="2" borderId="25" xfId="0" applyNumberFormat="1" applyFont="1" applyFill="1" applyBorder="1" applyAlignment="1">
      <alignment horizontal="center" vertical="center"/>
    </xf>
    <xf numFmtId="2" fontId="48" fillId="2" borderId="9" xfId="0" applyNumberFormat="1" applyFont="1" applyFill="1" applyBorder="1" applyAlignment="1">
      <alignment horizontal="center" vertical="center"/>
    </xf>
    <xf numFmtId="0" fontId="47" fillId="2" borderId="1" xfId="0" applyFont="1" applyFill="1" applyBorder="1" applyAlignment="1">
      <alignment vertical="center"/>
    </xf>
    <xf numFmtId="1" fontId="48" fillId="2" borderId="1" xfId="0" applyNumberFormat="1" applyFont="1" applyFill="1" applyBorder="1" applyAlignment="1">
      <alignment horizontal="center" vertical="center"/>
    </xf>
    <xf numFmtId="1" fontId="48" fillId="2" borderId="14" xfId="0" applyNumberFormat="1" applyFont="1" applyFill="1" applyBorder="1" applyAlignment="1">
      <alignment horizontal="center" vertical="center" wrapText="1"/>
    </xf>
    <xf numFmtId="1" fontId="47" fillId="2" borderId="9" xfId="0" applyNumberFormat="1" applyFont="1" applyFill="1" applyBorder="1" applyAlignment="1">
      <alignment horizontal="center" vertical="center"/>
    </xf>
    <xf numFmtId="0" fontId="47" fillId="2" borderId="8" xfId="0" applyFont="1" applyFill="1" applyBorder="1" applyAlignment="1">
      <alignment vertical="center"/>
    </xf>
    <xf numFmtId="0" fontId="47" fillId="2" borderId="9" xfId="0" applyFont="1" applyFill="1" applyBorder="1" applyAlignment="1">
      <alignment vertical="center"/>
    </xf>
    <xf numFmtId="0" fontId="47" fillId="2" borderId="1" xfId="0" applyNumberFormat="1" applyFont="1" applyFill="1" applyBorder="1" applyAlignment="1">
      <alignment horizontal="left" vertical="center" wrapText="1"/>
    </xf>
    <xf numFmtId="49" fontId="47" fillId="2" borderId="9" xfId="0" applyNumberFormat="1" applyFont="1" applyFill="1" applyBorder="1" applyAlignment="1">
      <alignment vertical="center"/>
    </xf>
    <xf numFmtId="0" fontId="47" fillId="2" borderId="8" xfId="0" applyNumberFormat="1" applyFont="1" applyFill="1" applyBorder="1" applyAlignment="1">
      <alignment vertical="center"/>
    </xf>
    <xf numFmtId="0" fontId="47" fillId="2" borderId="12" xfId="0" applyNumberFormat="1" applyFont="1" applyFill="1" applyBorder="1" applyAlignment="1">
      <alignment horizontal="center" vertical="center"/>
    </xf>
    <xf numFmtId="0" fontId="47" fillId="2" borderId="1" xfId="0" applyNumberFormat="1" applyFont="1" applyFill="1" applyBorder="1" applyAlignment="1">
      <alignment horizontal="left" vertical="center"/>
    </xf>
    <xf numFmtId="0" fontId="47" fillId="2" borderId="0" xfId="0" applyFont="1" applyFill="1" applyAlignment="1">
      <alignment vertical="center"/>
    </xf>
    <xf numFmtId="49" fontId="47" fillId="2" borderId="9" xfId="0" applyNumberFormat="1" applyFont="1" applyFill="1" applyBorder="1" applyAlignment="1">
      <alignment horizontal="left" vertical="center"/>
    </xf>
    <xf numFmtId="0" fontId="47" fillId="2" borderId="0" xfId="0" applyNumberFormat="1" applyFont="1" applyFill="1" applyAlignment="1">
      <alignment horizontal="center" vertical="center"/>
    </xf>
    <xf numFmtId="0" fontId="48" fillId="2" borderId="1" xfId="0" applyNumberFormat="1" applyFont="1" applyFill="1" applyBorder="1" applyAlignment="1">
      <alignment horizontal="center" vertical="center" wrapText="1"/>
    </xf>
    <xf numFmtId="1" fontId="48" fillId="2" borderId="7" xfId="0" applyNumberFormat="1" applyFont="1" applyFill="1" applyBorder="1" applyAlignment="1">
      <alignment horizontal="right" vertical="center"/>
    </xf>
    <xf numFmtId="2" fontId="48" fillId="2" borderId="1" xfId="0" applyNumberFormat="1" applyFont="1" applyFill="1" applyBorder="1" applyAlignment="1">
      <alignment horizontal="center" vertical="center"/>
    </xf>
    <xf numFmtId="0" fontId="25" fillId="0" borderId="9" xfId="0" applyFont="1" applyBorder="1" applyAlignment="1">
      <alignment vertical="center"/>
    </xf>
    <xf numFmtId="2" fontId="47" fillId="2" borderId="9" xfId="0" applyNumberFormat="1" applyFont="1" applyFill="1" applyBorder="1" applyAlignment="1">
      <alignment horizontal="left" vertical="center"/>
    </xf>
    <xf numFmtId="1" fontId="11" fillId="6" borderId="9"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49" fillId="10" borderId="1" xfId="0" applyFont="1" applyFill="1" applyBorder="1" applyAlignment="1">
      <alignment horizontal="center" vertical="center"/>
    </xf>
    <xf numFmtId="0" fontId="11" fillId="0" borderId="8" xfId="0" applyFont="1" applyBorder="1" applyAlignment="1">
      <alignment horizontal="center" vertical="center" wrapText="1"/>
    </xf>
    <xf numFmtId="0" fontId="6" fillId="10" borderId="9" xfId="0" applyFont="1" applyFill="1" applyBorder="1" applyAlignment="1">
      <alignment horizontal="center" vertical="center"/>
    </xf>
    <xf numFmtId="49" fontId="22" fillId="6" borderId="8" xfId="0" applyNumberFormat="1" applyFont="1" applyFill="1" applyBorder="1" applyAlignment="1">
      <alignment horizontal="left" vertical="center"/>
    </xf>
    <xf numFmtId="0" fontId="20" fillId="6" borderId="0" xfId="0" applyFont="1" applyFill="1" applyBorder="1" applyAlignment="1">
      <alignment vertical="center"/>
    </xf>
    <xf numFmtId="2" fontId="14" fillId="12" borderId="0" xfId="0" applyNumberFormat="1" applyFont="1" applyFill="1" applyBorder="1" applyAlignment="1"/>
    <xf numFmtId="2" fontId="11" fillId="6" borderId="2" xfId="0" applyNumberFormat="1" applyFont="1" applyFill="1" applyBorder="1" applyAlignment="1">
      <alignment horizontal="left" vertical="center"/>
    </xf>
    <xf numFmtId="1" fontId="11" fillId="6" borderId="8" xfId="0" applyNumberFormat="1" applyFont="1" applyFill="1" applyBorder="1" applyAlignment="1">
      <alignment horizontal="center" vertical="center"/>
    </xf>
    <xf numFmtId="0" fontId="11" fillId="6" borderId="8" xfId="0" applyFont="1" applyFill="1" applyBorder="1" applyAlignment="1">
      <alignment horizontal="center" vertical="center"/>
    </xf>
    <xf numFmtId="2" fontId="11" fillId="6" borderId="7" xfId="0" applyNumberFormat="1" applyFont="1" applyFill="1" applyBorder="1" applyAlignment="1">
      <alignment horizontal="center" vertical="center"/>
    </xf>
    <xf numFmtId="0" fontId="11" fillId="6" borderId="8" xfId="0" applyFont="1" applyFill="1" applyBorder="1" applyAlignment="1">
      <alignment vertical="center"/>
    </xf>
    <xf numFmtId="0" fontId="11" fillId="6" borderId="7" xfId="0" applyFont="1" applyFill="1" applyBorder="1" applyAlignment="1">
      <alignment vertical="center"/>
    </xf>
    <xf numFmtId="0" fontId="11" fillId="6" borderId="2" xfId="0" applyNumberFormat="1" applyFont="1" applyFill="1" applyBorder="1" applyAlignment="1">
      <alignment horizontal="center" vertical="center"/>
    </xf>
    <xf numFmtId="0" fontId="22" fillId="6" borderId="7" xfId="0" applyFont="1" applyFill="1" applyBorder="1" applyAlignment="1">
      <alignment horizontal="left" vertical="center" wrapText="1"/>
    </xf>
    <xf numFmtId="2" fontId="22" fillId="6" borderId="7" xfId="0" applyNumberFormat="1" applyFont="1" applyFill="1" applyBorder="1" applyAlignment="1">
      <alignment horizontal="right" vertical="center"/>
    </xf>
    <xf numFmtId="1" fontId="11" fillId="6" borderId="30" xfId="0" applyNumberFormat="1" applyFont="1" applyFill="1" applyBorder="1" applyAlignment="1">
      <alignment horizontal="center" vertical="center" wrapText="1"/>
    </xf>
    <xf numFmtId="0" fontId="60" fillId="0" borderId="1" xfId="0" applyFont="1" applyFill="1" applyBorder="1" applyAlignment="1">
      <alignment vertical="center"/>
    </xf>
    <xf numFmtId="2" fontId="25" fillId="0" borderId="1" xfId="0" applyNumberFormat="1" applyFont="1" applyFill="1" applyBorder="1" applyAlignment="1">
      <alignment horizontal="center" vertical="center"/>
    </xf>
    <xf numFmtId="0" fontId="25" fillId="0" borderId="8" xfId="0" applyFont="1" applyFill="1" applyBorder="1" applyAlignment="1">
      <alignment vertical="center"/>
    </xf>
    <xf numFmtId="0" fontId="25" fillId="0" borderId="2" xfId="0" applyNumberFormat="1" applyFont="1" applyFill="1" applyBorder="1" applyAlignment="1">
      <alignment horizontal="center" vertical="center" wrapText="1"/>
    </xf>
    <xf numFmtId="0" fontId="58" fillId="0" borderId="1" xfId="0" applyNumberFormat="1" applyFont="1" applyFill="1" applyBorder="1" applyAlignment="1">
      <alignment horizontal="center" vertical="center" wrapText="1"/>
    </xf>
    <xf numFmtId="2" fontId="25"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center"/>
    </xf>
    <xf numFmtId="49" fontId="25" fillId="0" borderId="1" xfId="0" applyNumberFormat="1" applyFont="1" applyFill="1" applyBorder="1" applyAlignment="1">
      <alignment horizontal="center" vertical="center" wrapText="1"/>
    </xf>
    <xf numFmtId="0" fontId="25" fillId="0" borderId="1" xfId="0" applyFont="1" applyFill="1" applyBorder="1" applyAlignment="1">
      <alignment vertical="center"/>
    </xf>
    <xf numFmtId="1" fontId="25" fillId="0" borderId="1" xfId="0" applyNumberFormat="1" applyFont="1" applyFill="1" applyBorder="1" applyAlignment="1">
      <alignment horizontal="left" vertical="center"/>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1" fontId="25" fillId="0" borderId="1" xfId="0" applyNumberFormat="1" applyFont="1" applyFill="1" applyBorder="1" applyAlignment="1">
      <alignment horizontal="center" vertical="center"/>
    </xf>
    <xf numFmtId="49" fontId="25" fillId="0" borderId="1" xfId="0" applyNumberFormat="1" applyFont="1" applyFill="1" applyBorder="1" applyAlignment="1">
      <alignment vertical="center"/>
    </xf>
    <xf numFmtId="0" fontId="59" fillId="0" borderId="1" xfId="0" applyNumberFormat="1" applyFont="1" applyFill="1" applyBorder="1" applyAlignment="1">
      <alignment horizontal="left" vertical="center" wrapText="1"/>
    </xf>
    <xf numFmtId="0" fontId="25" fillId="0" borderId="1" xfId="0" applyNumberFormat="1" applyFont="1" applyFill="1" applyBorder="1" applyAlignment="1">
      <alignment vertical="center" wrapText="1"/>
    </xf>
    <xf numFmtId="2" fontId="25" fillId="0" borderId="1" xfId="0" applyNumberFormat="1" applyFont="1" applyFill="1" applyBorder="1" applyAlignment="1">
      <alignment vertical="center"/>
    </xf>
    <xf numFmtId="0" fontId="58" fillId="0" borderId="1" xfId="0" applyFont="1" applyFill="1" applyBorder="1" applyAlignment="1">
      <alignment vertical="center" wrapText="1"/>
    </xf>
    <xf numFmtId="0" fontId="25" fillId="0" borderId="1" xfId="0" applyNumberFormat="1" applyFont="1" applyFill="1" applyBorder="1" applyAlignment="1">
      <alignment horizontal="right" vertical="center"/>
    </xf>
    <xf numFmtId="0" fontId="25" fillId="0" borderId="1" xfId="0" applyNumberFormat="1" applyFont="1" applyFill="1" applyBorder="1" applyAlignment="1">
      <alignment horizontal="left" vertical="center"/>
    </xf>
    <xf numFmtId="0" fontId="21" fillId="0" borderId="1" xfId="0" applyFont="1" applyFill="1" applyBorder="1" applyAlignment="1">
      <alignment horizontal="center" vertical="center"/>
    </xf>
    <xf numFmtId="0" fontId="25" fillId="0" borderId="1" xfId="0" applyFont="1" applyFill="1" applyBorder="1" applyAlignment="1">
      <alignment horizontal="left" vertical="center"/>
    </xf>
    <xf numFmtId="1" fontId="25" fillId="0" borderId="1" xfId="0" applyNumberFormat="1" applyFont="1" applyFill="1" applyBorder="1" applyAlignment="1">
      <alignment horizontal="right" vertical="center"/>
    </xf>
    <xf numFmtId="49" fontId="25" fillId="0" borderId="1" xfId="0" applyNumberFormat="1" applyFont="1" applyFill="1" applyBorder="1" applyAlignment="1">
      <alignment horizontal="right" vertical="center"/>
    </xf>
    <xf numFmtId="49" fontId="25" fillId="0" borderId="1" xfId="0" applyNumberFormat="1" applyFont="1" applyFill="1" applyBorder="1" applyAlignment="1">
      <alignment horizontal="center" vertical="center"/>
    </xf>
    <xf numFmtId="49" fontId="61" fillId="0" borderId="1" xfId="0" applyNumberFormat="1" applyFont="1" applyFill="1" applyBorder="1" applyAlignment="1">
      <alignment vertical="center" wrapText="1"/>
    </xf>
    <xf numFmtId="0" fontId="58" fillId="0" borderId="1" xfId="0" applyNumberFormat="1" applyFont="1" applyFill="1" applyBorder="1" applyAlignment="1">
      <alignment horizontal="center" vertical="center"/>
    </xf>
    <xf numFmtId="1" fontId="25" fillId="0" borderId="1" xfId="0" applyNumberFormat="1" applyFont="1" applyFill="1" applyBorder="1" applyAlignment="1">
      <alignment horizontal="center" vertical="center" wrapText="1"/>
    </xf>
    <xf numFmtId="1" fontId="58" fillId="0" borderId="1" xfId="0" applyNumberFormat="1" applyFont="1" applyFill="1" applyBorder="1" applyAlignment="1">
      <alignment horizontal="center" vertical="center"/>
    </xf>
    <xf numFmtId="1" fontId="25" fillId="0" borderId="1" xfId="0" applyNumberFormat="1" applyFont="1" applyFill="1" applyBorder="1" applyAlignment="1">
      <alignment horizontal="right" vertical="center" wrapText="1"/>
    </xf>
    <xf numFmtId="1"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right" vertical="center" wrapText="1"/>
    </xf>
    <xf numFmtId="0" fontId="62" fillId="0" borderId="1" xfId="0" applyFont="1" applyFill="1" applyBorder="1" applyAlignment="1">
      <alignment horizontal="left" vertical="center"/>
    </xf>
    <xf numFmtId="49" fontId="61" fillId="0" borderId="9" xfId="0" applyNumberFormat="1" applyFont="1" applyFill="1" applyBorder="1" applyAlignment="1">
      <alignment vertical="center"/>
    </xf>
    <xf numFmtId="0" fontId="63" fillId="0" borderId="1" xfId="0" applyNumberFormat="1" applyFont="1" applyFill="1" applyBorder="1" applyAlignment="1">
      <alignment horizontal="center" vertical="center"/>
    </xf>
    <xf numFmtId="0" fontId="58"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1" fillId="0" borderId="1"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xf>
    <xf numFmtId="0" fontId="25" fillId="0" borderId="0" xfId="0" applyFont="1" applyFill="1" applyBorder="1" applyAlignment="1">
      <alignment vertical="center"/>
    </xf>
    <xf numFmtId="0" fontId="25" fillId="0" borderId="1" xfId="0" applyNumberFormat="1" applyFont="1" applyFill="1" applyBorder="1" applyAlignment="1">
      <alignment horizontal="center" vertical="center"/>
    </xf>
    <xf numFmtId="0" fontId="25" fillId="0" borderId="13" xfId="0" applyNumberFormat="1" applyFont="1" applyFill="1" applyBorder="1" applyAlignment="1">
      <alignment horizontal="center" vertical="center"/>
    </xf>
    <xf numFmtId="0" fontId="25" fillId="0" borderId="14"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xf>
    <xf numFmtId="1" fontId="21" fillId="0" borderId="7" xfId="0" applyNumberFormat="1" applyFont="1" applyFill="1" applyBorder="1" applyAlignment="1">
      <alignment horizontal="right" vertical="center"/>
    </xf>
    <xf numFmtId="2" fontId="62" fillId="0" borderId="1" xfId="0" applyNumberFormat="1" applyFont="1" applyFill="1" applyBorder="1" applyAlignment="1">
      <alignment horizontal="center" vertical="center"/>
    </xf>
    <xf numFmtId="0" fontId="25" fillId="0" borderId="13" xfId="0" applyFont="1" applyFill="1" applyBorder="1" applyAlignment="1">
      <alignment vertical="center"/>
    </xf>
    <xf numFmtId="0" fontId="25" fillId="0" borderId="12" xfId="0" applyFont="1" applyFill="1" applyBorder="1" applyAlignment="1">
      <alignment vertical="center"/>
    </xf>
    <xf numFmtId="1" fontId="21" fillId="0" borderId="8" xfId="0" applyNumberFormat="1" applyFont="1" applyFill="1" applyBorder="1" applyAlignment="1">
      <alignment horizontal="center" vertical="center"/>
    </xf>
    <xf numFmtId="1" fontId="21" fillId="0" borderId="23"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0" fontId="25" fillId="0" borderId="9" xfId="0" applyNumberFormat="1" applyFont="1" applyFill="1" applyBorder="1" applyAlignment="1">
      <alignment horizontal="center" vertical="center"/>
    </xf>
    <xf numFmtId="0" fontId="25" fillId="0" borderId="1" xfId="0" applyNumberFormat="1" applyFont="1" applyFill="1" applyBorder="1" applyAlignment="1">
      <alignment vertical="center"/>
    </xf>
    <xf numFmtId="0" fontId="25" fillId="0" borderId="9" xfId="0" applyNumberFormat="1" applyFont="1" applyFill="1" applyBorder="1" applyAlignment="1">
      <alignment horizontal="left" vertical="center" wrapText="1"/>
    </xf>
    <xf numFmtId="0" fontId="25" fillId="0" borderId="23" xfId="0" applyNumberFormat="1" applyFont="1" applyFill="1" applyBorder="1" applyAlignment="1">
      <alignment horizontal="left" vertical="center" wrapText="1"/>
    </xf>
    <xf numFmtId="0" fontId="25" fillId="0" borderId="29" xfId="0" applyNumberFormat="1" applyFont="1" applyFill="1" applyBorder="1" applyAlignment="1">
      <alignment vertical="center" wrapText="1"/>
    </xf>
    <xf numFmtId="49" fontId="25" fillId="0" borderId="20"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xf>
    <xf numFmtId="0" fontId="25" fillId="0" borderId="19" xfId="0" applyNumberFormat="1" applyFont="1" applyFill="1" applyBorder="1" applyAlignment="1">
      <alignment horizontal="right" vertical="center" wrapText="1"/>
    </xf>
    <xf numFmtId="0" fontId="25" fillId="0" borderId="26" xfId="0" applyNumberFormat="1" applyFont="1" applyFill="1" applyBorder="1" applyAlignment="1">
      <alignment horizontal="center" vertical="center" wrapText="1"/>
    </xf>
    <xf numFmtId="1" fontId="21" fillId="0" borderId="1" xfId="0" applyNumberFormat="1" applyFont="1" applyFill="1" applyBorder="1" applyAlignment="1">
      <alignment horizontal="center" vertical="center"/>
    </xf>
    <xf numFmtId="0" fontId="64" fillId="0" borderId="1" xfId="0" applyFont="1" applyFill="1" applyBorder="1" applyAlignment="1">
      <alignment vertical="center"/>
    </xf>
    <xf numFmtId="0" fontId="64" fillId="0" borderId="8" xfId="0" applyFont="1" applyFill="1" applyBorder="1" applyAlignment="1">
      <alignment vertical="center"/>
    </xf>
    <xf numFmtId="0" fontId="25" fillId="0" borderId="1" xfId="0" applyFont="1" applyFill="1" applyBorder="1" applyAlignment="1">
      <alignment horizontal="center" vertical="center" wrapText="1"/>
    </xf>
    <xf numFmtId="0" fontId="25" fillId="0" borderId="8" xfId="0" applyNumberFormat="1" applyFont="1" applyFill="1" applyBorder="1" applyAlignment="1">
      <alignment horizontal="center" vertical="center"/>
    </xf>
    <xf numFmtId="0" fontId="25" fillId="0" borderId="9" xfId="0" applyNumberFormat="1" applyFont="1" applyFill="1" applyBorder="1" applyAlignment="1">
      <alignment horizontal="center" vertical="center" wrapText="1"/>
    </xf>
    <xf numFmtId="0" fontId="25" fillId="0" borderId="1" xfId="0" applyFont="1" applyFill="1" applyBorder="1"/>
    <xf numFmtId="0" fontId="21" fillId="0" borderId="9" xfId="0" applyNumberFormat="1" applyFont="1" applyFill="1" applyBorder="1" applyAlignment="1">
      <alignment vertical="center" wrapText="1"/>
    </xf>
    <xf numFmtId="0" fontId="25" fillId="0" borderId="20" xfId="0" applyFont="1" applyFill="1" applyBorder="1"/>
    <xf numFmtId="2" fontId="25" fillId="0" borderId="1" xfId="0" applyNumberFormat="1" applyFont="1" applyFill="1" applyBorder="1" applyAlignment="1">
      <alignment horizontal="center" vertical="center" wrapText="1"/>
    </xf>
    <xf numFmtId="0" fontId="25" fillId="0" borderId="0" xfId="0" applyFont="1" applyFill="1" applyAlignment="1">
      <alignment vertical="center"/>
    </xf>
    <xf numFmtId="1" fontId="25" fillId="0" borderId="8" xfId="0" applyNumberFormat="1" applyFont="1" applyFill="1" applyBorder="1" applyAlignment="1">
      <alignment horizontal="center" vertical="center"/>
    </xf>
    <xf numFmtId="0" fontId="25" fillId="0" borderId="17" xfId="0" applyFont="1" applyFill="1" applyBorder="1"/>
    <xf numFmtId="49" fontId="11" fillId="2" borderId="15" xfId="0" applyNumberFormat="1"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13" fillId="0" borderId="0" xfId="0" applyFont="1" applyAlignment="1">
      <alignment horizontal="center"/>
    </xf>
    <xf numFmtId="0" fontId="46" fillId="0" borderId="0" xfId="0" applyFont="1" applyAlignment="1">
      <alignment horizont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0" xfId="0" applyFont="1" applyAlignment="1">
      <alignment horizontal="center" wrapText="1"/>
    </xf>
    <xf numFmtId="0" fontId="11" fillId="0" borderId="15" xfId="0" applyFont="1" applyBorder="1" applyAlignment="1">
      <alignment horizontal="center" vertical="center" textRotation="90" wrapText="1"/>
    </xf>
    <xf numFmtId="0" fontId="11" fillId="0" borderId="24"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xf>
    <xf numFmtId="0" fontId="56" fillId="0" borderId="0" xfId="0" applyNumberFormat="1" applyFont="1" applyAlignment="1">
      <alignment horizontal="center" vertical="center"/>
    </xf>
    <xf numFmtId="0" fontId="53" fillId="0" borderId="0" xfId="0" applyNumberFormat="1" applyFont="1" applyAlignment="1">
      <alignment horizontal="center" vertical="center"/>
    </xf>
    <xf numFmtId="0" fontId="13" fillId="0" borderId="0" xfId="0" applyNumberFormat="1" applyFont="1" applyAlignment="1">
      <alignment horizontal="center" vertical="center"/>
    </xf>
    <xf numFmtId="0" fontId="49" fillId="10" borderId="7" xfId="0" applyFont="1" applyFill="1" applyBorder="1" applyAlignment="1">
      <alignment horizontal="center" vertical="center"/>
    </xf>
    <xf numFmtId="0" fontId="49" fillId="10" borderId="8" xfId="0" applyFont="1" applyFill="1" applyBorder="1" applyAlignment="1">
      <alignment horizontal="center" vertical="center"/>
    </xf>
    <xf numFmtId="0" fontId="49" fillId="10" borderId="9" xfId="0" applyFont="1" applyFill="1" applyBorder="1" applyAlignment="1">
      <alignment horizontal="center" vertical="center"/>
    </xf>
    <xf numFmtId="0" fontId="49" fillId="10" borderId="1"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1" fontId="11" fillId="2" borderId="24"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6" borderId="15"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49" fillId="10" borderId="13" xfId="0" applyFont="1" applyFill="1" applyBorder="1" applyAlignment="1">
      <alignment horizontal="center" vertical="center"/>
    </xf>
    <xf numFmtId="0" fontId="49" fillId="10" borderId="23" xfId="0" applyFont="1" applyFill="1" applyBorder="1" applyAlignment="1">
      <alignment horizontal="center" vertical="center"/>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wrapText="1"/>
    </xf>
    <xf numFmtId="0" fontId="13" fillId="2" borderId="0" xfId="0" applyFont="1" applyFill="1" applyBorder="1" applyAlignment="1">
      <alignment horizontal="right" wrapText="1"/>
    </xf>
    <xf numFmtId="49" fontId="50" fillId="10" borderId="8" xfId="0" applyNumberFormat="1" applyFont="1" applyFill="1" applyBorder="1" applyAlignment="1">
      <alignment horizontal="center" vertical="center"/>
    </xf>
    <xf numFmtId="49" fontId="50" fillId="10" borderId="9" xfId="0" applyNumberFormat="1" applyFont="1" applyFill="1" applyBorder="1" applyAlignment="1">
      <alignment horizontal="center" vertical="center"/>
    </xf>
    <xf numFmtId="0" fontId="57" fillId="0" borderId="0" xfId="0" applyFont="1" applyAlignment="1">
      <alignment horizontal="center"/>
    </xf>
    <xf numFmtId="0" fontId="22" fillId="0" borderId="16" xfId="0" applyFont="1" applyBorder="1" applyAlignment="1">
      <alignment horizontal="center" vertical="center" wrapText="1"/>
    </xf>
    <xf numFmtId="0" fontId="22" fillId="0" borderId="4" xfId="0" applyFont="1" applyBorder="1" applyAlignment="1">
      <alignment horizontal="center" vertical="center" wrapText="1"/>
    </xf>
    <xf numFmtId="0" fontId="38" fillId="6" borderId="0" xfId="0" applyFont="1" applyFill="1" applyBorder="1" applyAlignment="1">
      <alignment horizontal="center" vertical="center" wrapText="1"/>
    </xf>
    <xf numFmtId="0" fontId="43" fillId="0" borderId="0" xfId="0" applyFont="1" applyAlignment="1">
      <alignment horizontal="center" vertical="center"/>
    </xf>
    <xf numFmtId="0" fontId="6" fillId="10" borderId="7"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40" fillId="0" borderId="16" xfId="0" applyFont="1" applyBorder="1" applyAlignment="1">
      <alignment horizontal="center"/>
    </xf>
    <xf numFmtId="0" fontId="13" fillId="0" borderId="16" xfId="0" applyNumberFormat="1" applyFont="1" applyBorder="1" applyAlignment="1">
      <alignment horizontal="center" wrapText="1"/>
    </xf>
    <xf numFmtId="2" fontId="13" fillId="0" borderId="0" xfId="0" applyNumberFormat="1" applyFont="1" applyAlignment="1">
      <alignment horizontal="center"/>
    </xf>
    <xf numFmtId="0" fontId="30" fillId="2" borderId="0" xfId="0" applyNumberFormat="1" applyFont="1" applyFill="1" applyBorder="1" applyAlignment="1">
      <alignment horizontal="center" vertical="center" wrapText="1"/>
    </xf>
    <xf numFmtId="0" fontId="13" fillId="0" borderId="0" xfId="0" applyNumberFormat="1" applyFont="1" applyBorder="1" applyAlignment="1">
      <alignment horizontal="center" wrapText="1"/>
    </xf>
  </cellXfs>
  <cellStyles count="1">
    <cellStyle name="Normal" xfId="0" builtinId="0"/>
  </cellStyles>
  <dxfs count="232">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theme="0"/>
      </font>
    </dxf>
    <dxf>
      <font>
        <color theme="0"/>
      </font>
    </dxf>
    <dxf>
      <font>
        <color theme="0"/>
      </font>
    </dxf>
    <dxf>
      <font>
        <b/>
        <i/>
        <condense val="0"/>
        <extend val="0"/>
        <color indexed="13"/>
      </font>
      <fill>
        <patternFill>
          <bgColor indexed="18"/>
        </patternFill>
      </fill>
    </dxf>
    <dxf>
      <font>
        <b/>
        <i val="0"/>
        <condense val="0"/>
        <extend val="0"/>
        <color indexed="9"/>
      </font>
      <fill>
        <patternFill>
          <bgColor indexed="12"/>
        </patternFill>
      </fill>
    </dxf>
    <dxf>
      <font>
        <b/>
        <i val="0"/>
        <color rgb="FFFFFF00"/>
      </font>
      <fill>
        <patternFill>
          <bgColor rgb="FFFF0000"/>
        </patternFill>
      </fill>
    </dxf>
    <dxf>
      <font>
        <color auto="1"/>
      </font>
      <fill>
        <patternFill>
          <bgColor theme="9"/>
        </patternFill>
      </fill>
    </dxf>
    <dxf>
      <font>
        <b/>
        <i val="0"/>
        <color rgb="FFFF0000"/>
      </font>
      <fill>
        <patternFill>
          <bgColor rgb="FF00B0F0"/>
        </patternFill>
      </fill>
    </dxf>
    <dxf>
      <font>
        <b/>
        <i val="0"/>
        <color rgb="FFFFFF00"/>
      </font>
      <fill>
        <patternFill>
          <bgColor rgb="FFFF0000"/>
        </patternFill>
      </fill>
    </dxf>
    <dxf>
      <font>
        <b/>
        <i val="0"/>
        <color rgb="FFFFFF00"/>
      </font>
      <fill>
        <patternFill>
          <bgColor rgb="FFFF0000"/>
        </patternFill>
      </fill>
    </dxf>
    <dxf>
      <font>
        <b/>
        <i/>
        <condense val="0"/>
        <extend val="0"/>
        <color indexed="13"/>
      </font>
      <fill>
        <patternFill>
          <bgColor indexed="18"/>
        </patternFill>
      </fill>
    </dxf>
    <dxf>
      <font>
        <b/>
        <i val="0"/>
        <condense val="0"/>
        <extend val="0"/>
        <color indexed="9"/>
      </font>
      <fill>
        <patternFill>
          <bgColor indexed="12"/>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color auto="1"/>
      </font>
      <fill>
        <patternFill>
          <bgColor theme="9"/>
        </patternFill>
      </fill>
    </dxf>
    <dxf>
      <font>
        <b/>
        <i val="0"/>
        <color rgb="FFFF0000"/>
      </font>
      <fill>
        <patternFill>
          <bgColor rgb="FF00B0F0"/>
        </patternFill>
      </fill>
    </dxf>
    <dxf>
      <font>
        <b/>
        <i val="0"/>
        <color rgb="FFFFFF00"/>
      </font>
      <fill>
        <patternFill>
          <bgColor rgb="FFFF0000"/>
        </patternFill>
      </fill>
    </dxf>
    <dxf>
      <font>
        <b/>
        <i val="0"/>
        <condense val="0"/>
        <extend val="0"/>
        <color indexed="17"/>
      </font>
    </dxf>
    <dxf>
      <font>
        <b/>
        <i/>
        <condense val="0"/>
        <extend val="0"/>
        <color indexed="13"/>
      </font>
      <fill>
        <patternFill>
          <bgColor indexed="18"/>
        </patternFill>
      </fill>
    </dxf>
    <dxf>
      <font>
        <b/>
        <i val="0"/>
        <condense val="0"/>
        <extend val="0"/>
        <color indexed="9"/>
      </font>
      <fill>
        <patternFill>
          <bgColor indexed="12"/>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font>
      <fill>
        <patternFill>
          <bgColor indexed="9"/>
        </patternFill>
      </fill>
    </dxf>
    <dxf>
      <font>
        <b/>
        <i val="0"/>
        <condense val="0"/>
        <extend val="0"/>
        <color indexed="9"/>
      </font>
      <fill>
        <patternFill>
          <bgColor indexed="4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condense val="0"/>
        <extend val="0"/>
        <color indexed="9"/>
      </font>
    </dxf>
    <dxf>
      <font>
        <b/>
        <i val="0"/>
        <condense val="0"/>
        <extend val="0"/>
        <color indexed="9"/>
      </font>
      <fill>
        <patternFill>
          <bgColor indexed="12"/>
        </patternFill>
      </fill>
    </dxf>
    <dxf>
      <font>
        <b/>
        <i val="0"/>
        <condense val="0"/>
        <extend val="0"/>
        <color indexed="9"/>
      </font>
      <fill>
        <patternFill>
          <bgColor indexed="54"/>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52"/>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00B0F0"/>
        </patternFill>
      </fill>
    </dxf>
    <dxf>
      <font>
        <b/>
        <i val="0"/>
        <condense val="0"/>
        <extend val="0"/>
        <color indexed="17"/>
      </font>
    </dxf>
    <dxf>
      <font>
        <b/>
        <i val="0"/>
        <condense val="0"/>
        <extend val="0"/>
        <color indexed="9"/>
      </font>
      <fill>
        <patternFill>
          <bgColor indexed="19"/>
        </patternFill>
      </fill>
    </dxf>
    <dxf>
      <font>
        <b/>
        <i val="0"/>
        <condense val="0"/>
        <extend val="0"/>
        <color indexed="9"/>
      </font>
      <fill>
        <patternFill>
          <bgColor indexed="17"/>
        </patternFill>
      </fill>
    </dxf>
    <dxf>
      <font>
        <b/>
        <i val="0"/>
        <condense val="0"/>
        <extend val="0"/>
        <color indexed="9"/>
      </font>
      <fill>
        <patternFill>
          <bgColor indexed="50"/>
        </patternFill>
      </fill>
    </dxf>
    <dxf>
      <font>
        <b/>
        <i val="0"/>
        <condense val="0"/>
        <extend val="0"/>
        <color indexed="34"/>
      </font>
      <fill>
        <patternFill>
          <bgColor indexed="23"/>
        </patternFill>
      </fill>
    </dxf>
    <dxf>
      <font>
        <b/>
        <i val="0"/>
        <condense val="0"/>
        <extend val="0"/>
      </font>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10"/>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val="0"/>
        <condense val="0"/>
        <extend val="0"/>
        <color indexed="13"/>
      </font>
      <fill>
        <patternFill>
          <bgColor indexed="10"/>
        </patternFill>
      </fill>
    </dxf>
    <dxf>
      <font>
        <b/>
        <i val="0"/>
        <condense val="0"/>
        <extend val="0"/>
        <color indexed="13"/>
      </font>
      <fill>
        <patternFill>
          <bgColor indexed="16"/>
        </patternFill>
      </fill>
    </dxf>
    <dxf>
      <font>
        <b/>
        <i val="0"/>
        <condense val="0"/>
        <extend val="0"/>
        <color indexed="12"/>
      </font>
      <fill>
        <patternFill>
          <bgColor indexed="15"/>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
      <fill>
        <patternFill>
          <bgColor indexed="15"/>
        </patternFill>
      </fill>
    </dxf>
    <dxf>
      <fill>
        <patternFill>
          <bgColor indexed="13"/>
        </patternFill>
      </fill>
    </dxf>
    <dxf>
      <fill>
        <patternFill>
          <bgColor indexed="51"/>
        </patternFill>
      </fill>
    </dxf>
    <dxf>
      <font>
        <b/>
        <i val="0"/>
        <condense val="0"/>
        <extend val="0"/>
        <color indexed="34"/>
      </font>
      <fill>
        <patternFill>
          <bgColor indexed="23"/>
        </patternFill>
      </fill>
    </dxf>
    <dxf>
      <font>
        <b/>
        <i val="0"/>
        <condense val="0"/>
        <extend val="0"/>
        <color indexed="9"/>
      </font>
      <fill>
        <patternFill>
          <bgColor indexed="16"/>
        </patternFill>
      </fill>
    </dxf>
    <dxf>
      <font>
        <b/>
        <i val="0"/>
        <condense val="0"/>
        <extend val="0"/>
        <color indexed="9"/>
      </font>
      <fill>
        <patternFill>
          <bgColor indexed="12"/>
        </patternFill>
      </fill>
    </dxf>
    <dxf>
      <font>
        <b/>
        <i val="0"/>
        <condense val="0"/>
        <extend val="0"/>
        <color indexed="12"/>
      </font>
      <fill>
        <patternFill>
          <bgColor indexed="11"/>
        </patternFill>
      </fill>
    </dxf>
    <dxf>
      <font>
        <b/>
        <i val="0"/>
        <condense val="0"/>
        <extend val="0"/>
        <color indexed="13"/>
      </font>
      <fill>
        <patternFill>
          <bgColor indexed="16"/>
        </patternFill>
      </fill>
    </dxf>
    <dxf>
      <font>
        <b/>
        <i val="0"/>
        <condense val="0"/>
        <extend val="0"/>
        <color indexed="13"/>
      </font>
      <fill>
        <patternFill>
          <bgColor indexed="16"/>
        </patternFill>
      </fill>
    </dxf>
    <dxf>
      <font>
        <b/>
        <i/>
        <condense val="0"/>
        <extend val="0"/>
        <color indexed="13"/>
      </font>
      <fill>
        <patternFill>
          <bgColor indexed="54"/>
        </patternFill>
      </fill>
    </dxf>
    <dxf>
      <font>
        <b/>
        <i val="0"/>
        <condense val="0"/>
        <extend val="0"/>
        <color indexed="9"/>
      </font>
      <fill>
        <patternFill>
          <bgColor indexed="12"/>
        </patternFill>
      </fill>
    </dxf>
    <dxf>
      <font>
        <b/>
        <i val="0"/>
        <condense val="0"/>
        <extend val="0"/>
        <color indexed="34"/>
      </font>
      <fill>
        <patternFill>
          <bgColor indexed="23"/>
        </patternFill>
      </fill>
    </dxf>
    <dxf>
      <font>
        <b/>
        <i val="0"/>
        <condense val="0"/>
        <extend val="0"/>
      </font>
      <fill>
        <patternFill>
          <bgColor indexed="47"/>
        </patternFill>
      </fill>
    </dxf>
    <dxf>
      <font>
        <b/>
        <i val="0"/>
        <condense val="0"/>
        <extend val="0"/>
        <color indexed="9"/>
      </font>
      <fill>
        <patternFill>
          <bgColor indexed="16"/>
        </patternFill>
      </fill>
    </dxf>
    <dxf>
      <font>
        <condense val="0"/>
        <extend val="0"/>
        <color indexed="22"/>
      </font>
      <fill>
        <patternFill>
          <bgColor indexed="26"/>
        </patternFill>
      </fill>
    </dxf>
    <dxf>
      <font>
        <b/>
        <i val="0"/>
        <condense val="0"/>
        <extend val="0"/>
        <color indexed="13"/>
      </font>
      <fill>
        <patternFill>
          <bgColor indexed="14"/>
        </patternFill>
      </fill>
    </dxf>
  </dxfs>
  <tableStyles count="0" defaultTableStyle="TableStyleMedium2" defaultPivotStyle="PivotStyleLight16"/>
  <colors>
    <mruColors>
      <color rgb="FF0000FF"/>
      <color rgb="FF800000"/>
      <color rgb="FFFAF2B6"/>
      <color rgb="FFFFFFFF"/>
      <color rgb="FFD0FEDC"/>
      <color rgb="FFE5FEFF"/>
      <color rgb="FFD3FDE0"/>
      <color rgb="FF990000"/>
      <color rgb="FFFFCCFF"/>
      <color rgb="FFECF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400050</xdr:colOff>
      <xdr:row>1</xdr:row>
      <xdr:rowOff>485775</xdr:rowOff>
    </xdr:from>
    <xdr:to>
      <xdr:col>1</xdr:col>
      <xdr:colOff>295275</xdr:colOff>
      <xdr:row>1</xdr:row>
      <xdr:rowOff>485775</xdr:rowOff>
    </xdr:to>
    <xdr:sp macro="" textlink="">
      <xdr:nvSpPr>
        <xdr:cNvPr id="2" name="Line 3"/>
        <xdr:cNvSpPr>
          <a:spLocks noChangeShapeType="1"/>
        </xdr:cNvSpPr>
      </xdr:nvSpPr>
      <xdr:spPr bwMode="auto">
        <a:xfrm>
          <a:off x="29527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173935</xdr:colOff>
      <xdr:row>2</xdr:row>
      <xdr:rowOff>24849</xdr:rowOff>
    </xdr:from>
    <xdr:to>
      <xdr:col>37</xdr:col>
      <xdr:colOff>149086</xdr:colOff>
      <xdr:row>2</xdr:row>
      <xdr:rowOff>24849</xdr:rowOff>
    </xdr:to>
    <xdr:sp macro="" textlink="">
      <xdr:nvSpPr>
        <xdr:cNvPr id="3" name="Line 4"/>
        <xdr:cNvSpPr>
          <a:spLocks noChangeShapeType="1"/>
        </xdr:cNvSpPr>
      </xdr:nvSpPr>
      <xdr:spPr bwMode="auto">
        <a:xfrm flipV="1">
          <a:off x="5077239" y="472110"/>
          <a:ext cx="130036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98975</xdr:colOff>
      <xdr:row>2</xdr:row>
      <xdr:rowOff>4968</xdr:rowOff>
    </xdr:from>
    <xdr:to>
      <xdr:col>5</xdr:col>
      <xdr:colOff>74544</xdr:colOff>
      <xdr:row>2</xdr:row>
      <xdr:rowOff>4968</xdr:rowOff>
    </xdr:to>
    <xdr:cxnSp macro="">
      <xdr:nvCxnSpPr>
        <xdr:cNvPr id="4" name="Straight Connector 3"/>
        <xdr:cNvCxnSpPr/>
      </xdr:nvCxnSpPr>
      <xdr:spPr>
        <a:xfrm>
          <a:off x="339171" y="452229"/>
          <a:ext cx="8618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908539</xdr:colOff>
      <xdr:row>2</xdr:row>
      <xdr:rowOff>29307</xdr:rowOff>
    </xdr:from>
    <xdr:to>
      <xdr:col>61</xdr:col>
      <xdr:colOff>227135</xdr:colOff>
      <xdr:row>2</xdr:row>
      <xdr:rowOff>29307</xdr:rowOff>
    </xdr:to>
    <xdr:cxnSp macro="">
      <xdr:nvCxnSpPr>
        <xdr:cNvPr id="3" name="Straight Connector 2"/>
        <xdr:cNvCxnSpPr/>
      </xdr:nvCxnSpPr>
      <xdr:spPr>
        <a:xfrm>
          <a:off x="5319347" y="454269"/>
          <a:ext cx="17071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419099</xdr:colOff>
      <xdr:row>2</xdr:row>
      <xdr:rowOff>8059</xdr:rowOff>
    </xdr:from>
    <xdr:to>
      <xdr:col>4</xdr:col>
      <xdr:colOff>909271</xdr:colOff>
      <xdr:row>2</xdr:row>
      <xdr:rowOff>8059</xdr:rowOff>
    </xdr:to>
    <xdr:cxnSp macro="">
      <xdr:nvCxnSpPr>
        <xdr:cNvPr id="4" name="Straight Connector 3"/>
        <xdr:cNvCxnSpPr/>
      </xdr:nvCxnSpPr>
      <xdr:spPr>
        <a:xfrm>
          <a:off x="723899" y="436684"/>
          <a:ext cx="4901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PC%205.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Luong%20+%20PCTN%20NG/1.%20N&#226;ng%20(Lg%20+%20PC%20NG)/3.%20Lg%20TX%20+%20PC%20NG%202014/9.%20LgTX%20+%20PCNG%2006-9-%202014/@1%20Lg+PC%209-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wnloads/Bang%20luong%20HCHCQG%20(11-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0Lg%20+%20PC%206.2018%20G&#7889;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ao1 (2)"/>
      <sheetName val="$-BB1 (2)"/>
      <sheetName val="4. GiaoQĐ-$"/>
      <sheetName val="$-Ds in QĐ"/>
      <sheetName val="$-BB1"/>
      <sheetName val="$-BC1"/>
      <sheetName val="$-TBao1"/>
      <sheetName val="@.DL-New "/>
      <sheetName val="%-TBao2"/>
      <sheetName val="%-BCcao2"/>
      <sheetName val="%-BBan2"/>
      <sheetName val="%-Ds QĐ2"/>
      <sheetName val="DsQĐ PC nhà giáo"/>
      <sheetName val="Giao QĐ - %"/>
      <sheetName val="Ds Huu+Thoi.."/>
      <sheetName val="TH số liệu"/>
      <sheetName val="- DLiêu Gốc -"/>
      <sheetName val="Sheet2"/>
      <sheetName val="CƠ CẤU"/>
      <sheetName val="@.DL-New"/>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C1" t="str">
            <v>NGẠCH</v>
          </cell>
          <cell r="D1" t="str">
            <v>MÃ SỐ</v>
          </cell>
          <cell r="E1" t="str">
            <v>HS bậc 1</v>
          </cell>
          <cell r="F1" t="str">
            <v>BƯỚC</v>
          </cell>
        </row>
        <row r="2">
          <cell r="C2" t="str">
            <v>Giảng viên cao cấp (hạng I)</v>
          </cell>
          <cell r="D2" t="str">
            <v>V.07.01.01</v>
          </cell>
          <cell r="E2">
            <v>6.2</v>
          </cell>
          <cell r="F2">
            <v>0.36</v>
          </cell>
        </row>
        <row r="3">
          <cell r="C3" t="str">
            <v>Giảng viên chính (hạng II)</v>
          </cell>
          <cell r="D3" t="str">
            <v>V.07.01.02</v>
          </cell>
          <cell r="E3">
            <v>4.4000000000000004</v>
          </cell>
          <cell r="F3">
            <v>0.34</v>
          </cell>
        </row>
        <row r="4">
          <cell r="C4" t="str">
            <v>Giảng viên (hạng III)</v>
          </cell>
          <cell r="D4" t="str">
            <v>V.07.01.03</v>
          </cell>
          <cell r="E4">
            <v>2.34</v>
          </cell>
          <cell r="F4">
            <v>0.33</v>
          </cell>
        </row>
        <row r="5">
          <cell r="C5" t="str">
            <v>Giảng viên chính</v>
          </cell>
          <cell r="D5" t="str">
            <v>15.110</v>
          </cell>
          <cell r="E5">
            <v>4.4000000000000004</v>
          </cell>
          <cell r="F5">
            <v>0.34</v>
          </cell>
        </row>
        <row r="6">
          <cell r="C6" t="str">
            <v xml:space="preserve">Giảng viên </v>
          </cell>
          <cell r="D6" t="str">
            <v>15.111</v>
          </cell>
          <cell r="E6">
            <v>2.34</v>
          </cell>
          <cell r="F6">
            <v>0.33</v>
          </cell>
        </row>
        <row r="7">
          <cell r="C7" t="str">
            <v>Giáo viên trung học cao cấp</v>
          </cell>
          <cell r="D7" t="str">
            <v>15.112</v>
          </cell>
          <cell r="E7">
            <v>4</v>
          </cell>
          <cell r="F7">
            <v>0.34</v>
          </cell>
        </row>
        <row r="8">
          <cell r="C8" t="str">
            <v>Giáo viên trung học</v>
          </cell>
          <cell r="D8" t="str">
            <v>15.113</v>
          </cell>
          <cell r="E8">
            <v>2.34</v>
          </cell>
          <cell r="F8">
            <v>0.33</v>
          </cell>
        </row>
        <row r="9">
          <cell r="C9" t="str">
            <v>Giáo viên trung học cơ sở chính</v>
          </cell>
          <cell r="D9" t="str">
            <v>15a.201</v>
          </cell>
          <cell r="E9">
            <v>2.34</v>
          </cell>
          <cell r="F9">
            <v>0.33</v>
          </cell>
        </row>
        <row r="10">
          <cell r="C10" t="str">
            <v>Giáo viên trung học cơ sở</v>
          </cell>
          <cell r="D10" t="str">
            <v>15a.202</v>
          </cell>
          <cell r="E10">
            <v>2.1</v>
          </cell>
          <cell r="F10">
            <v>0.31</v>
          </cell>
        </row>
        <row r="11">
          <cell r="C11" t="str">
            <v>Nghiên cứu viên cao cấp (hạng I)</v>
          </cell>
          <cell r="D11" t="str">
            <v>V.05.01.01</v>
          </cell>
          <cell r="E11">
            <v>6.2</v>
          </cell>
          <cell r="F11">
            <v>0.36</v>
          </cell>
        </row>
        <row r="12">
          <cell r="C12" t="str">
            <v>Nghiên cứu viên chính (hạng II)</v>
          </cell>
          <cell r="D12" t="str">
            <v>V.05.01.02</v>
          </cell>
          <cell r="E12">
            <v>4.4000000000000004</v>
          </cell>
          <cell r="F12">
            <v>0.34</v>
          </cell>
        </row>
        <row r="13">
          <cell r="C13" t="str">
            <v>Nghiên cứu viên (hạng III)</v>
          </cell>
          <cell r="D13" t="str">
            <v>V.05.01.03</v>
          </cell>
          <cell r="E13">
            <v>2.34</v>
          </cell>
          <cell r="F13">
            <v>0.33</v>
          </cell>
        </row>
        <row r="14">
          <cell r="C14" t="str">
            <v>Chuyên viên cao cấp</v>
          </cell>
          <cell r="D14" t="str">
            <v>01.001</v>
          </cell>
          <cell r="E14">
            <v>6.2</v>
          </cell>
          <cell r="F14">
            <v>0.36</v>
          </cell>
        </row>
        <row r="15">
          <cell r="C15" t="str">
            <v>Chuyên viên chính</v>
          </cell>
          <cell r="D15" t="str">
            <v>01.002</v>
          </cell>
          <cell r="E15">
            <v>4.4000000000000004</v>
          </cell>
          <cell r="F15">
            <v>0.34</v>
          </cell>
        </row>
        <row r="16">
          <cell r="C16" t="str">
            <v>Chuyên viên</v>
          </cell>
          <cell r="D16" t="str">
            <v>01.003</v>
          </cell>
          <cell r="E16">
            <v>2.34</v>
          </cell>
          <cell r="F16">
            <v>0.33</v>
          </cell>
        </row>
        <row r="17">
          <cell r="C17" t="str">
            <v>Chuyên viên (cao đẳng)</v>
          </cell>
          <cell r="D17" t="str">
            <v>01a.003</v>
          </cell>
          <cell r="E17">
            <v>2.1</v>
          </cell>
          <cell r="F17">
            <v>0.31</v>
          </cell>
        </row>
        <row r="18">
          <cell r="C18" t="str">
            <v>Cán sự</v>
          </cell>
          <cell r="D18" t="str">
            <v>01.004</v>
          </cell>
          <cell r="E18">
            <v>1.86</v>
          </cell>
          <cell r="F18">
            <v>0.2</v>
          </cell>
        </row>
        <row r="19">
          <cell r="C19" t="str">
            <v>Thanh tra viên cao cấp</v>
          </cell>
          <cell r="D19" t="str">
            <v>04.023</v>
          </cell>
          <cell r="E19">
            <v>6.2</v>
          </cell>
          <cell r="F19">
            <v>0.36</v>
          </cell>
        </row>
        <row r="20">
          <cell r="C20" t="str">
            <v>Thanh tra viên chính</v>
          </cell>
          <cell r="D20" t="str">
            <v>04.024</v>
          </cell>
          <cell r="E20">
            <v>4.4000000000000004</v>
          </cell>
          <cell r="F20">
            <v>0.34</v>
          </cell>
        </row>
        <row r="21">
          <cell r="C21" t="str">
            <v>Thanh tra viên</v>
          </cell>
          <cell r="D21" t="str">
            <v>04.025</v>
          </cell>
          <cell r="E21">
            <v>2.34</v>
          </cell>
          <cell r="F21">
            <v>0.33</v>
          </cell>
        </row>
        <row r="22">
          <cell r="C22" t="str">
            <v>Kiểm tra viên</v>
          </cell>
          <cell r="D22" t="str">
            <v>04,025A</v>
          </cell>
          <cell r="E22">
            <v>2.34</v>
          </cell>
          <cell r="F22">
            <v>0.33</v>
          </cell>
        </row>
        <row r="23">
          <cell r="C23" t="str">
            <v>Thẩm tra viên</v>
          </cell>
          <cell r="D23" t="str">
            <v>03.230</v>
          </cell>
          <cell r="E23">
            <v>2.34</v>
          </cell>
          <cell r="F23">
            <v>0.33</v>
          </cell>
        </row>
        <row r="24">
          <cell r="C24" t="str">
            <v>Thư viện viên hạng II</v>
          </cell>
          <cell r="D24" t="str">
            <v>V.10.02.05</v>
          </cell>
          <cell r="E24">
            <v>4</v>
          </cell>
          <cell r="F24">
            <v>0.34</v>
          </cell>
        </row>
        <row r="25">
          <cell r="C25" t="str">
            <v>Thư viện viên hạng III</v>
          </cell>
          <cell r="D25" t="str">
            <v>V.10.02.06</v>
          </cell>
          <cell r="E25">
            <v>2.34</v>
          </cell>
          <cell r="F25">
            <v>0.33</v>
          </cell>
        </row>
        <row r="26">
          <cell r="C26" t="str">
            <v>Thư viện viên hạng IV</v>
          </cell>
          <cell r="D26" t="str">
            <v>V.10.02.07</v>
          </cell>
          <cell r="E26">
            <v>1.86</v>
          </cell>
          <cell r="F26">
            <v>0.2</v>
          </cell>
        </row>
        <row r="27">
          <cell r="C27" t="str">
            <v>Thư viện viên (cao đẳng)</v>
          </cell>
          <cell r="D27" t="str">
            <v>17a.170</v>
          </cell>
          <cell r="E27">
            <v>2.1</v>
          </cell>
          <cell r="F27">
            <v>0.31</v>
          </cell>
        </row>
        <row r="28">
          <cell r="C28" t="str">
            <v>Kỹ sư cao cấp (hạng I)</v>
          </cell>
          <cell r="D28" t="str">
            <v>V.05.02.05</v>
          </cell>
          <cell r="E28">
            <v>6.2</v>
          </cell>
          <cell r="F28">
            <v>0.36</v>
          </cell>
        </row>
        <row r="29">
          <cell r="C29" t="str">
            <v>Kỹ sư chính (hạng II)</v>
          </cell>
          <cell r="D29" t="str">
            <v>V.05.02.06</v>
          </cell>
          <cell r="E29">
            <v>4.4000000000000004</v>
          </cell>
          <cell r="F29">
            <v>0.34</v>
          </cell>
        </row>
        <row r="30">
          <cell r="C30" t="str">
            <v>Kỹ sư (hạng III)</v>
          </cell>
          <cell r="D30" t="str">
            <v>V.05.02.07</v>
          </cell>
          <cell r="E30">
            <v>2.34</v>
          </cell>
          <cell r="F30">
            <v>0.33</v>
          </cell>
        </row>
        <row r="31">
          <cell r="C31" t="str">
            <v>Kỹ thuật viên (hạng IV)</v>
          </cell>
          <cell r="D31" t="str">
            <v>V.05.02.08</v>
          </cell>
          <cell r="E31">
            <v>1.86</v>
          </cell>
          <cell r="F31">
            <v>0.2</v>
          </cell>
        </row>
        <row r="32">
          <cell r="C32" t="str">
            <v>Bác sĩ cao cấp (hạng I)</v>
          </cell>
          <cell r="D32" t="str">
            <v>V.08.01.01</v>
          </cell>
          <cell r="E32">
            <v>6.2</v>
          </cell>
          <cell r="F32">
            <v>0.36</v>
          </cell>
        </row>
        <row r="33">
          <cell r="C33" t="str">
            <v>Bác sĩ chính (hạng II)</v>
          </cell>
          <cell r="D33" t="str">
            <v>V.08.01.02</v>
          </cell>
          <cell r="E33">
            <v>4.4000000000000004</v>
          </cell>
          <cell r="F33">
            <v>0.34</v>
          </cell>
        </row>
        <row r="34">
          <cell r="C34" t="str">
            <v>Bác sĩ (hạng III)</v>
          </cell>
          <cell r="D34" t="str">
            <v>V.08.01.03</v>
          </cell>
          <cell r="E34">
            <v>2.34</v>
          </cell>
          <cell r="F34">
            <v>0.33</v>
          </cell>
        </row>
        <row r="35">
          <cell r="C35" t="str">
            <v>Y sĩ (hạng IV)</v>
          </cell>
          <cell r="D35" t="str">
            <v>V.08.01.04</v>
          </cell>
          <cell r="E35">
            <v>1.86</v>
          </cell>
          <cell r="F35">
            <v>0.2</v>
          </cell>
        </row>
        <row r="36">
          <cell r="C36" t="str">
            <v>Biên tập viên hạng I</v>
          </cell>
          <cell r="D36" t="str">
            <v>V1.11.01.01</v>
          </cell>
          <cell r="E36">
            <v>6.2</v>
          </cell>
          <cell r="F36">
            <v>0.36</v>
          </cell>
        </row>
        <row r="37">
          <cell r="C37" t="str">
            <v>Biên tập viên hạng II</v>
          </cell>
          <cell r="D37" t="str">
            <v>V1.11.01.02</v>
          </cell>
          <cell r="E37">
            <v>4.4000000000000004</v>
          </cell>
          <cell r="F37">
            <v>0.34</v>
          </cell>
        </row>
        <row r="38">
          <cell r="C38" t="str">
            <v>Biên tập viên hạng III</v>
          </cell>
          <cell r="D38" t="str">
            <v>V1.11.01.03</v>
          </cell>
          <cell r="E38">
            <v>2.34</v>
          </cell>
          <cell r="F38">
            <v>0.33</v>
          </cell>
        </row>
        <row r="39">
          <cell r="C39" t="str">
            <v>Phóng viên hạng I</v>
          </cell>
          <cell r="D39" t="str">
            <v>V1.11.01.04</v>
          </cell>
          <cell r="E39">
            <v>6.2</v>
          </cell>
          <cell r="F39">
            <v>0.36</v>
          </cell>
        </row>
        <row r="40">
          <cell r="C40" t="str">
            <v>Phóng viên hạng II</v>
          </cell>
          <cell r="D40" t="str">
            <v>V1.11.01.05</v>
          </cell>
          <cell r="E40">
            <v>4.4000000000000004</v>
          </cell>
          <cell r="F40">
            <v>0.34</v>
          </cell>
        </row>
        <row r="41">
          <cell r="C41" t="str">
            <v>Phóng viên hạng III</v>
          </cell>
          <cell r="D41" t="str">
            <v>V1.11.01.06</v>
          </cell>
          <cell r="E41">
            <v>2.34</v>
          </cell>
          <cell r="F41">
            <v>0.33</v>
          </cell>
        </row>
        <row r="42">
          <cell r="C42" t="str">
            <v>Biên tập viên chính</v>
          </cell>
          <cell r="D42" t="str">
            <v>17.140</v>
          </cell>
          <cell r="E42">
            <v>4.4000000000000004</v>
          </cell>
          <cell r="F42">
            <v>0.34</v>
          </cell>
        </row>
        <row r="43">
          <cell r="C43" t="str">
            <v>Phóng viên chính</v>
          </cell>
          <cell r="D43" t="str">
            <v>17.143</v>
          </cell>
          <cell r="E43">
            <v>4.4000000000000004</v>
          </cell>
          <cell r="F43">
            <v>0.34</v>
          </cell>
        </row>
        <row r="44">
          <cell r="C44" t="str">
            <v>Kế toán viên cao cấp</v>
          </cell>
          <cell r="D44" t="str">
            <v>06.029</v>
          </cell>
          <cell r="E44">
            <v>5.75</v>
          </cell>
          <cell r="F44">
            <v>0.36</v>
          </cell>
        </row>
        <row r="45">
          <cell r="C45" t="str">
            <v>Kế toán viên chính</v>
          </cell>
          <cell r="D45" t="str">
            <v>06.030</v>
          </cell>
          <cell r="E45">
            <v>4</v>
          </cell>
          <cell r="F45">
            <v>0.34</v>
          </cell>
        </row>
        <row r="46">
          <cell r="C46" t="str">
            <v>Kế toán viên</v>
          </cell>
          <cell r="D46" t="str">
            <v>06.031</v>
          </cell>
          <cell r="E46">
            <v>2.34</v>
          </cell>
          <cell r="F46">
            <v>0.33</v>
          </cell>
        </row>
        <row r="47">
          <cell r="C47" t="str">
            <v>Kế toán viên (cao đẳng)</v>
          </cell>
          <cell r="D47" t="str">
            <v>06a.031</v>
          </cell>
          <cell r="E47">
            <v>2.1</v>
          </cell>
          <cell r="F47">
            <v>0.31</v>
          </cell>
        </row>
        <row r="48">
          <cell r="C48" t="str">
            <v>Kế toán viên trung cấp</v>
          </cell>
          <cell r="D48" t="str">
            <v>06.032</v>
          </cell>
          <cell r="E48">
            <v>1.86</v>
          </cell>
          <cell r="F48">
            <v>0.2</v>
          </cell>
        </row>
        <row r="49">
          <cell r="C49" t="str">
            <v>Lưu trữ viên</v>
          </cell>
          <cell r="D49" t="str">
            <v>02.014</v>
          </cell>
          <cell r="E49">
            <v>2.34</v>
          </cell>
          <cell r="F49">
            <v>0.33</v>
          </cell>
        </row>
        <row r="50">
          <cell r="C50" t="str">
            <v>Lưu trữ viên (cao đẳng)</v>
          </cell>
          <cell r="D50" t="str">
            <v>02a.014</v>
          </cell>
          <cell r="E50">
            <v>2.1</v>
          </cell>
          <cell r="F50">
            <v>0.31</v>
          </cell>
        </row>
        <row r="51">
          <cell r="C51" t="str">
            <v>Lưu trữ viên trung cấp</v>
          </cell>
          <cell r="D51" t="str">
            <v>02.015</v>
          </cell>
          <cell r="E51">
            <v>1.86</v>
          </cell>
          <cell r="F51">
            <v>0.2</v>
          </cell>
        </row>
        <row r="52">
          <cell r="C52" t="str">
            <v>Kỹ Thuật viên đánh máy</v>
          </cell>
          <cell r="D52" t="str">
            <v>01.005</v>
          </cell>
          <cell r="E52">
            <v>2.0499999999999998</v>
          </cell>
          <cell r="F52">
            <v>0.18</v>
          </cell>
        </row>
        <row r="53">
          <cell r="C53" t="str">
            <v>Nhân viên đánh máy</v>
          </cell>
          <cell r="D53" t="str">
            <v>01.006</v>
          </cell>
          <cell r="E53">
            <v>1.5</v>
          </cell>
          <cell r="F53">
            <v>0.18</v>
          </cell>
        </row>
        <row r="54">
          <cell r="C54" t="str">
            <v>Nhân viên kỹ thuật</v>
          </cell>
          <cell r="D54" t="str">
            <v>01.007</v>
          </cell>
          <cell r="E54">
            <v>1.65</v>
          </cell>
          <cell r="F54">
            <v>0.18</v>
          </cell>
        </row>
        <row r="55">
          <cell r="C55" t="str">
            <v>Nhân viên văn thư</v>
          </cell>
          <cell r="D55" t="str">
            <v>01.008</v>
          </cell>
          <cell r="E55">
            <v>1.35</v>
          </cell>
          <cell r="F55">
            <v>0.18</v>
          </cell>
        </row>
        <row r="56">
          <cell r="C56" t="str">
            <v>Nhân viên phục vụ</v>
          </cell>
          <cell r="D56" t="str">
            <v>01.009</v>
          </cell>
          <cell r="E56">
            <v>1</v>
          </cell>
          <cell r="F56">
            <v>0.18</v>
          </cell>
        </row>
        <row r="57">
          <cell r="C57" t="str">
            <v>Lái xe cơ quan</v>
          </cell>
          <cell r="D57" t="str">
            <v>01.010</v>
          </cell>
          <cell r="E57">
            <v>2.0499999999999998</v>
          </cell>
          <cell r="F57">
            <v>0.18</v>
          </cell>
        </row>
        <row r="58">
          <cell r="C58" t="str">
            <v>Nhân viên bảo vệ</v>
          </cell>
          <cell r="D58" t="str">
            <v>01.011</v>
          </cell>
          <cell r="E58">
            <v>1.5</v>
          </cell>
          <cell r="F58">
            <v>0.18</v>
          </cell>
        </row>
        <row r="59">
          <cell r="C59" t="str">
            <v>Thủ kho bảo quản</v>
          </cell>
          <cell r="D59" t="str">
            <v>19.185</v>
          </cell>
          <cell r="E59">
            <v>1.65</v>
          </cell>
          <cell r="F59">
            <v>0.18</v>
          </cell>
        </row>
        <row r="60">
          <cell r="C60" t="str">
            <v>Thủ quỹ</v>
          </cell>
          <cell r="D60" t="str">
            <v>06.035</v>
          </cell>
          <cell r="E60">
            <v>1.5</v>
          </cell>
          <cell r="F60">
            <v>0.18</v>
          </cell>
        </row>
      </sheetData>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L (2)"/>
      <sheetName val="4.GiaoQĐ-$"/>
      <sheetName val="QĐ=$"/>
      <sheetName val="TTr=$"/>
      <sheetName val="TB=$ "/>
      <sheetName val="@@ DL"/>
      <sheetName val="TB--%"/>
      <sheetName val="TTr--%"/>
      <sheetName val="QĐ - %"/>
      <sheetName val="Giao QĐ - %"/>
      <sheetName val="DS Hưu 2015"/>
      <sheetName val="TH số liệu"/>
      <sheetName val="CƠ CẤU"/>
      <sheetName val="- DLiêu Gố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B1" t="str">
            <v>NGẠCH</v>
          </cell>
          <cell r="C1" t="str">
            <v>MÃ SỐ</v>
          </cell>
          <cell r="D1" t="str">
            <v>HS bậc 1</v>
          </cell>
          <cell r="E1" t="str">
            <v>BƯỚC</v>
          </cell>
        </row>
        <row r="2">
          <cell r="B2" t="str">
            <v>Giảng viên cao cấp</v>
          </cell>
          <cell r="C2" t="str">
            <v>15.109</v>
          </cell>
          <cell r="D2">
            <v>6.2</v>
          </cell>
          <cell r="E2">
            <v>0.36</v>
          </cell>
        </row>
        <row r="3">
          <cell r="B3" t="str">
            <v>Giảng viên chính</v>
          </cell>
          <cell r="C3" t="str">
            <v>15.110</v>
          </cell>
          <cell r="D3">
            <v>4.4000000000000004</v>
          </cell>
          <cell r="E3">
            <v>0.34</v>
          </cell>
        </row>
        <row r="4">
          <cell r="B4" t="str">
            <v>Giảng viên</v>
          </cell>
          <cell r="C4" t="str">
            <v>15.111</v>
          </cell>
          <cell r="D4">
            <v>2.34</v>
          </cell>
          <cell r="E4">
            <v>0.33</v>
          </cell>
        </row>
        <row r="5">
          <cell r="B5" t="str">
            <v>Giáo viên trung học cao cấp</v>
          </cell>
          <cell r="C5" t="str">
            <v>15.112</v>
          </cell>
          <cell r="D5">
            <v>4</v>
          </cell>
          <cell r="E5">
            <v>0.34</v>
          </cell>
        </row>
        <row r="6">
          <cell r="B6" t="str">
            <v>Giáo viên trung học</v>
          </cell>
          <cell r="C6" t="str">
            <v>15.113</v>
          </cell>
          <cell r="D6">
            <v>2.34</v>
          </cell>
          <cell r="E6">
            <v>0.33</v>
          </cell>
        </row>
        <row r="7">
          <cell r="B7" t="str">
            <v>Giáo viên trung học cơ sở chính</v>
          </cell>
          <cell r="C7" t="str">
            <v>15a.201</v>
          </cell>
          <cell r="D7">
            <v>2.34</v>
          </cell>
          <cell r="E7">
            <v>0.33</v>
          </cell>
        </row>
        <row r="8">
          <cell r="B8" t="str">
            <v>Giáo viên trung học cơ sở</v>
          </cell>
          <cell r="C8" t="str">
            <v>15a.202</v>
          </cell>
          <cell r="D8">
            <v>2.1</v>
          </cell>
          <cell r="E8">
            <v>0.31</v>
          </cell>
        </row>
        <row r="9">
          <cell r="B9" t="str">
            <v>Nghiên cứu viên cao cấp</v>
          </cell>
          <cell r="C9" t="str">
            <v>13.090</v>
          </cell>
          <cell r="D9">
            <v>6.2</v>
          </cell>
          <cell r="E9">
            <v>0.36</v>
          </cell>
        </row>
        <row r="10">
          <cell r="B10" t="str">
            <v>Nghiên cứu viên chính</v>
          </cell>
          <cell r="C10" t="str">
            <v>13.091</v>
          </cell>
          <cell r="D10">
            <v>4.4000000000000004</v>
          </cell>
          <cell r="E10">
            <v>0.34</v>
          </cell>
        </row>
        <row r="11">
          <cell r="B11" t="str">
            <v>Nghiên cứu viên</v>
          </cell>
          <cell r="C11" t="str">
            <v>13.092</v>
          </cell>
          <cell r="D11">
            <v>2.34</v>
          </cell>
          <cell r="E11">
            <v>0.33</v>
          </cell>
        </row>
        <row r="12">
          <cell r="B12" t="str">
            <v>Chuyên viên cao cấp</v>
          </cell>
          <cell r="C12" t="str">
            <v>01.001</v>
          </cell>
          <cell r="D12">
            <v>6.2</v>
          </cell>
          <cell r="E12">
            <v>0.36</v>
          </cell>
        </row>
        <row r="13">
          <cell r="B13" t="str">
            <v>Chuyên viên chính</v>
          </cell>
          <cell r="C13" t="str">
            <v>01.002</v>
          </cell>
          <cell r="D13">
            <v>4.4000000000000004</v>
          </cell>
          <cell r="E13">
            <v>0.34</v>
          </cell>
        </row>
        <row r="14">
          <cell r="B14" t="str">
            <v>Chuyên viên</v>
          </cell>
          <cell r="C14" t="str">
            <v>01.003</v>
          </cell>
          <cell r="D14">
            <v>2.34</v>
          </cell>
          <cell r="E14">
            <v>0.33</v>
          </cell>
        </row>
        <row r="15">
          <cell r="B15" t="str">
            <v>Chuyên viên (cao đẳng)</v>
          </cell>
          <cell r="C15" t="str">
            <v>01a.003</v>
          </cell>
          <cell r="D15">
            <v>2.1</v>
          </cell>
          <cell r="E15">
            <v>0.31</v>
          </cell>
        </row>
        <row r="16">
          <cell r="B16" t="str">
            <v>Cán sự</v>
          </cell>
          <cell r="C16" t="str">
            <v>01.004</v>
          </cell>
          <cell r="D16">
            <v>1.86</v>
          </cell>
          <cell r="E16">
            <v>0.2</v>
          </cell>
        </row>
        <row r="17">
          <cell r="B17" t="str">
            <v>Thanh tra viên cao cấp</v>
          </cell>
          <cell r="C17" t="str">
            <v>04.023</v>
          </cell>
          <cell r="D17">
            <v>6.2</v>
          </cell>
          <cell r="E17">
            <v>0.36</v>
          </cell>
        </row>
        <row r="18">
          <cell r="B18" t="str">
            <v>Thanh tra viên chính</v>
          </cell>
          <cell r="C18" t="str">
            <v>04.024</v>
          </cell>
          <cell r="D18">
            <v>4.4000000000000004</v>
          </cell>
          <cell r="E18">
            <v>0.34</v>
          </cell>
        </row>
        <row r="19">
          <cell r="B19" t="str">
            <v>Thanh tra viên</v>
          </cell>
          <cell r="C19" t="str">
            <v>04.025</v>
          </cell>
          <cell r="D19">
            <v>2.34</v>
          </cell>
          <cell r="E19">
            <v>0.33</v>
          </cell>
        </row>
        <row r="20">
          <cell r="B20" t="str">
            <v>Thẩm tra viên</v>
          </cell>
          <cell r="C20" t="str">
            <v>03.230</v>
          </cell>
          <cell r="D20">
            <v>2.34</v>
          </cell>
          <cell r="E20">
            <v>0.33</v>
          </cell>
        </row>
        <row r="21">
          <cell r="B21" t="str">
            <v>Thư viện viên cao cấp</v>
          </cell>
          <cell r="C21" t="str">
            <v>17.168</v>
          </cell>
          <cell r="D21">
            <v>5.75</v>
          </cell>
          <cell r="E21">
            <v>0.36</v>
          </cell>
        </row>
        <row r="22">
          <cell r="B22" t="str">
            <v>Thư viện viên chính</v>
          </cell>
          <cell r="C22" t="str">
            <v>17.169</v>
          </cell>
          <cell r="D22">
            <v>4</v>
          </cell>
          <cell r="E22">
            <v>0.34</v>
          </cell>
        </row>
        <row r="23">
          <cell r="B23" t="str">
            <v>Thư viện viên</v>
          </cell>
          <cell r="C23" t="str">
            <v>17.170</v>
          </cell>
          <cell r="D23">
            <v>2.34</v>
          </cell>
          <cell r="E23">
            <v>0.33</v>
          </cell>
        </row>
        <row r="24">
          <cell r="B24" t="str">
            <v>Thư viện viên (cao đẳng)</v>
          </cell>
          <cell r="C24" t="str">
            <v>17a.170</v>
          </cell>
          <cell r="D24">
            <v>2.1</v>
          </cell>
          <cell r="E24">
            <v>0.31</v>
          </cell>
        </row>
        <row r="25">
          <cell r="B25" t="str">
            <v>Thư viện viên trung cấp</v>
          </cell>
          <cell r="C25" t="str">
            <v>17.171</v>
          </cell>
          <cell r="D25">
            <v>1.86</v>
          </cell>
          <cell r="E25">
            <v>0.2</v>
          </cell>
        </row>
        <row r="26">
          <cell r="B26" t="str">
            <v>Kỹ sư cao cấp</v>
          </cell>
          <cell r="C26" t="str">
            <v>13.093</v>
          </cell>
          <cell r="D26">
            <v>6.2</v>
          </cell>
          <cell r="E26">
            <v>0.36</v>
          </cell>
        </row>
        <row r="27">
          <cell r="B27" t="str">
            <v>Kỹ sư chính</v>
          </cell>
          <cell r="C27" t="str">
            <v>13.094</v>
          </cell>
          <cell r="D27">
            <v>4.4000000000000004</v>
          </cell>
          <cell r="E27">
            <v>0.34</v>
          </cell>
        </row>
        <row r="28">
          <cell r="B28" t="str">
            <v>Kỹ sư</v>
          </cell>
          <cell r="C28" t="str">
            <v>13.095</v>
          </cell>
          <cell r="D28">
            <v>2.34</v>
          </cell>
          <cell r="E28">
            <v>0.33</v>
          </cell>
        </row>
        <row r="29">
          <cell r="B29" t="str">
            <v>Kỹ thuật viên</v>
          </cell>
          <cell r="C29" t="str">
            <v>13.096</v>
          </cell>
          <cell r="D29">
            <v>1.86</v>
          </cell>
          <cell r="E29">
            <v>0.2</v>
          </cell>
        </row>
        <row r="30">
          <cell r="B30" t="str">
            <v>Bác sỹ cao cấp</v>
          </cell>
          <cell r="C30" t="str">
            <v>16.116</v>
          </cell>
          <cell r="D30">
            <v>6.2</v>
          </cell>
          <cell r="E30">
            <v>0.36</v>
          </cell>
        </row>
        <row r="31">
          <cell r="B31" t="str">
            <v>Bác sỹ chính</v>
          </cell>
          <cell r="C31" t="str">
            <v>16.117</v>
          </cell>
          <cell r="D31">
            <v>4.4000000000000004</v>
          </cell>
          <cell r="E31">
            <v>0.34</v>
          </cell>
        </row>
        <row r="32">
          <cell r="B32" t="str">
            <v>Bác sỹ</v>
          </cell>
          <cell r="C32" t="str">
            <v>16.118</v>
          </cell>
          <cell r="D32">
            <v>2.34</v>
          </cell>
          <cell r="E32">
            <v>0.33</v>
          </cell>
        </row>
        <row r="33">
          <cell r="B33" t="str">
            <v>Y sỹ</v>
          </cell>
          <cell r="C33" t="str">
            <v>16.119</v>
          </cell>
          <cell r="D33">
            <v>1.86</v>
          </cell>
          <cell r="E33">
            <v>0.2</v>
          </cell>
        </row>
        <row r="34">
          <cell r="B34" t="str">
            <v>Biên tập viên cao cấp</v>
          </cell>
          <cell r="C34" t="str">
            <v>17.139</v>
          </cell>
          <cell r="D34">
            <v>6.2</v>
          </cell>
          <cell r="E34">
            <v>0.36</v>
          </cell>
        </row>
        <row r="35">
          <cell r="B35" t="str">
            <v>Biên tập viên chính</v>
          </cell>
          <cell r="C35" t="str">
            <v>17.140</v>
          </cell>
          <cell r="D35">
            <v>4.4000000000000004</v>
          </cell>
          <cell r="E35">
            <v>0.34</v>
          </cell>
        </row>
        <row r="36">
          <cell r="B36" t="str">
            <v>Biên tập viên</v>
          </cell>
          <cell r="C36" t="str">
            <v>17.141</v>
          </cell>
          <cell r="D36">
            <v>2.34</v>
          </cell>
          <cell r="E36">
            <v>0.33</v>
          </cell>
        </row>
        <row r="37">
          <cell r="B37" t="str">
            <v>Phóng viên cao cấp</v>
          </cell>
          <cell r="C37" t="str">
            <v>17.142</v>
          </cell>
          <cell r="D37">
            <v>6.2</v>
          </cell>
          <cell r="E37">
            <v>0.36</v>
          </cell>
        </row>
        <row r="38">
          <cell r="B38" t="str">
            <v>Phóng viên chính</v>
          </cell>
          <cell r="C38" t="str">
            <v>17.143</v>
          </cell>
          <cell r="D38">
            <v>4.4000000000000004</v>
          </cell>
          <cell r="E38">
            <v>0.34</v>
          </cell>
        </row>
        <row r="39">
          <cell r="B39" t="str">
            <v>Phóng viên</v>
          </cell>
          <cell r="C39" t="str">
            <v>17.144</v>
          </cell>
          <cell r="D39">
            <v>2.34</v>
          </cell>
          <cell r="E39">
            <v>0.33</v>
          </cell>
        </row>
        <row r="40">
          <cell r="B40" t="str">
            <v>Kế toán viên cao cấp</v>
          </cell>
          <cell r="C40" t="str">
            <v>06.029</v>
          </cell>
          <cell r="D40">
            <v>5.75</v>
          </cell>
          <cell r="E40">
            <v>0.36</v>
          </cell>
        </row>
        <row r="41">
          <cell r="B41" t="str">
            <v>Kế toán viên chính</v>
          </cell>
          <cell r="C41" t="str">
            <v>06.030</v>
          </cell>
          <cell r="D41">
            <v>4</v>
          </cell>
          <cell r="E41">
            <v>0.34</v>
          </cell>
        </row>
        <row r="42">
          <cell r="B42" t="str">
            <v>Kế toán viên</v>
          </cell>
          <cell r="C42" t="str">
            <v>06.031</v>
          </cell>
          <cell r="D42">
            <v>2.34</v>
          </cell>
          <cell r="E42">
            <v>0.33</v>
          </cell>
        </row>
        <row r="43">
          <cell r="B43" t="str">
            <v>Kế toán viên (cao đẳng)</v>
          </cell>
          <cell r="C43" t="str">
            <v>06a.031</v>
          </cell>
          <cell r="D43">
            <v>2.1</v>
          </cell>
          <cell r="E43">
            <v>0.31</v>
          </cell>
        </row>
        <row r="44">
          <cell r="B44" t="str">
            <v>Kế toán viên trung cấp</v>
          </cell>
          <cell r="C44" t="str">
            <v>06.032</v>
          </cell>
          <cell r="D44">
            <v>1.86</v>
          </cell>
          <cell r="E44">
            <v>0.2</v>
          </cell>
        </row>
        <row r="45">
          <cell r="B45" t="str">
            <v>Lưu trữ viên</v>
          </cell>
          <cell r="C45" t="str">
            <v>02.014</v>
          </cell>
          <cell r="D45">
            <v>2.34</v>
          </cell>
          <cell r="E45">
            <v>0.33</v>
          </cell>
        </row>
        <row r="46">
          <cell r="B46" t="str">
            <v>Lưu trữ viên (cao đẳng)</v>
          </cell>
          <cell r="C46" t="str">
            <v>02a.014</v>
          </cell>
          <cell r="D46">
            <v>2.1</v>
          </cell>
          <cell r="E46">
            <v>0.31</v>
          </cell>
        </row>
        <row r="47">
          <cell r="B47" t="str">
            <v>Lưu trữ viên trung cấp</v>
          </cell>
          <cell r="C47" t="str">
            <v>02.015</v>
          </cell>
          <cell r="D47">
            <v>1.86</v>
          </cell>
          <cell r="E47">
            <v>0.2</v>
          </cell>
        </row>
        <row r="48">
          <cell r="B48" t="str">
            <v>Lái xe cơ quan</v>
          </cell>
          <cell r="C48" t="str">
            <v>01.010</v>
          </cell>
          <cell r="D48">
            <v>2.0499999999999998</v>
          </cell>
          <cell r="E48">
            <v>0.18</v>
          </cell>
        </row>
        <row r="49">
          <cell r="B49" t="str">
            <v>Nhân viên kỹ thuật</v>
          </cell>
          <cell r="C49" t="str">
            <v>01.007</v>
          </cell>
          <cell r="D49">
            <v>1.65</v>
          </cell>
          <cell r="E49">
            <v>0.18</v>
          </cell>
        </row>
        <row r="50">
          <cell r="B50" t="str">
            <v>Nhân viên bảo vệ</v>
          </cell>
          <cell r="C50" t="str">
            <v>01.011</v>
          </cell>
          <cell r="D50">
            <v>1.5</v>
          </cell>
          <cell r="E50">
            <v>0.18</v>
          </cell>
        </row>
        <row r="51">
          <cell r="B51" t="str">
            <v>Kỹ Thuật viên đánh máy</v>
          </cell>
          <cell r="C51" t="str">
            <v>01.005</v>
          </cell>
          <cell r="D51">
            <v>1.5</v>
          </cell>
          <cell r="E51">
            <v>0.18</v>
          </cell>
        </row>
        <row r="52">
          <cell r="B52" t="str">
            <v>Nhân viên đánh máy</v>
          </cell>
          <cell r="C52" t="str">
            <v>01.005</v>
          </cell>
          <cell r="D52">
            <v>1.5</v>
          </cell>
          <cell r="E52">
            <v>0.18</v>
          </cell>
        </row>
        <row r="53">
          <cell r="B53" t="str">
            <v>Nhân viên phục vụ</v>
          </cell>
          <cell r="C53" t="str">
            <v>01.009</v>
          </cell>
          <cell r="D53">
            <v>1</v>
          </cell>
          <cell r="E53">
            <v>0.18</v>
          </cell>
        </row>
        <row r="54">
          <cell r="B54" t="str">
            <v>Thủ kho bảo quản</v>
          </cell>
          <cell r="C54" t="str">
            <v>19.185</v>
          </cell>
          <cell r="D54">
            <v>1.65</v>
          </cell>
          <cell r="E54">
            <v>0.18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Dữ liệu (không sửa)"/>
      <sheetName val="1. Số lượng, cơ cấu"/>
      <sheetName val="2. Bảng lương hiện hành"/>
      <sheetName val="- DLiêu Gốc (Không sửa)"/>
    </sheetNames>
    <sheetDataSet>
      <sheetData sheetId="0" refreshError="1"/>
      <sheetData sheetId="1" refreshError="1"/>
      <sheetData sheetId="2" refreshError="1"/>
      <sheetData sheetId="3" refreshError="1">
        <row r="1">
          <cell r="C1" t="str">
            <v>NGẠCH</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cao cấp</v>
          </cell>
          <cell r="D24" t="str">
            <v>17.168</v>
          </cell>
          <cell r="E24">
            <v>5.75</v>
          </cell>
          <cell r="F24">
            <v>0.36</v>
          </cell>
          <cell r="G24" t="str">
            <v>A3</v>
          </cell>
          <cell r="H24" t="str">
            <v>A3.2</v>
          </cell>
        </row>
        <row r="25">
          <cell r="C25" t="str">
            <v>Thư viện viên chính</v>
          </cell>
          <cell r="D25" t="str">
            <v>17.169</v>
          </cell>
          <cell r="E25">
            <v>4</v>
          </cell>
          <cell r="F25">
            <v>0.34</v>
          </cell>
          <cell r="G25" t="str">
            <v>A2</v>
          </cell>
          <cell r="H25" t="str">
            <v>A2.2</v>
          </cell>
        </row>
        <row r="26">
          <cell r="C26" t="str">
            <v>Thư viện viên</v>
          </cell>
          <cell r="D26" t="str">
            <v>17.170</v>
          </cell>
          <cell r="E26">
            <v>2.34</v>
          </cell>
          <cell r="F26">
            <v>0.33</v>
          </cell>
          <cell r="G26" t="str">
            <v>A1</v>
          </cell>
          <cell r="H26" t="str">
            <v>- - -</v>
          </cell>
        </row>
        <row r="27">
          <cell r="C27" t="str">
            <v>Thư viện viên (cao đẳng)</v>
          </cell>
          <cell r="D27" t="str">
            <v>17a.170</v>
          </cell>
          <cell r="E27">
            <v>2.1</v>
          </cell>
          <cell r="F27">
            <v>0.31</v>
          </cell>
          <cell r="G27" t="str">
            <v>A0</v>
          </cell>
          <cell r="H27" t="str">
            <v>- - -</v>
          </cell>
        </row>
        <row r="28">
          <cell r="C28" t="str">
            <v>Thư viện viên trung cấp</v>
          </cell>
          <cell r="D28" t="str">
            <v>17.171</v>
          </cell>
          <cell r="E28">
            <v>1.86</v>
          </cell>
          <cell r="F28">
            <v>0.2</v>
          </cell>
          <cell r="G28" t="str">
            <v>B</v>
          </cell>
          <cell r="H28" t="str">
            <v>- - -</v>
          </cell>
        </row>
        <row r="29">
          <cell r="C29" t="str">
            <v>Kỹ sư cao cấp (hạng I)</v>
          </cell>
          <cell r="D29" t="str">
            <v>V.05.02.05</v>
          </cell>
          <cell r="E29">
            <v>6.2</v>
          </cell>
          <cell r="F29">
            <v>0.36</v>
          </cell>
          <cell r="G29" t="str">
            <v>A3</v>
          </cell>
          <cell r="H29" t="str">
            <v>A3.1</v>
          </cell>
        </row>
        <row r="30">
          <cell r="C30" t="str">
            <v>Kỹ sư chính (hạng II)</v>
          </cell>
          <cell r="D30" t="str">
            <v>V.05.02.06</v>
          </cell>
          <cell r="E30">
            <v>4.4000000000000004</v>
          </cell>
          <cell r="F30">
            <v>0.34</v>
          </cell>
          <cell r="G30" t="str">
            <v>A2</v>
          </cell>
          <cell r="H30" t="str">
            <v>A2.1</v>
          </cell>
        </row>
        <row r="31">
          <cell r="C31" t="str">
            <v>Kỹ sư (hạng III)</v>
          </cell>
          <cell r="D31" t="str">
            <v>V.05.02.07</v>
          </cell>
          <cell r="E31">
            <v>2.34</v>
          </cell>
          <cell r="F31">
            <v>0.33</v>
          </cell>
          <cell r="G31" t="str">
            <v>A1</v>
          </cell>
          <cell r="H31" t="str">
            <v>- - -</v>
          </cell>
        </row>
        <row r="32">
          <cell r="C32" t="str">
            <v>Kỹ thuật viên (hạng IV)</v>
          </cell>
          <cell r="D32" t="str">
            <v>V.05.02.08</v>
          </cell>
          <cell r="E32">
            <v>1.86</v>
          </cell>
          <cell r="F32">
            <v>0.2</v>
          </cell>
          <cell r="G32" t="str">
            <v>B</v>
          </cell>
          <cell r="H32" t="str">
            <v>- - -</v>
          </cell>
        </row>
        <row r="33">
          <cell r="C33" t="str">
            <v>Bác sỹ cao cấp</v>
          </cell>
          <cell r="D33" t="str">
            <v>16.116</v>
          </cell>
          <cell r="E33">
            <v>6.2</v>
          </cell>
          <cell r="F33">
            <v>0.36</v>
          </cell>
          <cell r="G33" t="str">
            <v>A3</v>
          </cell>
          <cell r="H33" t="str">
            <v>A3.1</v>
          </cell>
        </row>
        <row r="34">
          <cell r="C34" t="str">
            <v>Bác sỹ chính</v>
          </cell>
          <cell r="D34" t="str">
            <v xml:space="preserve"> </v>
          </cell>
          <cell r="E34">
            <v>4.4000000000000004</v>
          </cell>
          <cell r="F34">
            <v>0.34</v>
          </cell>
          <cell r="G34" t="str">
            <v>A2</v>
          </cell>
          <cell r="H34" t="str">
            <v>A2.1</v>
          </cell>
        </row>
        <row r="35">
          <cell r="C35" t="str">
            <v>Bác sỹ</v>
          </cell>
          <cell r="D35" t="str">
            <v>16.118</v>
          </cell>
          <cell r="E35">
            <v>2.34</v>
          </cell>
          <cell r="F35">
            <v>0.33</v>
          </cell>
          <cell r="G35" t="str">
            <v>A1</v>
          </cell>
          <cell r="H35" t="str">
            <v>- - -</v>
          </cell>
        </row>
        <row r="36">
          <cell r="C36" t="str">
            <v>Y sỹ</v>
          </cell>
          <cell r="D36" t="str">
            <v>16.119</v>
          </cell>
          <cell r="E36">
            <v>1.86</v>
          </cell>
          <cell r="F36">
            <v>0.2</v>
          </cell>
          <cell r="G36" t="str">
            <v>B</v>
          </cell>
          <cell r="H36" t="str">
            <v>- - -</v>
          </cell>
        </row>
        <row r="37">
          <cell r="C37" t="str">
            <v>Biên tập viên cao cấp</v>
          </cell>
          <cell r="D37" t="str">
            <v>17.139</v>
          </cell>
          <cell r="E37">
            <v>6.2</v>
          </cell>
          <cell r="F37">
            <v>0.36</v>
          </cell>
          <cell r="G37" t="str">
            <v>A3</v>
          </cell>
          <cell r="H37" t="str">
            <v>A3.1</v>
          </cell>
        </row>
        <row r="38">
          <cell r="C38" t="str">
            <v>Biên tập viên chính</v>
          </cell>
          <cell r="D38" t="str">
            <v>17.140</v>
          </cell>
          <cell r="E38">
            <v>4.4000000000000004</v>
          </cell>
          <cell r="F38">
            <v>0.34</v>
          </cell>
          <cell r="G38" t="str">
            <v>A2</v>
          </cell>
          <cell r="H38" t="str">
            <v>A2.1</v>
          </cell>
        </row>
        <row r="39">
          <cell r="C39" t="str">
            <v>Biên tập viên</v>
          </cell>
          <cell r="D39" t="str">
            <v>17.141</v>
          </cell>
          <cell r="E39">
            <v>2.34</v>
          </cell>
          <cell r="F39">
            <v>0.33</v>
          </cell>
          <cell r="G39" t="str">
            <v>A1</v>
          </cell>
          <cell r="H39" t="str">
            <v>- - -</v>
          </cell>
        </row>
        <row r="40">
          <cell r="C40" t="str">
            <v>Phóng viên cao cấp</v>
          </cell>
          <cell r="D40" t="str">
            <v>17.142</v>
          </cell>
          <cell r="E40">
            <v>6.2</v>
          </cell>
          <cell r="F40">
            <v>0.36</v>
          </cell>
          <cell r="G40" t="str">
            <v>A3</v>
          </cell>
          <cell r="H40" t="str">
            <v>A3.1</v>
          </cell>
        </row>
        <row r="41">
          <cell r="C41" t="str">
            <v>Phóng viên chính</v>
          </cell>
          <cell r="D41" t="str">
            <v>17.143</v>
          </cell>
          <cell r="E41">
            <v>4.4000000000000004</v>
          </cell>
          <cell r="F41">
            <v>0.34</v>
          </cell>
          <cell r="G41" t="str">
            <v>A2</v>
          </cell>
          <cell r="H41" t="str">
            <v>A2.1</v>
          </cell>
        </row>
        <row r="42">
          <cell r="C42" t="str">
            <v>Phóng viên</v>
          </cell>
          <cell r="D42" t="str">
            <v>17.144</v>
          </cell>
          <cell r="E42">
            <v>2.34</v>
          </cell>
          <cell r="F42">
            <v>0.33</v>
          </cell>
          <cell r="G42" t="str">
            <v>A1</v>
          </cell>
          <cell r="H42" t="str">
            <v>- - -</v>
          </cell>
        </row>
        <row r="43">
          <cell r="C43" t="str">
            <v>Kế toán viên cao cấp</v>
          </cell>
          <cell r="D43" t="str">
            <v>06.029</v>
          </cell>
          <cell r="E43">
            <v>5.75</v>
          </cell>
          <cell r="F43">
            <v>0.36</v>
          </cell>
          <cell r="G43" t="str">
            <v>A3</v>
          </cell>
          <cell r="H43" t="str">
            <v>A3.2</v>
          </cell>
        </row>
        <row r="44">
          <cell r="C44" t="str">
            <v>Kế toán viên chính</v>
          </cell>
          <cell r="D44" t="str">
            <v>06.030</v>
          </cell>
          <cell r="E44">
            <v>4</v>
          </cell>
          <cell r="F44">
            <v>0.34</v>
          </cell>
          <cell r="G44" t="str">
            <v>A2</v>
          </cell>
          <cell r="H44" t="str">
            <v>A2.2</v>
          </cell>
        </row>
        <row r="45">
          <cell r="C45" t="str">
            <v>Kế toán viên</v>
          </cell>
          <cell r="D45" t="str">
            <v>06.031</v>
          </cell>
          <cell r="E45">
            <v>2.34</v>
          </cell>
          <cell r="F45">
            <v>0.33</v>
          </cell>
          <cell r="G45" t="str">
            <v>A1</v>
          </cell>
          <cell r="H45" t="str">
            <v>- - -</v>
          </cell>
        </row>
        <row r="46">
          <cell r="C46" t="str">
            <v>Kế toán viên (cao đẳng)</v>
          </cell>
          <cell r="D46" t="str">
            <v>06a.031</v>
          </cell>
          <cell r="E46">
            <v>2.1</v>
          </cell>
          <cell r="F46">
            <v>0.31</v>
          </cell>
          <cell r="G46" t="str">
            <v>A0</v>
          </cell>
          <cell r="H46" t="str">
            <v>- - -</v>
          </cell>
        </row>
        <row r="47">
          <cell r="C47" t="str">
            <v>Kế toán viên trung cấp</v>
          </cell>
          <cell r="D47" t="str">
            <v>06.032</v>
          </cell>
          <cell r="E47">
            <v>1.86</v>
          </cell>
          <cell r="F47">
            <v>0.2</v>
          </cell>
          <cell r="G47" t="str">
            <v>B</v>
          </cell>
          <cell r="H47" t="str">
            <v>- - -</v>
          </cell>
        </row>
        <row r="48">
          <cell r="C48" t="str">
            <v>Lưu trữ viên</v>
          </cell>
          <cell r="D48" t="str">
            <v>02.014</v>
          </cell>
          <cell r="E48">
            <v>2.34</v>
          </cell>
          <cell r="F48">
            <v>0.33</v>
          </cell>
          <cell r="G48" t="str">
            <v>A1</v>
          </cell>
          <cell r="H48" t="str">
            <v>- - -</v>
          </cell>
        </row>
        <row r="49">
          <cell r="C49" t="str">
            <v>Lưu trữ viên (cao đẳng)</v>
          </cell>
          <cell r="D49" t="str">
            <v>02a.014</v>
          </cell>
          <cell r="E49">
            <v>2.1</v>
          </cell>
          <cell r="F49">
            <v>0.31</v>
          </cell>
          <cell r="G49" t="str">
            <v>A0</v>
          </cell>
          <cell r="H49" t="str">
            <v>- - -</v>
          </cell>
        </row>
        <row r="50">
          <cell r="C50" t="str">
            <v>Lưu trữ viên trung cấp</v>
          </cell>
          <cell r="D50" t="str">
            <v>02.015</v>
          </cell>
          <cell r="E50">
            <v>1.86</v>
          </cell>
          <cell r="F50">
            <v>0.2</v>
          </cell>
          <cell r="G50" t="str">
            <v>B</v>
          </cell>
          <cell r="H50" t="str">
            <v>- - -</v>
          </cell>
        </row>
        <row r="51">
          <cell r="C51" t="str">
            <v>Kỹ Thuật viên đánh máy</v>
          </cell>
          <cell r="D51" t="str">
            <v>01.005</v>
          </cell>
          <cell r="E51">
            <v>2.0499999999999998</v>
          </cell>
          <cell r="F51">
            <v>0.18</v>
          </cell>
          <cell r="G51" t="str">
            <v>C</v>
          </cell>
          <cell r="H51" t="str">
            <v>Nhân viên</v>
          </cell>
        </row>
        <row r="52">
          <cell r="C52" t="str">
            <v>Nhân viên đánh máy</v>
          </cell>
          <cell r="D52" t="str">
            <v>01.006</v>
          </cell>
          <cell r="E52">
            <v>1.5</v>
          </cell>
          <cell r="F52">
            <v>0.18</v>
          </cell>
          <cell r="G52" t="str">
            <v>C</v>
          </cell>
          <cell r="H52" t="str">
            <v>Nhân viên</v>
          </cell>
        </row>
        <row r="53">
          <cell r="C53" t="str">
            <v>Nhân viên kỹ thuật</v>
          </cell>
          <cell r="D53" t="str">
            <v>01.007</v>
          </cell>
          <cell r="E53">
            <v>1.65</v>
          </cell>
          <cell r="F53">
            <v>0.18</v>
          </cell>
          <cell r="G53" t="str">
            <v>C</v>
          </cell>
          <cell r="H53" t="str">
            <v>Nhân viên</v>
          </cell>
        </row>
        <row r="54">
          <cell r="C54" t="str">
            <v>Nhân viên văn thư</v>
          </cell>
          <cell r="D54" t="str">
            <v>01.008</v>
          </cell>
          <cell r="E54">
            <v>1.35</v>
          </cell>
          <cell r="F54">
            <v>0.18</v>
          </cell>
          <cell r="G54" t="str">
            <v>C</v>
          </cell>
          <cell r="H54" t="str">
            <v>Nhân viên</v>
          </cell>
        </row>
        <row r="55">
          <cell r="C55" t="str">
            <v>Nhân viên phục vụ</v>
          </cell>
          <cell r="D55" t="str">
            <v>01.009</v>
          </cell>
          <cell r="E55">
            <v>1</v>
          </cell>
          <cell r="F55">
            <v>0.18</v>
          </cell>
          <cell r="G55" t="str">
            <v>C</v>
          </cell>
          <cell r="H55" t="str">
            <v>Nhân viên</v>
          </cell>
        </row>
        <row r="56">
          <cell r="C56" t="str">
            <v>Lái xe cơ quan</v>
          </cell>
          <cell r="D56" t="str">
            <v>01.010</v>
          </cell>
          <cell r="E56">
            <v>2.0499999999999998</v>
          </cell>
          <cell r="F56">
            <v>0.18</v>
          </cell>
          <cell r="G56" t="str">
            <v>C</v>
          </cell>
          <cell r="H56" t="str">
            <v>Nhân viên</v>
          </cell>
        </row>
        <row r="57">
          <cell r="C57" t="str">
            <v>Nhân viên bảo vệ</v>
          </cell>
          <cell r="D57" t="str">
            <v>01.011</v>
          </cell>
          <cell r="E57">
            <v>1.5</v>
          </cell>
          <cell r="F57">
            <v>0.18</v>
          </cell>
          <cell r="G57" t="str">
            <v>C</v>
          </cell>
          <cell r="H57" t="str">
            <v>Nhân viên</v>
          </cell>
        </row>
        <row r="58">
          <cell r="C58" t="str">
            <v>Thủ kho bảo quản</v>
          </cell>
          <cell r="D58" t="str">
            <v>19.185</v>
          </cell>
          <cell r="E58">
            <v>1.65</v>
          </cell>
          <cell r="F58">
            <v>0.18</v>
          </cell>
          <cell r="G58" t="str">
            <v>C</v>
          </cell>
          <cell r="H58" t="str">
            <v>Nhân viên</v>
          </cell>
        </row>
        <row r="59">
          <cell r="C59" t="str">
            <v>Thủ quỹ</v>
          </cell>
          <cell r="D59" t="str">
            <v>06.035</v>
          </cell>
          <cell r="E59">
            <v>1.5</v>
          </cell>
          <cell r="F59">
            <v>0.18</v>
          </cell>
          <cell r="G59" t="str">
            <v>C</v>
          </cell>
          <cell r="H59" t="str">
            <v>Nhân viên</v>
          </cell>
        </row>
        <row r="61">
          <cell r="C61" t="str">
            <v>CHỨC VỤ</v>
          </cell>
          <cell r="D61" t="str">
            <v>PC CV</v>
          </cell>
        </row>
        <row r="62">
          <cell r="C62" t="str">
            <v>Giám đốc Học viện</v>
          </cell>
          <cell r="D62">
            <v>1.25</v>
          </cell>
        </row>
        <row r="63">
          <cell r="C63" t="str">
            <v>Phó Giám đốc Học viện</v>
          </cell>
          <cell r="D63">
            <v>1.1000000000000001</v>
          </cell>
        </row>
        <row r="64">
          <cell r="C64" t="str">
            <v>Nguyên Phó Giám đốc Học viện</v>
          </cell>
          <cell r="D64">
            <v>1.1000000000000001</v>
          </cell>
        </row>
        <row r="65">
          <cell r="C65" t="str">
            <v>Trưởng khoa</v>
          </cell>
          <cell r="D65" t="str">
            <v>1,0</v>
          </cell>
        </row>
        <row r="66">
          <cell r="C66" t="str">
            <v>Nguyên Trưởng khoa</v>
          </cell>
          <cell r="D66" t="str">
            <v>1,0</v>
          </cell>
        </row>
        <row r="67">
          <cell r="C67" t="str">
            <v>Q. Trưởng khoa</v>
          </cell>
          <cell r="D67">
            <v>1</v>
          </cell>
        </row>
        <row r="68">
          <cell r="C68" t="str">
            <v>Nguyên Q. Trưởng khoa</v>
          </cell>
          <cell r="D68">
            <v>1</v>
          </cell>
        </row>
        <row r="69">
          <cell r="C69" t="str">
            <v>Giám đốc phân viện</v>
          </cell>
          <cell r="D69">
            <v>1</v>
          </cell>
        </row>
        <row r="70">
          <cell r="C70" t="str">
            <v>Trưởng ban</v>
          </cell>
          <cell r="D70" t="str">
            <v>1,0</v>
          </cell>
        </row>
        <row r="71">
          <cell r="C71" t="str">
            <v>Nguyên Trưởng ban</v>
          </cell>
          <cell r="D71" t="str">
            <v>1,0</v>
          </cell>
        </row>
        <row r="72">
          <cell r="C72" t="str">
            <v>Tổng Biên tập</v>
          </cell>
          <cell r="D72" t="str">
            <v>1,0</v>
          </cell>
        </row>
        <row r="73">
          <cell r="C73" t="str">
            <v>Viện Trưởng</v>
          </cell>
          <cell r="D73" t="str">
            <v>1,0</v>
          </cell>
        </row>
        <row r="74">
          <cell r="C74" t="str">
            <v>Nguyên Viện Trưởng</v>
          </cell>
          <cell r="D74" t="str">
            <v>1,0</v>
          </cell>
        </row>
        <row r="75">
          <cell r="C75" t="str">
            <v>Giám đốc (cấp vụ)</v>
          </cell>
          <cell r="D75" t="str">
            <v>1,0</v>
          </cell>
        </row>
        <row r="76">
          <cell r="C76" t="str">
            <v>Chánh Văn phòng</v>
          </cell>
          <cell r="D76" t="str">
            <v>1,0</v>
          </cell>
        </row>
        <row r="77">
          <cell r="C77" t="str">
            <v>Phó Trưởng khoa</v>
          </cell>
          <cell r="D77" t="str">
            <v>0,8</v>
          </cell>
        </row>
        <row r="78">
          <cell r="C78" t="str">
            <v>Nguyên Phó Trưởng khoa</v>
          </cell>
          <cell r="D78" t="str">
            <v>0,8</v>
          </cell>
        </row>
        <row r="79">
          <cell r="C79" t="str">
            <v>Phó Trưởng ban</v>
          </cell>
          <cell r="D79" t="str">
            <v>0,8</v>
          </cell>
        </row>
        <row r="80">
          <cell r="C80" t="str">
            <v>Phó Trưởng ban (PT)</v>
          </cell>
          <cell r="D80" t="str">
            <v>0,8</v>
          </cell>
        </row>
        <row r="81">
          <cell r="C81" t="str">
            <v>Nguyên Phó Trưởng ban</v>
          </cell>
          <cell r="D81" t="str">
            <v>0,8</v>
          </cell>
        </row>
        <row r="82">
          <cell r="C82" t="str">
            <v>Phó Tổng biên tập</v>
          </cell>
          <cell r="D82" t="str">
            <v>0,8</v>
          </cell>
        </row>
        <row r="83">
          <cell r="C83" t="str">
            <v>Phó Viện trưởng</v>
          </cell>
          <cell r="D83" t="str">
            <v>0,8</v>
          </cell>
        </row>
        <row r="84">
          <cell r="C84" t="str">
            <v>Nguyên Phó Viện trưởng</v>
          </cell>
          <cell r="D84" t="str">
            <v>0,8</v>
          </cell>
        </row>
        <row r="85">
          <cell r="C85" t="str">
            <v>Phó Giám đốc (cấp vụ)</v>
          </cell>
          <cell r="D85" t="str">
            <v>0,8</v>
          </cell>
        </row>
        <row r="86">
          <cell r="C86" t="str">
            <v>Phó Chánh Văn phòng</v>
          </cell>
          <cell r="D86" t="str">
            <v>0,8</v>
          </cell>
        </row>
        <row r="87">
          <cell r="C87" t="str">
            <v>Giám đốc (cấp phòng)</v>
          </cell>
          <cell r="D87">
            <v>0.6</v>
          </cell>
        </row>
        <row r="88">
          <cell r="C88" t="str">
            <v>Chánh Văn phòng (cấp phòng)</v>
          </cell>
          <cell r="D88">
            <v>0.6</v>
          </cell>
        </row>
        <row r="89">
          <cell r="C89" t="str">
            <v>Trưởng khoa (cấp phòng)</v>
          </cell>
          <cell r="D89" t="str">
            <v>0,6</v>
          </cell>
        </row>
        <row r="90">
          <cell r="C90" t="str">
            <v>Trưởng phòng</v>
          </cell>
          <cell r="D90" t="str">
            <v>0,6</v>
          </cell>
        </row>
        <row r="91">
          <cell r="C91" t="str">
            <v>Q. Trưởng phòng</v>
          </cell>
          <cell r="D91" t="str">
            <v>0,6</v>
          </cell>
        </row>
        <row r="92">
          <cell r="C92" t="str">
            <v>Trưởng bộ môn</v>
          </cell>
          <cell r="D92" t="str">
            <v>0,6</v>
          </cell>
        </row>
        <row r="93">
          <cell r="C93" t="str">
            <v>Nguyên Trưởng bộ môn</v>
          </cell>
          <cell r="D93" t="str">
            <v>0,6</v>
          </cell>
        </row>
        <row r="94">
          <cell r="C94" t="str">
            <v>Trưởng ban (cấp phòng)</v>
          </cell>
          <cell r="D94" t="str">
            <v>0,6</v>
          </cell>
        </row>
        <row r="95">
          <cell r="C95" t="str">
            <v>Chủ nhiệm (cấp phòng)</v>
          </cell>
          <cell r="D95" t="str">
            <v>0,6</v>
          </cell>
        </row>
        <row r="96">
          <cell r="C96" t="str">
            <v>Đội Trưởng (cấp phòng)</v>
          </cell>
          <cell r="D96" t="str">
            <v>0,6</v>
          </cell>
        </row>
        <row r="97">
          <cell r="C97" t="str">
            <v>Phó Trưởng phòng</v>
          </cell>
          <cell r="D97" t="str">
            <v>0,4</v>
          </cell>
        </row>
        <row r="98">
          <cell r="C98" t="str">
            <v>Phó Trưởng phòng (PT)</v>
          </cell>
          <cell r="D98" t="str">
            <v>0,4</v>
          </cell>
        </row>
        <row r="99">
          <cell r="C99" t="str">
            <v>Phó Trưởng bộ môn</v>
          </cell>
          <cell r="D99" t="str">
            <v>0,4</v>
          </cell>
        </row>
        <row r="100">
          <cell r="C100" t="str">
            <v>Nguyên Phó Trưởng bộ môn</v>
          </cell>
          <cell r="D100" t="str">
            <v>0,4</v>
          </cell>
        </row>
        <row r="101">
          <cell r="C101" t="str">
            <v>Phó Trưởng ban (cấp phòng)</v>
          </cell>
          <cell r="D101" t="str">
            <v>0,4</v>
          </cell>
        </row>
        <row r="102">
          <cell r="C102" t="str">
            <v>Phó Trưởng ban (cấp phòng)</v>
          </cell>
          <cell r="D102" t="str">
            <v>0,4</v>
          </cell>
        </row>
        <row r="103">
          <cell r="C103" t="str">
            <v>Phó Chủ nhiệm (cấp phòng)</v>
          </cell>
          <cell r="D103" t="str">
            <v>0,4</v>
          </cell>
        </row>
        <row r="104">
          <cell r="C104" t="str">
            <v>Phó Giám đốc (cấp phòng)</v>
          </cell>
          <cell r="D104" t="str">
            <v>0,4</v>
          </cell>
        </row>
        <row r="105">
          <cell r="C105" t="str">
            <v>Phó Chánh Văn phòng (cấp phòng)</v>
          </cell>
          <cell r="D105" t="str">
            <v>0,4</v>
          </cell>
        </row>
        <row r="106">
          <cell r="C106" t="str">
            <v>Đội Phó (cấp phòng)</v>
          </cell>
          <cell r="D106" t="str">
            <v>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o QĐ"/>
      <sheetName val="$-Ds in QĐ"/>
      <sheetName val="$-BB1"/>
      <sheetName val="$-BC1"/>
      <sheetName val="$-TBao1"/>
      <sheetName val="@.DL-New "/>
      <sheetName val="%-TBao2"/>
      <sheetName val="%-BCcao2"/>
      <sheetName val="%-BBan2"/>
      <sheetName val="%-Ds QĐ2"/>
      <sheetName val="Giao QD %"/>
      <sheetName val="Ds Huu+Thoi.."/>
      <sheetName val="- DLiêu Gốc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C1" t="str">
            <v>NGẠCH</v>
          </cell>
          <cell r="D1" t="str">
            <v>MÃ SỐ</v>
          </cell>
          <cell r="E1" t="str">
            <v>HS bậc 1</v>
          </cell>
          <cell r="F1" t="str">
            <v>BƯỚC</v>
          </cell>
          <cell r="G1" t="str">
            <v>LOẠI</v>
          </cell>
          <cell r="H1" t="str">
            <v>NHÓM</v>
          </cell>
        </row>
        <row r="2">
          <cell r="C2" t="str">
            <v>Giảng viên cao cấp (hạng I)</v>
          </cell>
          <cell r="D2" t="str">
            <v>V.07.01.01</v>
          </cell>
          <cell r="E2">
            <v>6.2</v>
          </cell>
          <cell r="F2">
            <v>0.36</v>
          </cell>
          <cell r="G2" t="str">
            <v>A3</v>
          </cell>
          <cell r="H2" t="str">
            <v>A3.1</v>
          </cell>
        </row>
        <row r="3">
          <cell r="C3" t="str">
            <v>Giảng viên chính (hạng II)</v>
          </cell>
          <cell r="D3" t="str">
            <v>V.07.01.02</v>
          </cell>
          <cell r="E3">
            <v>4.4000000000000004</v>
          </cell>
          <cell r="F3">
            <v>0.34</v>
          </cell>
          <cell r="G3" t="str">
            <v>A2</v>
          </cell>
          <cell r="H3" t="str">
            <v>A2.1</v>
          </cell>
        </row>
        <row r="4">
          <cell r="C4" t="str">
            <v>Giảng viên (hạng III)</v>
          </cell>
          <cell r="D4" t="str">
            <v>V.07.01.03</v>
          </cell>
          <cell r="E4">
            <v>2.34</v>
          </cell>
          <cell r="F4">
            <v>0.33</v>
          </cell>
          <cell r="G4" t="str">
            <v>A1</v>
          </cell>
          <cell r="H4" t="str">
            <v>- - -</v>
          </cell>
        </row>
        <row r="5">
          <cell r="C5" t="str">
            <v>Giảng viên chính</v>
          </cell>
          <cell r="D5" t="str">
            <v>15.110</v>
          </cell>
          <cell r="E5">
            <v>4.4000000000000004</v>
          </cell>
          <cell r="F5">
            <v>0.34</v>
          </cell>
          <cell r="G5" t="str">
            <v>A2</v>
          </cell>
          <cell r="H5" t="str">
            <v>A2.1</v>
          </cell>
        </row>
        <row r="6">
          <cell r="C6" t="str">
            <v xml:space="preserve">Giảng viên </v>
          </cell>
          <cell r="D6" t="str">
            <v>15.111</v>
          </cell>
          <cell r="E6">
            <v>2.34</v>
          </cell>
          <cell r="F6">
            <v>0.33</v>
          </cell>
          <cell r="G6" t="str">
            <v>A1</v>
          </cell>
          <cell r="H6" t="str">
            <v>- - -</v>
          </cell>
        </row>
        <row r="7">
          <cell r="C7" t="str">
            <v>Giáo viên trung học cao cấp</v>
          </cell>
          <cell r="D7" t="str">
            <v>15.112</v>
          </cell>
          <cell r="E7">
            <v>4</v>
          </cell>
          <cell r="F7">
            <v>0.34</v>
          </cell>
          <cell r="G7" t="str">
            <v>A2</v>
          </cell>
          <cell r="H7" t="str">
            <v>A2.2</v>
          </cell>
        </row>
        <row r="8">
          <cell r="C8" t="str">
            <v>Giáo viên trung học</v>
          </cell>
          <cell r="D8" t="str">
            <v>15.113</v>
          </cell>
          <cell r="E8">
            <v>2.34</v>
          </cell>
          <cell r="F8">
            <v>0.33</v>
          </cell>
          <cell r="G8" t="str">
            <v>A1</v>
          </cell>
          <cell r="H8" t="str">
            <v>- - -</v>
          </cell>
        </row>
        <row r="9">
          <cell r="C9" t="str">
            <v>Giáo viên trung học cơ sở chính</v>
          </cell>
          <cell r="D9" t="str">
            <v>15a.201</v>
          </cell>
          <cell r="E9">
            <v>2.34</v>
          </cell>
          <cell r="F9">
            <v>0.33</v>
          </cell>
          <cell r="G9" t="str">
            <v>A1</v>
          </cell>
          <cell r="H9" t="str">
            <v>- - -</v>
          </cell>
        </row>
        <row r="10">
          <cell r="C10" t="str">
            <v>Giáo viên trung học cơ sở</v>
          </cell>
          <cell r="D10" t="str">
            <v>15a.202</v>
          </cell>
          <cell r="E10">
            <v>2.1</v>
          </cell>
          <cell r="F10">
            <v>0.31</v>
          </cell>
          <cell r="G10" t="str">
            <v>A0</v>
          </cell>
          <cell r="H10" t="str">
            <v>- - -</v>
          </cell>
        </row>
        <row r="11">
          <cell r="C11" t="str">
            <v>Nghiên cứu viên cao cấp (hạng I)</v>
          </cell>
          <cell r="D11" t="str">
            <v>V.05.01.01</v>
          </cell>
          <cell r="E11">
            <v>6.2</v>
          </cell>
          <cell r="F11">
            <v>0.36</v>
          </cell>
          <cell r="G11" t="str">
            <v>A3</v>
          </cell>
          <cell r="H11" t="str">
            <v>A3.1</v>
          </cell>
        </row>
        <row r="12">
          <cell r="C12" t="str">
            <v>Nghiên cứu viên chính (hạng II)</v>
          </cell>
          <cell r="D12" t="str">
            <v>V.05.01.02</v>
          </cell>
          <cell r="E12">
            <v>4.4000000000000004</v>
          </cell>
          <cell r="F12">
            <v>0.34</v>
          </cell>
          <cell r="G12" t="str">
            <v>A2</v>
          </cell>
          <cell r="H12" t="str">
            <v>A2.1</v>
          </cell>
        </row>
        <row r="13">
          <cell r="C13" t="str">
            <v>Nghiên cứu viên (hạng III)</v>
          </cell>
          <cell r="D13" t="str">
            <v>V.05.01.03</v>
          </cell>
          <cell r="E13">
            <v>2.34</v>
          </cell>
          <cell r="F13">
            <v>0.33</v>
          </cell>
          <cell r="G13" t="str">
            <v>A1</v>
          </cell>
          <cell r="H13" t="str">
            <v>- - -</v>
          </cell>
        </row>
        <row r="14">
          <cell r="C14" t="str">
            <v>Chuyên viên cao cấp</v>
          </cell>
          <cell r="D14" t="str">
            <v>01.001</v>
          </cell>
          <cell r="E14">
            <v>6.2</v>
          </cell>
          <cell r="F14">
            <v>0.36</v>
          </cell>
          <cell r="G14" t="str">
            <v>A3</v>
          </cell>
          <cell r="H14" t="str">
            <v>A3.1</v>
          </cell>
        </row>
        <row r="15">
          <cell r="C15" t="str">
            <v>Chuyên viên chính</v>
          </cell>
          <cell r="D15" t="str">
            <v>01.002</v>
          </cell>
          <cell r="E15">
            <v>4.4000000000000004</v>
          </cell>
          <cell r="F15">
            <v>0.34</v>
          </cell>
          <cell r="G15" t="str">
            <v>A2</v>
          </cell>
          <cell r="H15" t="str">
            <v>A2.1</v>
          </cell>
        </row>
        <row r="16">
          <cell r="C16" t="str">
            <v>Chuyên viên</v>
          </cell>
          <cell r="D16" t="str">
            <v>01.003</v>
          </cell>
          <cell r="E16">
            <v>2.34</v>
          </cell>
          <cell r="F16">
            <v>0.33</v>
          </cell>
          <cell r="G16" t="str">
            <v>A1</v>
          </cell>
          <cell r="H16" t="str">
            <v>- - -</v>
          </cell>
        </row>
        <row r="17">
          <cell r="C17" t="str">
            <v>Chuyên viên (cao đẳng)</v>
          </cell>
          <cell r="D17" t="str">
            <v>01a.003</v>
          </cell>
          <cell r="E17">
            <v>2.1</v>
          </cell>
          <cell r="F17">
            <v>0.31</v>
          </cell>
          <cell r="G17" t="str">
            <v>A0</v>
          </cell>
          <cell r="H17" t="str">
            <v>- - -</v>
          </cell>
        </row>
        <row r="18">
          <cell r="C18" t="str">
            <v>Cán sự</v>
          </cell>
          <cell r="D18" t="str">
            <v>01.004</v>
          </cell>
          <cell r="E18">
            <v>1.86</v>
          </cell>
          <cell r="F18">
            <v>0.2</v>
          </cell>
          <cell r="G18" t="str">
            <v>B</v>
          </cell>
          <cell r="H18" t="str">
            <v>- - -</v>
          </cell>
        </row>
        <row r="19">
          <cell r="C19" t="str">
            <v>Thanh tra viên cao cấp</v>
          </cell>
          <cell r="D19" t="str">
            <v>04.023</v>
          </cell>
          <cell r="E19">
            <v>6.2</v>
          </cell>
          <cell r="F19">
            <v>0.36</v>
          </cell>
          <cell r="G19" t="str">
            <v>A3</v>
          </cell>
          <cell r="H19" t="str">
            <v>A3.1</v>
          </cell>
        </row>
        <row r="20">
          <cell r="C20" t="str">
            <v>Thanh tra viên chính</v>
          </cell>
          <cell r="D20" t="str">
            <v>04.024</v>
          </cell>
          <cell r="E20">
            <v>4.4000000000000004</v>
          </cell>
          <cell r="F20">
            <v>0.34</v>
          </cell>
          <cell r="G20" t="str">
            <v>A2</v>
          </cell>
          <cell r="H20" t="str">
            <v>A2.1</v>
          </cell>
        </row>
        <row r="21">
          <cell r="C21" t="str">
            <v>Thanh tra viên</v>
          </cell>
          <cell r="D21" t="str">
            <v>04.025</v>
          </cell>
          <cell r="E21">
            <v>2.34</v>
          </cell>
          <cell r="F21">
            <v>0.33</v>
          </cell>
          <cell r="G21" t="str">
            <v>A1</v>
          </cell>
          <cell r="H21" t="str">
            <v>- - -</v>
          </cell>
        </row>
        <row r="22">
          <cell r="C22" t="str">
            <v>Kiểm tra viên</v>
          </cell>
          <cell r="D22" t="str">
            <v>04,025A</v>
          </cell>
          <cell r="E22">
            <v>2.34</v>
          </cell>
          <cell r="F22">
            <v>0.33</v>
          </cell>
          <cell r="G22" t="str">
            <v>A1</v>
          </cell>
          <cell r="H22" t="str">
            <v>- - -</v>
          </cell>
        </row>
        <row r="23">
          <cell r="C23" t="str">
            <v>Thẩm tra viên</v>
          </cell>
          <cell r="D23" t="str">
            <v>03.230</v>
          </cell>
          <cell r="E23">
            <v>2.34</v>
          </cell>
          <cell r="F23">
            <v>0.33</v>
          </cell>
          <cell r="G23" t="str">
            <v>A1</v>
          </cell>
          <cell r="H23" t="str">
            <v>- - -</v>
          </cell>
        </row>
        <row r="24">
          <cell r="C24" t="str">
            <v>Thư viện viên hạng II</v>
          </cell>
          <cell r="D24" t="str">
            <v>V.10.02.05</v>
          </cell>
          <cell r="E24">
            <v>4</v>
          </cell>
          <cell r="F24">
            <v>0.34</v>
          </cell>
          <cell r="G24" t="str">
            <v>A2</v>
          </cell>
          <cell r="H24" t="str">
            <v>A2.2</v>
          </cell>
        </row>
        <row r="25">
          <cell r="C25" t="str">
            <v>Thư viện viên hạng III</v>
          </cell>
          <cell r="D25" t="str">
            <v>V.10.02.06</v>
          </cell>
          <cell r="E25">
            <v>2.34</v>
          </cell>
          <cell r="F25">
            <v>0.33</v>
          </cell>
          <cell r="G25" t="str">
            <v>A1</v>
          </cell>
          <cell r="H25" t="str">
            <v>- - -</v>
          </cell>
        </row>
        <row r="26">
          <cell r="C26" t="str">
            <v>Thư viện viên hạng IV</v>
          </cell>
          <cell r="D26" t="str">
            <v>V.10.02.07</v>
          </cell>
          <cell r="E26">
            <v>1.86</v>
          </cell>
          <cell r="F26">
            <v>0.2</v>
          </cell>
          <cell r="G26" t="str">
            <v>B</v>
          </cell>
          <cell r="H26" t="str">
            <v>- - -</v>
          </cell>
        </row>
        <row r="27">
          <cell r="C27" t="str">
            <v>Thư viện viên (cao đẳng)</v>
          </cell>
          <cell r="D27" t="str">
            <v>17a.170</v>
          </cell>
          <cell r="E27">
            <v>2.1</v>
          </cell>
          <cell r="F27">
            <v>0.31</v>
          </cell>
          <cell r="G27" t="str">
            <v>A0</v>
          </cell>
          <cell r="H27" t="str">
            <v>- - -</v>
          </cell>
        </row>
        <row r="28">
          <cell r="C28" t="str">
            <v>Kỹ sư cao cấp (hạng I)</v>
          </cell>
          <cell r="D28" t="str">
            <v>V.05.02.05</v>
          </cell>
          <cell r="E28">
            <v>6.2</v>
          </cell>
          <cell r="F28">
            <v>0.36</v>
          </cell>
          <cell r="G28" t="str">
            <v>A3</v>
          </cell>
          <cell r="H28" t="str">
            <v>A3.1</v>
          </cell>
        </row>
        <row r="29">
          <cell r="C29" t="str">
            <v>Kỹ sư chính (hạng II)</v>
          </cell>
          <cell r="D29" t="str">
            <v>V.05.02.06</v>
          </cell>
          <cell r="E29">
            <v>4.4000000000000004</v>
          </cell>
          <cell r="F29">
            <v>0.34</v>
          </cell>
          <cell r="G29" t="str">
            <v>A2</v>
          </cell>
          <cell r="H29" t="str">
            <v>A2.1</v>
          </cell>
        </row>
        <row r="30">
          <cell r="C30" t="str">
            <v>Kỹ sư (hạng III)</v>
          </cell>
          <cell r="D30" t="str">
            <v>V.05.02.07</v>
          </cell>
          <cell r="E30">
            <v>2.34</v>
          </cell>
          <cell r="F30">
            <v>0.33</v>
          </cell>
          <cell r="G30" t="str">
            <v>A1</v>
          </cell>
          <cell r="H30" t="str">
            <v>- - -</v>
          </cell>
        </row>
        <row r="31">
          <cell r="C31" t="str">
            <v>Kỹ thuật viên (hạng IV)</v>
          </cell>
          <cell r="D31" t="str">
            <v>V.05.02.08</v>
          </cell>
          <cell r="E31">
            <v>1.86</v>
          </cell>
          <cell r="F31">
            <v>0.2</v>
          </cell>
          <cell r="G31" t="str">
            <v>B</v>
          </cell>
          <cell r="H31" t="str">
            <v>- - -</v>
          </cell>
        </row>
        <row r="32">
          <cell r="C32" t="str">
            <v>Bác sĩ cao cấp (hạng I)</v>
          </cell>
          <cell r="D32" t="str">
            <v>V.08.01.01</v>
          </cell>
          <cell r="E32">
            <v>6.2</v>
          </cell>
          <cell r="F32">
            <v>0.36</v>
          </cell>
          <cell r="G32" t="str">
            <v>A3</v>
          </cell>
          <cell r="H32" t="str">
            <v>A3.1</v>
          </cell>
        </row>
        <row r="33">
          <cell r="C33" t="str">
            <v>Bác sĩ chính (hạng II)</v>
          </cell>
          <cell r="D33" t="str">
            <v>V.08.01.02</v>
          </cell>
          <cell r="E33">
            <v>4.4000000000000004</v>
          </cell>
          <cell r="F33">
            <v>0.34</v>
          </cell>
          <cell r="G33" t="str">
            <v>A2</v>
          </cell>
          <cell r="H33" t="str">
            <v>A2.1</v>
          </cell>
        </row>
        <row r="34">
          <cell r="C34" t="str">
            <v>Bác sĩ (hạng III)</v>
          </cell>
          <cell r="D34" t="str">
            <v>V.08.01.03</v>
          </cell>
          <cell r="E34">
            <v>2.34</v>
          </cell>
          <cell r="F34">
            <v>0.33</v>
          </cell>
          <cell r="G34" t="str">
            <v>A1</v>
          </cell>
          <cell r="H34" t="str">
            <v>- - -</v>
          </cell>
        </row>
        <row r="35">
          <cell r="C35" t="str">
            <v>Y sĩ (hạng IV)</v>
          </cell>
          <cell r="D35" t="str">
            <v>V.08.01.04</v>
          </cell>
          <cell r="E35">
            <v>1.86</v>
          </cell>
          <cell r="F35">
            <v>0.2</v>
          </cell>
          <cell r="G35" t="str">
            <v>B</v>
          </cell>
          <cell r="H35" t="str">
            <v>- - -</v>
          </cell>
        </row>
        <row r="36">
          <cell r="C36" t="str">
            <v>Biên tập viên hạng I</v>
          </cell>
          <cell r="D36" t="str">
            <v>V1.11.01.01</v>
          </cell>
          <cell r="E36">
            <v>6.2</v>
          </cell>
          <cell r="F36">
            <v>0.36</v>
          </cell>
          <cell r="G36" t="str">
            <v>A3</v>
          </cell>
          <cell r="H36" t="str">
            <v>A3.1</v>
          </cell>
        </row>
        <row r="37">
          <cell r="C37" t="str">
            <v>Biên tập viên hạng II</v>
          </cell>
          <cell r="D37" t="str">
            <v>V1.11.01.02</v>
          </cell>
          <cell r="E37">
            <v>4.4000000000000004</v>
          </cell>
          <cell r="F37">
            <v>0.34</v>
          </cell>
          <cell r="G37" t="str">
            <v>A2</v>
          </cell>
          <cell r="H37" t="str">
            <v>A2.1</v>
          </cell>
        </row>
        <row r="38">
          <cell r="C38" t="str">
            <v>Biên tập viên hạng III</v>
          </cell>
          <cell r="D38" t="str">
            <v>V1.11.01.03</v>
          </cell>
          <cell r="E38">
            <v>2.34</v>
          </cell>
          <cell r="F38">
            <v>0.33</v>
          </cell>
          <cell r="G38" t="str">
            <v>A1</v>
          </cell>
          <cell r="H38" t="str">
            <v>- - -</v>
          </cell>
        </row>
        <row r="39">
          <cell r="C39" t="str">
            <v>Phóng viên hạng I</v>
          </cell>
          <cell r="D39" t="str">
            <v>V1.11.01.04</v>
          </cell>
          <cell r="E39">
            <v>6.2</v>
          </cell>
          <cell r="F39">
            <v>0.36</v>
          </cell>
          <cell r="G39" t="str">
            <v>A3</v>
          </cell>
          <cell r="H39" t="str">
            <v>A3.1</v>
          </cell>
        </row>
        <row r="40">
          <cell r="C40" t="str">
            <v>Phóng viên hạng II</v>
          </cell>
          <cell r="D40" t="str">
            <v>V1.11.01.05</v>
          </cell>
          <cell r="E40">
            <v>4.4000000000000004</v>
          </cell>
          <cell r="F40">
            <v>0.34</v>
          </cell>
          <cell r="G40" t="str">
            <v>A2</v>
          </cell>
          <cell r="H40" t="str">
            <v>A2.1</v>
          </cell>
        </row>
        <row r="41">
          <cell r="C41" t="str">
            <v>Phóng viên hạng III</v>
          </cell>
          <cell r="D41" t="str">
            <v>V1.11.01.06</v>
          </cell>
          <cell r="E41">
            <v>2.34</v>
          </cell>
          <cell r="F41">
            <v>0.33</v>
          </cell>
          <cell r="G41" t="str">
            <v>A1</v>
          </cell>
          <cell r="H41" t="str">
            <v>- - -</v>
          </cell>
        </row>
        <row r="42">
          <cell r="C42" t="str">
            <v>Biên tập viên chính</v>
          </cell>
          <cell r="D42" t="str">
            <v>17.140</v>
          </cell>
          <cell r="E42">
            <v>4.4000000000000004</v>
          </cell>
          <cell r="F42">
            <v>0.34</v>
          </cell>
          <cell r="G42" t="str">
            <v>A2</v>
          </cell>
          <cell r="H42" t="str">
            <v>A2.1</v>
          </cell>
        </row>
        <row r="43">
          <cell r="C43" t="str">
            <v>Phóng viên chính</v>
          </cell>
          <cell r="D43" t="str">
            <v>17.143</v>
          </cell>
          <cell r="E43">
            <v>4.4000000000000004</v>
          </cell>
          <cell r="F43">
            <v>0.34</v>
          </cell>
          <cell r="G43" t="str">
            <v>A2</v>
          </cell>
          <cell r="H43" t="str">
            <v>A2.1</v>
          </cell>
        </row>
        <row r="44">
          <cell r="C44" t="str">
            <v>Kế toán viên cao cấp</v>
          </cell>
          <cell r="D44" t="str">
            <v>06.029</v>
          </cell>
          <cell r="E44">
            <v>5.75</v>
          </cell>
          <cell r="F44">
            <v>0.36</v>
          </cell>
          <cell r="G44" t="str">
            <v>A3</v>
          </cell>
          <cell r="H44" t="str">
            <v>A3.2</v>
          </cell>
        </row>
        <row r="45">
          <cell r="C45" t="str">
            <v>Kế toán viên chính</v>
          </cell>
          <cell r="D45" t="str">
            <v>06.030</v>
          </cell>
          <cell r="E45">
            <v>4</v>
          </cell>
          <cell r="F45">
            <v>0.34</v>
          </cell>
          <cell r="G45" t="str">
            <v>A2</v>
          </cell>
          <cell r="H45" t="str">
            <v>A2.2</v>
          </cell>
        </row>
        <row r="46">
          <cell r="C46" t="str">
            <v>Kế toán viên</v>
          </cell>
          <cell r="D46" t="str">
            <v>06.031</v>
          </cell>
          <cell r="E46">
            <v>2.34</v>
          </cell>
          <cell r="F46">
            <v>0.33</v>
          </cell>
          <cell r="G46" t="str">
            <v>A1</v>
          </cell>
          <cell r="H46" t="str">
            <v>- - -</v>
          </cell>
        </row>
        <row r="47">
          <cell r="C47" t="str">
            <v>Kế toán viên (cao đẳng)</v>
          </cell>
          <cell r="D47" t="str">
            <v>06a.031</v>
          </cell>
          <cell r="E47">
            <v>2.1</v>
          </cell>
          <cell r="F47">
            <v>0.31</v>
          </cell>
          <cell r="G47" t="str">
            <v>A0</v>
          </cell>
          <cell r="H47" t="str">
            <v>- - -</v>
          </cell>
        </row>
        <row r="48">
          <cell r="C48" t="str">
            <v>Kế toán viên trung cấp</v>
          </cell>
          <cell r="D48" t="str">
            <v>06.032</v>
          </cell>
          <cell r="E48">
            <v>1.86</v>
          </cell>
          <cell r="F48">
            <v>0.2</v>
          </cell>
          <cell r="G48" t="str">
            <v>B</v>
          </cell>
          <cell r="H48" t="str">
            <v>- - -</v>
          </cell>
        </row>
        <row r="49">
          <cell r="C49" t="str">
            <v>Lưu trữ viên</v>
          </cell>
          <cell r="D49" t="str">
            <v>02.014</v>
          </cell>
          <cell r="E49">
            <v>2.34</v>
          </cell>
          <cell r="F49">
            <v>0.33</v>
          </cell>
          <cell r="G49" t="str">
            <v>A1</v>
          </cell>
          <cell r="H49" t="str">
            <v>- - -</v>
          </cell>
        </row>
        <row r="50">
          <cell r="C50" t="str">
            <v>Lưu trữ viên (cao đẳng)</v>
          </cell>
          <cell r="D50" t="str">
            <v>02a.014</v>
          </cell>
          <cell r="E50">
            <v>2.1</v>
          </cell>
          <cell r="F50">
            <v>0.31</v>
          </cell>
          <cell r="G50" t="str">
            <v>A0</v>
          </cell>
          <cell r="H50" t="str">
            <v>- - -</v>
          </cell>
        </row>
        <row r="51">
          <cell r="C51" t="str">
            <v>Lưu trữ viên trung cấp</v>
          </cell>
          <cell r="D51" t="str">
            <v>02.015</v>
          </cell>
          <cell r="E51">
            <v>1.86</v>
          </cell>
          <cell r="F51">
            <v>0.2</v>
          </cell>
          <cell r="G51" t="str">
            <v>B</v>
          </cell>
          <cell r="H51" t="str">
            <v>- - -</v>
          </cell>
        </row>
        <row r="52">
          <cell r="C52" t="str">
            <v>Kỹ Thuật viên đánh máy</v>
          </cell>
          <cell r="D52" t="str">
            <v>01.005</v>
          </cell>
          <cell r="E52">
            <v>2.0499999999999998</v>
          </cell>
          <cell r="F52">
            <v>0.18</v>
          </cell>
          <cell r="G52" t="str">
            <v>C</v>
          </cell>
          <cell r="H52" t="str">
            <v>Nhân viên</v>
          </cell>
        </row>
        <row r="53">
          <cell r="C53" t="str">
            <v>Nhân viên đánh máy</v>
          </cell>
          <cell r="D53" t="str">
            <v>01.006</v>
          </cell>
          <cell r="E53">
            <v>1.5</v>
          </cell>
          <cell r="F53">
            <v>0.18</v>
          </cell>
          <cell r="G53" t="str">
            <v>C</v>
          </cell>
          <cell r="H53" t="str">
            <v>Nhân viên</v>
          </cell>
        </row>
        <row r="54">
          <cell r="C54" t="str">
            <v>Nhân viên kỹ thuật</v>
          </cell>
          <cell r="D54" t="str">
            <v>01.007</v>
          </cell>
          <cell r="E54">
            <v>1.65</v>
          </cell>
          <cell r="F54">
            <v>0.18</v>
          </cell>
          <cell r="G54" t="str">
            <v>C</v>
          </cell>
          <cell r="H54" t="str">
            <v>Nhân viên</v>
          </cell>
        </row>
        <row r="55">
          <cell r="C55" t="str">
            <v>Nhân viên văn thư</v>
          </cell>
          <cell r="D55" t="str">
            <v>01.008</v>
          </cell>
          <cell r="E55">
            <v>1.35</v>
          </cell>
          <cell r="F55">
            <v>0.18</v>
          </cell>
          <cell r="G55" t="str">
            <v>C</v>
          </cell>
          <cell r="H55" t="str">
            <v>Nhân viên</v>
          </cell>
        </row>
        <row r="56">
          <cell r="C56" t="str">
            <v>Nhân viên phục vụ</v>
          </cell>
          <cell r="D56" t="str">
            <v>01.009</v>
          </cell>
          <cell r="E56">
            <v>1</v>
          </cell>
          <cell r="F56">
            <v>0.18</v>
          </cell>
          <cell r="G56" t="str">
            <v>C</v>
          </cell>
          <cell r="H56" t="str">
            <v>Nhân viên</v>
          </cell>
        </row>
        <row r="57">
          <cell r="C57" t="str">
            <v>Lái xe cơ quan</v>
          </cell>
          <cell r="D57" t="str">
            <v>01.010</v>
          </cell>
          <cell r="E57">
            <v>2.0499999999999998</v>
          </cell>
          <cell r="F57">
            <v>0.18</v>
          </cell>
          <cell r="G57" t="str">
            <v>C</v>
          </cell>
          <cell r="H57" t="str">
            <v>Nhân viên</v>
          </cell>
        </row>
        <row r="58">
          <cell r="C58" t="str">
            <v>Nhân viên bảo vệ</v>
          </cell>
          <cell r="D58" t="str">
            <v>01.011</v>
          </cell>
          <cell r="E58">
            <v>1.5</v>
          </cell>
          <cell r="F58">
            <v>0.18</v>
          </cell>
          <cell r="G58" t="str">
            <v>C</v>
          </cell>
          <cell r="H58" t="str">
            <v>Nhân viên</v>
          </cell>
        </row>
        <row r="59">
          <cell r="C59" t="str">
            <v>Thủ kho bảo quản</v>
          </cell>
          <cell r="D59" t="str">
            <v>19.185</v>
          </cell>
          <cell r="E59">
            <v>1.65</v>
          </cell>
          <cell r="F59">
            <v>0.18</v>
          </cell>
          <cell r="G59" t="str">
            <v>C</v>
          </cell>
          <cell r="H59" t="str">
            <v>Nhân viên</v>
          </cell>
        </row>
        <row r="60">
          <cell r="C60" t="str">
            <v>Thủ quỹ</v>
          </cell>
          <cell r="D60" t="str">
            <v>06.035</v>
          </cell>
          <cell r="E60">
            <v>1.5</v>
          </cell>
          <cell r="F60">
            <v>0.18</v>
          </cell>
          <cell r="G60" t="str">
            <v>C</v>
          </cell>
          <cell r="H60" t="str">
            <v>Nhân viên</v>
          </cell>
        </row>
        <row r="62">
          <cell r="C62" t="str">
            <v>CHỨC VỤ</v>
          </cell>
          <cell r="D62" t="str">
            <v>PC CV</v>
          </cell>
        </row>
        <row r="63">
          <cell r="C63" t="str">
            <v>Giám đốc Học viện</v>
          </cell>
          <cell r="D63">
            <v>1.25</v>
          </cell>
        </row>
        <row r="64">
          <cell r="C64" t="str">
            <v>Phó Giám đốc Học viện</v>
          </cell>
          <cell r="D64">
            <v>1.1000000000000001</v>
          </cell>
        </row>
        <row r="65">
          <cell r="C65" t="str">
            <v>Nguyên Phó Giám đốc Học viện</v>
          </cell>
          <cell r="D65">
            <v>1.1000000000000001</v>
          </cell>
        </row>
        <row r="66">
          <cell r="C66" t="str">
            <v>Trưởng khoa</v>
          </cell>
          <cell r="D66">
            <v>1</v>
          </cell>
        </row>
        <row r="67">
          <cell r="C67" t="str">
            <v>Nguyên Trưởng khoa</v>
          </cell>
          <cell r="D67">
            <v>1</v>
          </cell>
        </row>
        <row r="68">
          <cell r="C68" t="str">
            <v>Q. Trưởng khoa</v>
          </cell>
          <cell r="D68">
            <v>1</v>
          </cell>
        </row>
        <row r="69">
          <cell r="C69" t="str">
            <v>Nguyên Q. Trưởng khoa</v>
          </cell>
          <cell r="D69">
            <v>1</v>
          </cell>
        </row>
        <row r="70">
          <cell r="C70" t="str">
            <v>Giám đốc phân viện</v>
          </cell>
          <cell r="D70">
            <v>1</v>
          </cell>
        </row>
        <row r="71">
          <cell r="C71" t="str">
            <v>Trưởng ban</v>
          </cell>
          <cell r="D71">
            <v>1</v>
          </cell>
        </row>
        <row r="72">
          <cell r="C72" t="str">
            <v>Nguyên Trưởng ban</v>
          </cell>
          <cell r="D72">
            <v>1</v>
          </cell>
        </row>
        <row r="73">
          <cell r="C73" t="str">
            <v>Tổng Biên tập</v>
          </cell>
          <cell r="D73">
            <v>1</v>
          </cell>
        </row>
        <row r="74">
          <cell r="C74" t="str">
            <v>Viện Trưởng</v>
          </cell>
          <cell r="D74">
            <v>1</v>
          </cell>
        </row>
        <row r="75">
          <cell r="C75" t="str">
            <v>Nguyên Viện Trưởng</v>
          </cell>
          <cell r="D75">
            <v>1</v>
          </cell>
        </row>
        <row r="76">
          <cell r="C76" t="str">
            <v>Giám đốc (cấp vụ)</v>
          </cell>
          <cell r="D76">
            <v>1</v>
          </cell>
        </row>
        <row r="77">
          <cell r="C77" t="str">
            <v>Chánh Văn phòng</v>
          </cell>
          <cell r="D77">
            <v>1</v>
          </cell>
        </row>
        <row r="78">
          <cell r="C78" t="str">
            <v>Phó Giám đốc Phân viện</v>
          </cell>
          <cell r="D78">
            <v>0.8</v>
          </cell>
        </row>
        <row r="79">
          <cell r="C79" t="str">
            <v>Phó Trưởng khoa</v>
          </cell>
          <cell r="D79">
            <v>0.8</v>
          </cell>
        </row>
        <row r="80">
          <cell r="C80" t="str">
            <v>Nguyên Phó Trưởng khoa</v>
          </cell>
          <cell r="D80">
            <v>0.8</v>
          </cell>
        </row>
        <row r="81">
          <cell r="C81" t="str">
            <v>Phó Trưởng ban</v>
          </cell>
          <cell r="D81">
            <v>0.8</v>
          </cell>
        </row>
        <row r="82">
          <cell r="C82" t="str">
            <v>Phó Trưởng ban (PT)</v>
          </cell>
          <cell r="D82">
            <v>0.8</v>
          </cell>
        </row>
        <row r="83">
          <cell r="C83" t="str">
            <v>Nguyên Phó Trưởng ban</v>
          </cell>
          <cell r="D83">
            <v>0.8</v>
          </cell>
        </row>
        <row r="84">
          <cell r="C84" t="str">
            <v>Phó Tổng biên tập</v>
          </cell>
          <cell r="D84">
            <v>0.8</v>
          </cell>
        </row>
        <row r="85">
          <cell r="C85" t="str">
            <v>Phó Viện trưởng</v>
          </cell>
          <cell r="D85">
            <v>0.8</v>
          </cell>
        </row>
        <row r="86">
          <cell r="C86" t="str">
            <v>Nguyên Phó Viện trưởng</v>
          </cell>
          <cell r="D86">
            <v>0.8</v>
          </cell>
        </row>
        <row r="87">
          <cell r="C87" t="str">
            <v>Phó Giám đốc (cấp vụ)</v>
          </cell>
          <cell r="D87">
            <v>0.8</v>
          </cell>
        </row>
        <row r="88">
          <cell r="C88" t="str">
            <v>Phó Chánh Văn phòng</v>
          </cell>
          <cell r="D88">
            <v>0.8</v>
          </cell>
        </row>
        <row r="89">
          <cell r="C89" t="str">
            <v>Giám đốc (cấp phòng)</v>
          </cell>
          <cell r="D89">
            <v>0.6</v>
          </cell>
        </row>
        <row r="90">
          <cell r="C90" t="str">
            <v>Chánh Văn phòng (cấp phòng)</v>
          </cell>
          <cell r="D90">
            <v>0.6</v>
          </cell>
        </row>
        <row r="91">
          <cell r="C91" t="str">
            <v>Trưởng khoa (cấp phòng)</v>
          </cell>
          <cell r="D91">
            <v>0.6</v>
          </cell>
        </row>
        <row r="92">
          <cell r="C92" t="str">
            <v>Trưởng phòng</v>
          </cell>
          <cell r="D92">
            <v>0.6</v>
          </cell>
        </row>
        <row r="93">
          <cell r="C93" t="str">
            <v>Q. Trưởng phòng</v>
          </cell>
          <cell r="D93">
            <v>0.6</v>
          </cell>
        </row>
        <row r="94">
          <cell r="C94" t="str">
            <v>Trưởng bộ môn</v>
          </cell>
          <cell r="D94">
            <v>0.6</v>
          </cell>
        </row>
        <row r="95">
          <cell r="C95" t="str">
            <v>Nguyên Trưởng bộ môn</v>
          </cell>
          <cell r="D95">
            <v>0.6</v>
          </cell>
        </row>
        <row r="96">
          <cell r="C96" t="str">
            <v>Trưởng ban (cấp phòng)</v>
          </cell>
          <cell r="D96">
            <v>0.6</v>
          </cell>
        </row>
        <row r="97">
          <cell r="C97" t="str">
            <v>Chủ nhiệm (cấp phòng)</v>
          </cell>
          <cell r="D97">
            <v>0.6</v>
          </cell>
        </row>
        <row r="98">
          <cell r="C98" t="str">
            <v>Đội Trưởng (cấp phòng)</v>
          </cell>
          <cell r="D98">
            <v>0.6</v>
          </cell>
        </row>
        <row r="99">
          <cell r="C99" t="str">
            <v>Phó Trưởng phòng</v>
          </cell>
          <cell r="D99">
            <v>0.4</v>
          </cell>
        </row>
        <row r="100">
          <cell r="C100" t="str">
            <v>Phó Trưởng phòng (PT)</v>
          </cell>
          <cell r="D100">
            <v>0.4</v>
          </cell>
        </row>
        <row r="101">
          <cell r="C101" t="str">
            <v>Phó Trưởng bộ môn</v>
          </cell>
          <cell r="D101">
            <v>0.4</v>
          </cell>
        </row>
        <row r="102">
          <cell r="C102" t="str">
            <v>Nguyên Phó Trưởng bộ môn</v>
          </cell>
          <cell r="D102">
            <v>0.4</v>
          </cell>
        </row>
        <row r="103">
          <cell r="C103" t="str">
            <v>Phó Trưởng ban (cấp phòng)</v>
          </cell>
          <cell r="D103">
            <v>0.4</v>
          </cell>
        </row>
        <row r="104">
          <cell r="C104" t="str">
            <v>Phó Trưởng ban (cấp phòng)</v>
          </cell>
          <cell r="D104">
            <v>0.4</v>
          </cell>
        </row>
        <row r="105">
          <cell r="C105" t="str">
            <v>Phó Chủ nhiệm (cấp phòng)</v>
          </cell>
          <cell r="D105">
            <v>0.4</v>
          </cell>
        </row>
        <row r="106">
          <cell r="C106" t="str">
            <v>Phó Giám đốc (cấp phòng)</v>
          </cell>
          <cell r="D106">
            <v>0.4</v>
          </cell>
        </row>
        <row r="107">
          <cell r="C107" t="str">
            <v>Phó Chánh Văn phòng (cấp phòng)</v>
          </cell>
          <cell r="D107">
            <v>0.4</v>
          </cell>
        </row>
        <row r="108">
          <cell r="C108" t="str">
            <v>Đội Phó (cấp phòng)</v>
          </cell>
          <cell r="D108">
            <v>0.4</v>
          </cell>
        </row>
        <row r="116">
          <cell r="C116" t="str">
            <v>Bác sĩ cao cấp</v>
          </cell>
          <cell r="D116" t="str">
            <v>16.116</v>
          </cell>
          <cell r="E116">
            <v>6.2</v>
          </cell>
          <cell r="F116">
            <v>0.36</v>
          </cell>
          <cell r="G116" t="str">
            <v>A3</v>
          </cell>
          <cell r="H116" t="str">
            <v>A3.1</v>
          </cell>
        </row>
        <row r="117">
          <cell r="C117" t="str">
            <v>Bác sĩ chính</v>
          </cell>
          <cell r="D117" t="str">
            <v xml:space="preserve"> </v>
          </cell>
          <cell r="E117">
            <v>4.4000000000000004</v>
          </cell>
          <cell r="F117">
            <v>0.34</v>
          </cell>
          <cell r="G117" t="str">
            <v>A2</v>
          </cell>
          <cell r="H117" t="str">
            <v>A2.1</v>
          </cell>
        </row>
        <row r="118">
          <cell r="C118" t="str">
            <v>Bác sĩ</v>
          </cell>
          <cell r="D118" t="str">
            <v>16.118</v>
          </cell>
          <cell r="E118">
            <v>2.34</v>
          </cell>
          <cell r="F118">
            <v>0.33</v>
          </cell>
          <cell r="G118" t="str">
            <v>A1</v>
          </cell>
          <cell r="H118" t="str">
            <v>- - -</v>
          </cell>
        </row>
        <row r="119">
          <cell r="C119" t="str">
            <v>Y sĩ</v>
          </cell>
          <cell r="D119" t="str">
            <v>16.119</v>
          </cell>
          <cell r="E119">
            <v>1.86</v>
          </cell>
          <cell r="F119">
            <v>0.2</v>
          </cell>
          <cell r="G119" t="str">
            <v>B</v>
          </cell>
          <cell r="H119" t="str">
            <v>- - -</v>
          </cell>
        </row>
        <row r="120">
          <cell r="C120" t="str">
            <v>Biên tập viên cao cấp</v>
          </cell>
          <cell r="D120" t="str">
            <v>17.139</v>
          </cell>
          <cell r="E120">
            <v>6.2</v>
          </cell>
          <cell r="F120">
            <v>0.36</v>
          </cell>
          <cell r="G120" t="str">
            <v>A3</v>
          </cell>
          <cell r="H120" t="str">
            <v>A3.1</v>
          </cell>
        </row>
        <row r="121">
          <cell r="C121" t="str">
            <v>Biên tập viên</v>
          </cell>
          <cell r="D121" t="str">
            <v>17.141</v>
          </cell>
          <cell r="E121">
            <v>2.34</v>
          </cell>
          <cell r="F121">
            <v>0.33</v>
          </cell>
          <cell r="G121" t="str">
            <v>A1</v>
          </cell>
          <cell r="H121" t="str">
            <v>- - -</v>
          </cell>
        </row>
        <row r="122">
          <cell r="C122" t="str">
            <v>Phóng viên cao cấp</v>
          </cell>
          <cell r="D122" t="str">
            <v>17.142</v>
          </cell>
          <cell r="E122">
            <v>6.2</v>
          </cell>
          <cell r="F122">
            <v>0.36</v>
          </cell>
          <cell r="G122" t="str">
            <v>A3</v>
          </cell>
          <cell r="H122" t="str">
            <v>A3.1</v>
          </cell>
        </row>
        <row r="123">
          <cell r="C123" t="str">
            <v>Phóng viên</v>
          </cell>
          <cell r="D123" t="str">
            <v>17.144</v>
          </cell>
          <cell r="E123">
            <v>2.34</v>
          </cell>
          <cell r="F123">
            <v>0.33</v>
          </cell>
          <cell r="G123" t="str">
            <v>A1</v>
          </cell>
          <cell r="H123" t="str">
            <v>- - -</v>
          </cell>
        </row>
        <row r="125">
          <cell r="C125" t="str">
            <v>Thư viện viên chính</v>
          </cell>
          <cell r="D125" t="str">
            <v>17.169</v>
          </cell>
          <cell r="E125">
            <v>4</v>
          </cell>
          <cell r="F125">
            <v>0.34</v>
          </cell>
          <cell r="G125" t="str">
            <v>A2</v>
          </cell>
          <cell r="H125" t="str">
            <v>A2.2</v>
          </cell>
        </row>
        <row r="126">
          <cell r="C126" t="str">
            <v>Thư viện viên</v>
          </cell>
          <cell r="D126" t="str">
            <v>17.170</v>
          </cell>
          <cell r="E126">
            <v>2.34</v>
          </cell>
          <cell r="F126">
            <v>0.33</v>
          </cell>
          <cell r="G126" t="str">
            <v>A1</v>
          </cell>
          <cell r="H126" t="str">
            <v>- - -</v>
          </cell>
        </row>
        <row r="127">
          <cell r="C127" t="str">
            <v>Thư viện viên trung cấp</v>
          </cell>
          <cell r="D127" t="str">
            <v>17.171</v>
          </cell>
          <cell r="E127">
            <v>1.86</v>
          </cell>
          <cell r="F127">
            <v>0.2</v>
          </cell>
          <cell r="G127" t="str">
            <v>B</v>
          </cell>
          <cell r="H127" t="str">
            <v>- -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K86"/>
  <sheetViews>
    <sheetView tabSelected="1" view="pageBreakPreview" topLeftCell="B1" zoomScale="115" zoomScaleNormal="100" zoomScaleSheetLayoutView="115" workbookViewId="0">
      <selection activeCell="AF5" sqref="AF5"/>
    </sheetView>
  </sheetViews>
  <sheetFormatPr defaultRowHeight="16.5" x14ac:dyDescent="0.2"/>
  <cols>
    <col min="1" max="1" width="5.7109375" style="8" hidden="1" customWidth="1"/>
    <col min="2" max="2" width="3.5703125" style="9" customWidth="1"/>
    <col min="3" max="3" width="5" style="8" hidden="1" customWidth="1"/>
    <col min="4" max="4" width="7.140625" style="33" hidden="1" customWidth="1"/>
    <col min="5" max="5" width="13.28515625" style="167" customWidth="1"/>
    <col min="6" max="6" width="3.42578125" style="166" customWidth="1"/>
    <col min="7" max="7" width="5.5703125" style="17" hidden="1" customWidth="1"/>
    <col min="8" max="8" width="0.85546875" style="17" hidden="1" customWidth="1"/>
    <col min="9" max="9" width="4.5703125" style="17" hidden="1" customWidth="1"/>
    <col min="10" max="10" width="1.5703125" style="18" hidden="1" customWidth="1"/>
    <col min="11" max="12" width="7.140625" style="18" hidden="1" customWidth="1"/>
    <col min="13" max="13" width="4.140625" style="18" customWidth="1"/>
    <col min="14" max="14" width="7.140625" style="18" hidden="1" customWidth="1"/>
    <col min="15" max="16" width="3" style="18" hidden="1" customWidth="1"/>
    <col min="17" max="17" width="3" style="78" hidden="1" customWidth="1"/>
    <col min="18" max="18" width="11.28515625" style="79" hidden="1" customWidth="1"/>
    <col min="19" max="19" width="20.28515625" style="199" customWidth="1"/>
    <col min="20" max="20" width="2.28515625" style="199" hidden="1" customWidth="1"/>
    <col min="21" max="21" width="10.7109375" style="20" hidden="1" customWidth="1"/>
    <col min="22" max="22" width="12.85546875" style="200" hidden="1" customWidth="1"/>
    <col min="23" max="23" width="10.28515625" style="19" customWidth="1"/>
    <col min="24" max="24" width="9.28515625" style="16" customWidth="1"/>
    <col min="25" max="25" width="8" style="28" hidden="1" customWidth="1"/>
    <col min="26" max="26" width="7.85546875" style="28" hidden="1" customWidth="1"/>
    <col min="27" max="27" width="3.28515625" style="23" hidden="1" customWidth="1"/>
    <col min="28" max="28" width="2.85546875" style="23" customWidth="1"/>
    <col min="29" max="29" width="0.7109375" style="25" customWidth="1"/>
    <col min="30" max="30" width="3" style="26" customWidth="1"/>
    <col min="31" max="31" width="4.140625" style="201" customWidth="1"/>
    <col min="32" max="32" width="3.5703125" style="201" customWidth="1"/>
    <col min="33" max="33" width="1.28515625" style="201" customWidth="1"/>
    <col min="34" max="34" width="2.85546875" style="26" hidden="1" customWidth="1"/>
    <col min="35" max="35" width="0.7109375" style="29" hidden="1" customWidth="1"/>
    <col min="36" max="36" width="2.7109375" style="21" customWidth="1"/>
    <col min="37" max="37" width="0.7109375" style="25" customWidth="1"/>
    <col min="38" max="38" width="4.5703125" style="202" customWidth="1"/>
    <col min="39" max="39" width="4.7109375" style="202" customWidth="1"/>
    <col min="40" max="40" width="12" style="202" customWidth="1"/>
    <col min="41" max="41" width="2.85546875" style="24" customWidth="1"/>
    <col min="42" max="42" width="0.85546875" style="25" customWidth="1"/>
    <col min="43" max="43" width="2.85546875" style="401" customWidth="1"/>
    <col min="44" max="44" width="4.140625" style="34" customWidth="1"/>
    <col min="45" max="45" width="3.5703125" style="34" customWidth="1"/>
    <col min="46" max="46" width="2.85546875" style="26" hidden="1" customWidth="1"/>
    <col min="47" max="47" width="0.7109375" style="29" hidden="1" customWidth="1"/>
    <col min="48" max="48" width="3.28515625" style="21" customWidth="1"/>
    <col min="49" max="49" width="0.7109375" style="25" customWidth="1"/>
    <col min="50" max="50" width="4.5703125" style="202" customWidth="1"/>
    <col min="51" max="51" width="6" style="404" customWidth="1"/>
    <col min="52" max="52" width="9.140625" style="203" hidden="1" customWidth="1"/>
    <col min="53" max="53" width="5.140625" style="5" hidden="1" customWidth="1"/>
    <col min="54" max="54" width="10.85546875" style="23" hidden="1" customWidth="1"/>
    <col min="55" max="55" width="4.7109375" style="22" hidden="1" customWidth="1"/>
    <col min="56" max="56" width="3.42578125" style="26" hidden="1" customWidth="1"/>
    <col min="57" max="57" width="5.85546875" style="27" hidden="1" customWidth="1"/>
    <col min="58" max="58" width="4.42578125" style="24" hidden="1" customWidth="1"/>
    <col min="59" max="59" width="4.140625" style="26" hidden="1" customWidth="1"/>
    <col min="60" max="60" width="4.7109375" style="24" hidden="1" customWidth="1"/>
    <col min="61" max="61" width="7.5703125" style="27" hidden="1" customWidth="1"/>
    <col min="62" max="62" width="10" style="26" hidden="1" customWidth="1"/>
    <col min="63" max="63" width="8.7109375" style="204" hidden="1" customWidth="1"/>
    <col min="64" max="64" width="4.7109375" style="205" hidden="1" customWidth="1"/>
    <col min="65" max="65" width="4.5703125" style="206" hidden="1" customWidth="1"/>
    <col min="66" max="66" width="2.42578125" style="5" hidden="1" customWidth="1"/>
    <col min="67" max="67" width="7" style="5" hidden="1" customWidth="1"/>
    <col min="68" max="68" width="3" style="5" hidden="1" customWidth="1"/>
    <col min="69" max="69" width="4.7109375" style="5" hidden="1" customWidth="1"/>
    <col min="70" max="70" width="5.5703125" style="207" hidden="1" customWidth="1"/>
    <col min="71" max="71" width="0.5703125" style="208" hidden="1" customWidth="1"/>
    <col min="72" max="72" width="6.42578125" style="37" hidden="1" customWidth="1"/>
    <col min="73" max="73" width="5.42578125" style="20" hidden="1" customWidth="1"/>
    <col min="74" max="74" width="8.85546875" style="33" hidden="1" customWidth="1"/>
    <col min="75" max="75" width="9.5703125" style="84" hidden="1" customWidth="1"/>
    <col min="76" max="76" width="41.28515625" style="7" hidden="1" customWidth="1"/>
    <col min="77" max="77" width="50.140625" style="7" hidden="1" customWidth="1"/>
    <col min="78" max="78" width="14" style="8" hidden="1" customWidth="1"/>
    <col min="79" max="79" width="8.5703125" style="38" hidden="1" customWidth="1"/>
    <col min="80" max="80" width="4.7109375" style="7" hidden="1" customWidth="1"/>
    <col min="81" max="81" width="4.7109375" style="5" hidden="1" customWidth="1"/>
    <col min="82" max="82" width="7.140625" style="21" hidden="1" customWidth="1"/>
    <col min="83" max="83" width="5.7109375" style="39" hidden="1" customWidth="1"/>
    <col min="84" max="84" width="5.140625" style="8" hidden="1" customWidth="1"/>
    <col min="85" max="87" width="9.28515625" style="5" hidden="1" customWidth="1"/>
    <col min="88" max="88" width="0" style="5" hidden="1" customWidth="1"/>
    <col min="89" max="98" width="9.28515625" style="5" hidden="1" customWidth="1"/>
    <col min="99" max="101" width="0" style="5" hidden="1" customWidth="1"/>
    <col min="102" max="103" width="9.28515625" style="5" hidden="1" customWidth="1"/>
    <col min="104" max="104" width="11.7109375" style="5" hidden="1" customWidth="1"/>
    <col min="105" max="105" width="0" style="5" hidden="1" customWidth="1"/>
    <col min="106" max="106" width="18.28515625" style="5" hidden="1" customWidth="1"/>
    <col min="107" max="107" width="9.28515625" style="5" hidden="1" customWidth="1"/>
    <col min="108" max="120" width="0" style="5" hidden="1" customWidth="1"/>
    <col min="121" max="121" width="9.28515625" style="5" hidden="1" customWidth="1"/>
    <col min="122" max="122" width="0" style="5" hidden="1" customWidth="1"/>
    <col min="123" max="123" width="9.28515625" style="5" hidden="1" customWidth="1"/>
    <col min="124" max="127" width="0" style="5" hidden="1" customWidth="1"/>
    <col min="128" max="128" width="9.28515625" style="5" hidden="1" customWidth="1"/>
    <col min="129" max="171" width="0" style="5" hidden="1" customWidth="1"/>
    <col min="172" max="219" width="9.140625" style="17"/>
    <col min="220" max="16384" width="9.140625" style="5"/>
  </cols>
  <sheetData>
    <row r="1" spans="1:219" s="93" customFormat="1" ht="18.75" customHeight="1" x14ac:dyDescent="0.3">
      <c r="A1" s="91"/>
      <c r="B1" s="762" t="s">
        <v>68</v>
      </c>
      <c r="C1" s="762"/>
      <c r="D1" s="762"/>
      <c r="E1" s="762"/>
      <c r="F1" s="762"/>
      <c r="G1" s="762"/>
      <c r="H1" s="762"/>
      <c r="I1" s="762"/>
      <c r="J1" s="762"/>
      <c r="K1" s="762"/>
      <c r="L1" s="762"/>
      <c r="M1" s="762"/>
      <c r="N1" s="762"/>
      <c r="O1" s="762"/>
      <c r="P1" s="762"/>
      <c r="Q1" s="762"/>
      <c r="R1" s="762"/>
      <c r="S1" s="92"/>
      <c r="T1" s="92"/>
      <c r="U1" s="158"/>
      <c r="V1" s="763" t="s">
        <v>15</v>
      </c>
      <c r="W1" s="763"/>
      <c r="X1" s="763"/>
      <c r="Y1" s="763"/>
      <c r="Z1" s="763"/>
      <c r="AA1" s="763"/>
      <c r="AB1" s="763"/>
      <c r="AC1" s="763"/>
      <c r="AD1" s="763"/>
      <c r="AE1" s="763"/>
      <c r="AF1" s="763"/>
      <c r="AG1" s="763"/>
      <c r="AH1" s="763"/>
      <c r="AI1" s="763"/>
      <c r="AJ1" s="763"/>
      <c r="AK1" s="763"/>
      <c r="AL1" s="763"/>
      <c r="AM1" s="763"/>
      <c r="AN1" s="763"/>
      <c r="AO1" s="763"/>
      <c r="AP1" s="763"/>
      <c r="AQ1" s="763"/>
      <c r="AR1" s="92"/>
      <c r="AS1" s="92"/>
      <c r="AT1" s="92"/>
      <c r="AU1" s="390"/>
      <c r="AV1" s="92"/>
      <c r="AW1" s="390"/>
      <c r="AX1" s="92"/>
      <c r="AY1" s="263"/>
      <c r="BV1" s="154"/>
      <c r="BW1" s="154"/>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row>
    <row r="2" spans="1:219" s="93" customFormat="1" x14ac:dyDescent="0.3">
      <c r="A2" s="91"/>
      <c r="B2" s="763" t="s">
        <v>321</v>
      </c>
      <c r="C2" s="763"/>
      <c r="D2" s="763"/>
      <c r="E2" s="763"/>
      <c r="F2" s="763"/>
      <c r="G2" s="763"/>
      <c r="H2" s="763"/>
      <c r="I2" s="763"/>
      <c r="J2" s="763"/>
      <c r="K2" s="763"/>
      <c r="L2" s="763"/>
      <c r="M2" s="763"/>
      <c r="N2" s="763"/>
      <c r="O2" s="763"/>
      <c r="P2" s="763"/>
      <c r="Q2" s="763"/>
      <c r="R2" s="763"/>
      <c r="S2" s="92"/>
      <c r="T2" s="92"/>
      <c r="U2" s="158"/>
      <c r="V2" s="764" t="s">
        <v>16</v>
      </c>
      <c r="W2" s="764"/>
      <c r="X2" s="764"/>
      <c r="Y2" s="764"/>
      <c r="Z2" s="764"/>
      <c r="AA2" s="764"/>
      <c r="AB2" s="764"/>
      <c r="AC2" s="764"/>
      <c r="AD2" s="764"/>
      <c r="AE2" s="764"/>
      <c r="AF2" s="764"/>
      <c r="AG2" s="764"/>
      <c r="AH2" s="764"/>
      <c r="AI2" s="764"/>
      <c r="AJ2" s="764"/>
      <c r="AK2" s="764"/>
      <c r="AL2" s="764"/>
      <c r="AM2" s="764"/>
      <c r="AN2" s="764"/>
      <c r="AO2" s="764"/>
      <c r="AP2" s="764"/>
      <c r="AQ2" s="764"/>
      <c r="AR2" s="92"/>
      <c r="AS2" s="92"/>
      <c r="AT2" s="92"/>
      <c r="AU2" s="390"/>
      <c r="AV2" s="92"/>
      <c r="AW2" s="390"/>
      <c r="AX2" s="92"/>
      <c r="AY2" s="263"/>
      <c r="BV2" s="154"/>
      <c r="BW2" s="154"/>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row>
    <row r="3" spans="1:219" s="173" customFormat="1" ht="25.5" customHeight="1" x14ac:dyDescent="0.25">
      <c r="A3" s="75"/>
      <c r="B3" s="75"/>
      <c r="C3" s="75"/>
      <c r="D3" s="168"/>
      <c r="E3" s="75"/>
      <c r="F3" s="169"/>
      <c r="G3" s="75"/>
      <c r="H3" s="75"/>
      <c r="I3" s="75"/>
      <c r="J3" s="75"/>
      <c r="K3" s="75"/>
      <c r="L3" s="75"/>
      <c r="M3" s="75"/>
      <c r="N3" s="75"/>
      <c r="O3" s="75"/>
      <c r="P3" s="75"/>
      <c r="Q3" s="168"/>
      <c r="R3" s="170"/>
      <c r="S3" s="171"/>
      <c r="T3" s="171"/>
      <c r="U3" s="172"/>
      <c r="V3" s="765" t="s">
        <v>326</v>
      </c>
      <c r="W3" s="765"/>
      <c r="X3" s="765"/>
      <c r="Y3" s="765"/>
      <c r="Z3" s="765"/>
      <c r="AA3" s="765"/>
      <c r="AB3" s="765"/>
      <c r="AC3" s="765"/>
      <c r="AD3" s="765"/>
      <c r="AE3" s="765"/>
      <c r="AF3" s="765"/>
      <c r="AG3" s="765"/>
      <c r="AH3" s="765"/>
      <c r="AI3" s="765"/>
      <c r="AJ3" s="765"/>
      <c r="AK3" s="765"/>
      <c r="AL3" s="765"/>
      <c r="AM3" s="765"/>
      <c r="AN3" s="765"/>
      <c r="AO3" s="765"/>
      <c r="AP3" s="765"/>
      <c r="AQ3" s="765"/>
      <c r="AR3" s="194"/>
      <c r="AS3" s="194"/>
      <c r="AT3" s="194"/>
      <c r="AU3" s="391"/>
      <c r="AV3" s="194"/>
      <c r="AW3" s="391"/>
      <c r="AX3" s="194"/>
      <c r="AY3" s="402"/>
      <c r="AZ3" s="194"/>
      <c r="BA3" s="194"/>
      <c r="BB3" s="194"/>
      <c r="BC3" s="194"/>
      <c r="BD3" s="194"/>
      <c r="BE3" s="194"/>
      <c r="BF3" s="194"/>
      <c r="BG3" s="194"/>
      <c r="BH3" s="194"/>
      <c r="BI3" s="194"/>
      <c r="BJ3" s="194"/>
      <c r="BK3" s="194"/>
      <c r="BL3" s="194"/>
      <c r="BM3" s="194"/>
      <c r="BN3" s="194"/>
      <c r="BO3" s="194"/>
      <c r="BP3" s="194"/>
      <c r="BQ3" s="194"/>
      <c r="BR3" s="194"/>
      <c r="BS3" s="194"/>
      <c r="BU3" s="194"/>
      <c r="BV3" s="174"/>
      <c r="BW3" s="174"/>
      <c r="BY3" s="175"/>
      <c r="FP3" s="621"/>
      <c r="FQ3" s="621"/>
      <c r="FR3" s="621"/>
      <c r="FS3" s="621"/>
      <c r="FT3" s="621"/>
      <c r="FU3" s="621"/>
      <c r="FV3" s="621"/>
      <c r="FW3" s="621"/>
      <c r="FX3" s="621"/>
      <c r="FY3" s="621"/>
      <c r="FZ3" s="621"/>
      <c r="GA3" s="621"/>
      <c r="GB3" s="621"/>
      <c r="GC3" s="621"/>
      <c r="GD3" s="621"/>
      <c r="GE3" s="621"/>
      <c r="GF3" s="621"/>
      <c r="GG3" s="621"/>
      <c r="GH3" s="621"/>
      <c r="GI3" s="621"/>
      <c r="GJ3" s="621"/>
      <c r="GK3" s="621"/>
      <c r="GL3" s="621"/>
      <c r="GM3" s="621"/>
      <c r="GN3" s="621"/>
      <c r="GO3" s="621"/>
      <c r="GP3" s="621"/>
      <c r="GQ3" s="621"/>
      <c r="GR3" s="621"/>
      <c r="GS3" s="621"/>
      <c r="GT3" s="621"/>
      <c r="GU3" s="621"/>
      <c r="GV3" s="621"/>
      <c r="GW3" s="621"/>
      <c r="GX3" s="621"/>
      <c r="GY3" s="621"/>
      <c r="GZ3" s="621"/>
      <c r="HA3" s="621"/>
      <c r="HB3" s="621"/>
      <c r="HC3" s="621"/>
      <c r="HD3" s="621"/>
      <c r="HE3" s="621"/>
      <c r="HF3" s="621"/>
      <c r="HG3" s="621"/>
      <c r="HH3" s="621"/>
      <c r="HI3" s="621"/>
      <c r="HJ3" s="621"/>
      <c r="HK3" s="621"/>
    </row>
    <row r="4" spans="1:219" s="451" customFormat="1" ht="57" customHeight="1" x14ac:dyDescent="0.3">
      <c r="A4" s="446"/>
      <c r="B4" s="769" t="s">
        <v>329</v>
      </c>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769"/>
      <c r="AN4" s="769"/>
      <c r="AO4" s="769"/>
      <c r="AP4" s="769"/>
      <c r="AQ4" s="769"/>
      <c r="AR4" s="769"/>
      <c r="AS4" s="769"/>
      <c r="AT4" s="769"/>
      <c r="AU4" s="769"/>
      <c r="AV4" s="769"/>
      <c r="AW4" s="769"/>
      <c r="AX4" s="769"/>
      <c r="AY4" s="769"/>
      <c r="AZ4" s="443"/>
      <c r="BA4" s="443"/>
      <c r="BB4" s="443"/>
      <c r="BC4" s="443"/>
      <c r="BD4" s="443"/>
      <c r="BE4" s="443"/>
      <c r="BF4" s="443"/>
      <c r="BG4" s="443"/>
      <c r="BH4" s="443"/>
      <c r="BI4" s="443"/>
      <c r="BJ4" s="443"/>
      <c r="BK4" s="443"/>
      <c r="BL4" s="443"/>
      <c r="BM4" s="443"/>
      <c r="BN4" s="443"/>
      <c r="BO4" s="443"/>
      <c r="BP4" s="443"/>
      <c r="BQ4" s="443"/>
      <c r="BR4" s="443"/>
      <c r="BS4" s="443"/>
      <c r="BT4" s="443"/>
      <c r="BU4" s="443"/>
      <c r="BV4" s="447"/>
      <c r="BW4" s="448"/>
      <c r="BX4" s="449"/>
      <c r="BY4" s="450"/>
      <c r="FP4" s="622"/>
      <c r="FQ4" s="622"/>
      <c r="FR4" s="622"/>
      <c r="FS4" s="622"/>
      <c r="FT4" s="622"/>
      <c r="FU4" s="622"/>
      <c r="FV4" s="622"/>
      <c r="FW4" s="622"/>
      <c r="FX4" s="622"/>
      <c r="FY4" s="622"/>
      <c r="FZ4" s="622"/>
      <c r="GA4" s="622"/>
      <c r="GB4" s="622"/>
      <c r="GC4" s="622"/>
      <c r="GD4" s="622"/>
      <c r="GE4" s="622"/>
      <c r="GF4" s="622"/>
      <c r="GG4" s="622"/>
      <c r="GH4" s="622"/>
      <c r="GI4" s="622"/>
      <c r="GJ4" s="622"/>
      <c r="GK4" s="622"/>
      <c r="GL4" s="622"/>
      <c r="GM4" s="622"/>
      <c r="GN4" s="622"/>
      <c r="GO4" s="622"/>
      <c r="GP4" s="622"/>
      <c r="GQ4" s="622"/>
      <c r="GR4" s="622"/>
      <c r="GS4" s="622"/>
      <c r="GT4" s="622"/>
      <c r="GU4" s="622"/>
      <c r="GV4" s="622"/>
      <c r="GW4" s="622"/>
      <c r="GX4" s="622"/>
      <c r="GY4" s="622"/>
      <c r="GZ4" s="622"/>
      <c r="HA4" s="622"/>
      <c r="HB4" s="622"/>
      <c r="HC4" s="622"/>
      <c r="HD4" s="622"/>
      <c r="HE4" s="622"/>
      <c r="HF4" s="622"/>
      <c r="HG4" s="622"/>
      <c r="HH4" s="622"/>
      <c r="HI4" s="622"/>
      <c r="HJ4" s="622"/>
      <c r="HK4" s="622"/>
    </row>
    <row r="5" spans="1:219" s="247" customFormat="1" ht="20.25" customHeight="1" x14ac:dyDescent="0.25">
      <c r="A5" s="219"/>
      <c r="B5" s="220" t="s">
        <v>106</v>
      </c>
      <c r="C5" s="219"/>
      <c r="D5" s="221"/>
      <c r="E5" s="222"/>
      <c r="F5" s="223"/>
      <c r="G5" s="221"/>
      <c r="H5" s="221"/>
      <c r="I5" s="221"/>
      <c r="J5" s="222"/>
      <c r="K5" s="222"/>
      <c r="L5" s="222"/>
      <c r="M5" s="222"/>
      <c r="N5" s="222"/>
      <c r="O5" s="222"/>
      <c r="P5" s="222"/>
      <c r="Q5" s="220"/>
      <c r="R5" s="220"/>
      <c r="S5" s="220"/>
      <c r="T5" s="224"/>
      <c r="U5" s="224"/>
      <c r="V5" s="224"/>
      <c r="W5" s="225"/>
      <c r="X5" s="226"/>
      <c r="Y5" s="227"/>
      <c r="Z5" s="226"/>
      <c r="AA5" s="226"/>
      <c r="AB5" s="221"/>
      <c r="AC5" s="229"/>
      <c r="AD5" s="229"/>
      <c r="AE5" s="230"/>
      <c r="AF5" s="231"/>
      <c r="AG5" s="228"/>
      <c r="AH5" s="229"/>
      <c r="AI5" s="229"/>
      <c r="AJ5" s="232"/>
      <c r="AK5" s="222"/>
      <c r="AL5" s="233"/>
      <c r="AM5" s="233"/>
      <c r="AN5" s="234"/>
      <c r="AO5" s="234"/>
      <c r="AP5" s="235"/>
      <c r="AQ5" s="397"/>
      <c r="AR5" s="236"/>
      <c r="AS5" s="237"/>
      <c r="AT5" s="221"/>
      <c r="AU5" s="229"/>
      <c r="AV5" s="238"/>
      <c r="AW5" s="220"/>
      <c r="AX5" s="239"/>
      <c r="AY5" s="69"/>
      <c r="AZ5" s="240"/>
      <c r="BA5" s="230"/>
      <c r="BB5" s="228"/>
      <c r="BC5" s="239"/>
      <c r="BD5" s="230"/>
      <c r="BE5" s="241"/>
      <c r="BF5" s="242"/>
      <c r="BG5" s="243"/>
      <c r="BH5" s="228"/>
      <c r="BI5" s="228"/>
      <c r="BJ5" s="244"/>
      <c r="BK5" s="244"/>
      <c r="BL5" s="240"/>
      <c r="BM5" s="231"/>
      <c r="BN5" s="245"/>
      <c r="BO5" s="245"/>
      <c r="BP5" s="65"/>
      <c r="BQ5" s="246"/>
      <c r="BR5" s="246"/>
      <c r="BS5" s="246"/>
      <c r="BT5" s="246"/>
      <c r="BU5" s="67"/>
      <c r="BW5" s="65"/>
      <c r="BX5" s="65"/>
      <c r="BY5" s="65"/>
      <c r="BZ5" s="65"/>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row>
    <row r="6" spans="1:219" s="247" customFormat="1" ht="15.75" x14ac:dyDescent="0.25">
      <c r="A6" s="219"/>
      <c r="B6" s="220"/>
      <c r="C6" s="219"/>
      <c r="D6" s="222" t="s">
        <v>82</v>
      </c>
      <c r="E6" s="222" t="s">
        <v>105</v>
      </c>
      <c r="F6" s="223"/>
      <c r="G6" s="221"/>
      <c r="H6" s="221"/>
      <c r="I6" s="221"/>
      <c r="J6" s="222"/>
      <c r="K6" s="222"/>
      <c r="L6" s="222"/>
      <c r="M6" s="222"/>
      <c r="N6" s="222"/>
      <c r="O6" s="222"/>
      <c r="P6" s="222"/>
      <c r="Q6" s="220"/>
      <c r="R6" s="220"/>
      <c r="S6" s="220"/>
      <c r="T6" s="224"/>
      <c r="U6" s="224"/>
      <c r="V6" s="224"/>
      <c r="W6" s="225"/>
      <c r="X6" s="226"/>
      <c r="Y6" s="227"/>
      <c r="Z6" s="226"/>
      <c r="AA6" s="226"/>
      <c r="AB6" s="221"/>
      <c r="AC6" s="229"/>
      <c r="AD6" s="229"/>
      <c r="AE6" s="230"/>
      <c r="AF6" s="231"/>
      <c r="AG6" s="228"/>
      <c r="AH6" s="229"/>
      <c r="AI6" s="229"/>
      <c r="AJ6" s="232"/>
      <c r="AK6" s="222"/>
      <c r="AL6" s="233"/>
      <c r="AM6" s="233"/>
      <c r="AN6" s="234"/>
      <c r="AO6" s="234"/>
      <c r="AP6" s="235"/>
      <c r="AQ6" s="397"/>
      <c r="AR6" s="236"/>
      <c r="AS6" s="237"/>
      <c r="AT6" s="221"/>
      <c r="AU6" s="229"/>
      <c r="AV6" s="238"/>
      <c r="AW6" s="220"/>
      <c r="AX6" s="239"/>
      <c r="AY6" s="69"/>
      <c r="AZ6" s="240"/>
      <c r="BA6" s="230"/>
      <c r="BB6" s="228"/>
      <c r="BC6" s="239"/>
      <c r="BD6" s="230"/>
      <c r="BE6" s="241"/>
      <c r="BF6" s="242"/>
      <c r="BG6" s="243"/>
      <c r="BH6" s="228"/>
      <c r="BI6" s="228"/>
      <c r="BJ6" s="244"/>
      <c r="BK6" s="244"/>
      <c r="BL6" s="240"/>
      <c r="BM6" s="231"/>
      <c r="BN6" s="245"/>
      <c r="BO6" s="245"/>
      <c r="BP6" s="65"/>
      <c r="BQ6" s="246"/>
      <c r="BR6" s="246"/>
      <c r="BS6" s="246"/>
      <c r="BT6" s="246"/>
      <c r="BU6" s="67"/>
      <c r="BW6" s="65"/>
      <c r="BX6" s="65"/>
      <c r="BY6" s="65"/>
      <c r="BZ6" s="65"/>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row>
    <row r="7" spans="1:219" s="245" customFormat="1" thickBot="1" x14ac:dyDescent="0.3">
      <c r="A7" s="248"/>
      <c r="B7" s="233"/>
      <c r="C7" s="219"/>
      <c r="D7" s="221" t="s">
        <v>85</v>
      </c>
      <c r="E7" s="221" t="s">
        <v>327</v>
      </c>
      <c r="F7" s="221"/>
      <c r="G7" s="221"/>
      <c r="H7" s="221"/>
      <c r="I7" s="221"/>
      <c r="J7" s="221"/>
      <c r="K7" s="221"/>
      <c r="L7" s="221"/>
      <c r="M7" s="221"/>
      <c r="N7" s="221"/>
      <c r="O7" s="221"/>
      <c r="P7" s="221"/>
      <c r="Q7" s="221"/>
      <c r="R7" s="221"/>
      <c r="S7" s="221"/>
      <c r="T7" s="221"/>
      <c r="U7" s="221"/>
      <c r="V7" s="221"/>
      <c r="W7" s="221"/>
      <c r="X7" s="221"/>
      <c r="Y7" s="221"/>
      <c r="Z7" s="221"/>
      <c r="AA7" s="221"/>
      <c r="AB7" s="221"/>
      <c r="AC7" s="220"/>
      <c r="AD7" s="221"/>
      <c r="AE7" s="221"/>
      <c r="AF7" s="221"/>
      <c r="AG7" s="228"/>
      <c r="AH7" s="229"/>
      <c r="AI7" s="229"/>
      <c r="AJ7" s="249"/>
      <c r="AK7" s="392"/>
      <c r="AL7" s="250"/>
      <c r="AM7" s="250"/>
      <c r="AN7" s="250"/>
      <c r="AO7" s="251"/>
      <c r="AP7" s="252"/>
      <c r="AQ7" s="397"/>
      <c r="AR7" s="236"/>
      <c r="AS7" s="237"/>
      <c r="AT7" s="221"/>
      <c r="AU7" s="229"/>
      <c r="AV7" s="233"/>
      <c r="AW7" s="220"/>
      <c r="AX7" s="239"/>
      <c r="AY7" s="69"/>
      <c r="AZ7" s="230"/>
      <c r="BA7" s="230"/>
      <c r="BB7" s="228"/>
      <c r="BC7" s="239"/>
      <c r="BD7" s="230"/>
      <c r="BE7" s="239"/>
      <c r="BF7" s="242"/>
      <c r="BG7" s="243"/>
      <c r="BH7" s="228"/>
      <c r="BI7" s="228"/>
      <c r="BJ7" s="244"/>
      <c r="BK7" s="244"/>
      <c r="BL7" s="230"/>
      <c r="BM7" s="231"/>
      <c r="BQ7" s="246"/>
      <c r="BR7" s="246"/>
      <c r="BS7" s="246"/>
      <c r="BT7" s="246"/>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row>
    <row r="8" spans="1:219" s="260" customFormat="1" ht="15" customHeight="1" thickTop="1" x14ac:dyDescent="0.25">
      <c r="A8" s="221"/>
      <c r="B8" s="233" t="s">
        <v>9</v>
      </c>
      <c r="C8" s="219"/>
      <c r="D8" s="220" t="s">
        <v>83</v>
      </c>
      <c r="E8" s="220" t="s">
        <v>328</v>
      </c>
      <c r="F8" s="223"/>
      <c r="G8" s="221"/>
      <c r="H8" s="221"/>
      <c r="I8" s="221"/>
      <c r="J8" s="222"/>
      <c r="K8" s="222"/>
      <c r="L8" s="222"/>
      <c r="M8" s="222"/>
      <c r="N8" s="222"/>
      <c r="O8" s="222"/>
      <c r="P8" s="222"/>
      <c r="Q8" s="220"/>
      <c r="R8" s="220"/>
      <c r="S8" s="220"/>
      <c r="T8" s="224"/>
      <c r="U8" s="224"/>
      <c r="V8" s="224"/>
      <c r="W8" s="225"/>
      <c r="X8" s="226"/>
      <c r="Y8" s="227"/>
      <c r="Z8" s="226"/>
      <c r="AA8" s="226"/>
      <c r="AB8" s="221"/>
      <c r="AC8" s="229"/>
      <c r="AD8" s="229"/>
      <c r="AE8" s="230"/>
      <c r="AF8" s="231"/>
      <c r="AG8" s="228"/>
      <c r="AH8" s="229"/>
      <c r="AI8" s="229"/>
      <c r="AJ8" s="254"/>
      <c r="AK8" s="235"/>
      <c r="AL8" s="234"/>
      <c r="AM8" s="234"/>
      <c r="AN8" s="234"/>
      <c r="AO8" s="255"/>
      <c r="AP8" s="235"/>
      <c r="AQ8" s="397"/>
      <c r="AR8" s="236"/>
      <c r="AS8" s="237"/>
      <c r="AT8" s="221"/>
      <c r="AU8" s="229"/>
      <c r="AV8" s="238"/>
      <c r="AW8" s="220"/>
      <c r="AX8" s="239"/>
      <c r="AY8" s="69"/>
      <c r="AZ8" s="240"/>
      <c r="BA8" s="230"/>
      <c r="BB8" s="228"/>
      <c r="BC8" s="239"/>
      <c r="BD8" s="230"/>
      <c r="BE8" s="241"/>
      <c r="BF8" s="242"/>
      <c r="BG8" s="243"/>
      <c r="BH8" s="228"/>
      <c r="BI8" s="228"/>
      <c r="BJ8" s="244"/>
      <c r="BK8" s="244"/>
      <c r="BL8" s="240"/>
      <c r="BM8" s="231"/>
      <c r="BN8" s="245"/>
      <c r="BO8" s="256"/>
      <c r="BP8" s="256"/>
      <c r="BQ8" s="256"/>
      <c r="BR8" s="256"/>
      <c r="BS8" s="257"/>
      <c r="BT8" s="256"/>
      <c r="BU8" s="258"/>
      <c r="BV8" s="258"/>
      <c r="BW8" s="259"/>
      <c r="BX8" s="259"/>
      <c r="BY8" s="259"/>
      <c r="BZ8" s="259"/>
      <c r="CA8" s="259"/>
      <c r="CT8" s="256"/>
      <c r="CU8" s="253"/>
      <c r="CV8" s="261"/>
      <c r="CW8" s="257"/>
      <c r="CX8" s="261"/>
      <c r="CY8" s="261"/>
      <c r="CZ8" s="256"/>
      <c r="DA8" s="256"/>
      <c r="DB8" s="256"/>
      <c r="DC8" s="261"/>
      <c r="DD8" s="261"/>
      <c r="DE8" s="256"/>
      <c r="DF8" s="256"/>
    </row>
    <row r="9" spans="1:219" s="187" customFormat="1" ht="18" customHeight="1" x14ac:dyDescent="0.3">
      <c r="A9" s="221"/>
      <c r="B9" s="142"/>
      <c r="C9" s="142"/>
      <c r="D9" s="452" t="s">
        <v>36</v>
      </c>
      <c r="E9" s="195" t="s">
        <v>36</v>
      </c>
      <c r="F9" s="45">
        <v>33</v>
      </c>
      <c r="G9" s="47"/>
      <c r="H9" s="47"/>
      <c r="I9" s="48"/>
      <c r="J9" s="49"/>
      <c r="K9" s="49"/>
      <c r="L9" s="49"/>
      <c r="M9" s="46"/>
      <c r="N9" s="49"/>
      <c r="O9" s="49"/>
      <c r="P9" s="49"/>
      <c r="Q9" s="453" t="s">
        <v>78</v>
      </c>
      <c r="R9" s="46" t="s">
        <v>37</v>
      </c>
      <c r="S9" s="46"/>
      <c r="T9" s="46"/>
      <c r="U9" s="44"/>
      <c r="V9" s="440"/>
      <c r="W9" s="95"/>
      <c r="X9" s="45"/>
      <c r="Y9" s="47"/>
      <c r="Z9" s="47"/>
      <c r="AA9" s="46"/>
      <c r="AB9" s="47"/>
      <c r="AC9" s="46"/>
      <c r="AD9" s="47"/>
      <c r="AE9" s="46"/>
      <c r="AF9" s="46"/>
      <c r="AG9" s="46"/>
      <c r="AH9" s="144"/>
      <c r="AI9" s="386"/>
      <c r="AJ9" s="196"/>
      <c r="AK9" s="386"/>
      <c r="AL9" s="49"/>
      <c r="AM9" s="411"/>
      <c r="AN9" s="32"/>
      <c r="AO9" s="46"/>
      <c r="AP9" s="46"/>
      <c r="AQ9" s="398"/>
      <c r="AR9" s="143"/>
      <c r="AS9" s="143"/>
      <c r="AT9" s="144"/>
      <c r="AU9" s="386"/>
      <c r="AV9" s="196"/>
      <c r="AW9" s="386"/>
      <c r="AX9" s="49"/>
      <c r="AY9" s="403"/>
      <c r="AZ9" s="50"/>
      <c r="BA9" s="50"/>
      <c r="BB9" s="50"/>
      <c r="BC9" s="50"/>
      <c r="BD9" s="50"/>
      <c r="BE9" s="50"/>
      <c r="BF9" s="50"/>
      <c r="BG9" s="50"/>
      <c r="BH9" s="50"/>
      <c r="BI9" s="50"/>
      <c r="BJ9" s="50"/>
      <c r="BK9" s="50"/>
      <c r="BL9" s="50"/>
      <c r="BM9" s="50"/>
      <c r="BN9" s="50"/>
      <c r="BO9" s="50"/>
      <c r="BP9" s="50"/>
      <c r="BQ9" s="50"/>
      <c r="BR9" s="50"/>
      <c r="BS9" s="50"/>
      <c r="BT9" s="50"/>
      <c r="BU9" s="184"/>
      <c r="BV9" s="185"/>
      <c r="BW9" s="186"/>
      <c r="BY9" s="188"/>
      <c r="FP9" s="623"/>
      <c r="FQ9" s="623"/>
      <c r="FR9" s="623"/>
      <c r="FS9" s="623"/>
      <c r="FT9" s="623"/>
      <c r="FU9" s="623"/>
      <c r="FV9" s="623"/>
      <c r="FW9" s="623"/>
      <c r="FX9" s="623"/>
      <c r="FY9" s="623"/>
      <c r="FZ9" s="623"/>
      <c r="GA9" s="623"/>
      <c r="GB9" s="623"/>
      <c r="GC9" s="623"/>
      <c r="GD9" s="623"/>
      <c r="GE9" s="623"/>
      <c r="GF9" s="623"/>
      <c r="GG9" s="623"/>
      <c r="GH9" s="623"/>
      <c r="GI9" s="623"/>
      <c r="GJ9" s="623"/>
      <c r="GK9" s="623"/>
      <c r="GL9" s="623"/>
      <c r="GM9" s="623"/>
      <c r="GN9" s="623"/>
      <c r="GO9" s="623"/>
      <c r="GP9" s="623"/>
      <c r="GQ9" s="623"/>
      <c r="GR9" s="623"/>
      <c r="GS9" s="623"/>
      <c r="GT9" s="623"/>
      <c r="GU9" s="623"/>
      <c r="GV9" s="623"/>
      <c r="GW9" s="623"/>
      <c r="GX9" s="623"/>
      <c r="GY9" s="623"/>
      <c r="GZ9" s="623"/>
      <c r="HA9" s="623"/>
      <c r="HB9" s="623"/>
      <c r="HC9" s="623"/>
      <c r="HD9" s="623"/>
      <c r="HE9" s="623"/>
      <c r="HF9" s="623"/>
      <c r="HG9" s="623"/>
      <c r="HH9" s="623"/>
      <c r="HI9" s="623"/>
      <c r="HJ9" s="623"/>
      <c r="HK9" s="623"/>
    </row>
    <row r="10" spans="1:219" s="145" customFormat="1" ht="5.25" customHeight="1" x14ac:dyDescent="0.3">
      <c r="A10" s="144"/>
      <c r="B10" s="142"/>
      <c r="C10" s="142"/>
      <c r="D10" s="452"/>
      <c r="E10" s="197"/>
      <c r="F10" s="165"/>
      <c r="G10" s="47"/>
      <c r="H10" s="47"/>
      <c r="I10" s="48"/>
      <c r="J10" s="49"/>
      <c r="K10" s="49"/>
      <c r="L10" s="49"/>
      <c r="M10" s="49"/>
      <c r="N10" s="49"/>
      <c r="O10" s="49"/>
      <c r="P10" s="49"/>
      <c r="Q10" s="453"/>
      <c r="R10" s="46"/>
      <c r="S10" s="46"/>
      <c r="T10" s="46"/>
      <c r="U10" s="44"/>
      <c r="V10" s="440"/>
      <c r="W10" s="95"/>
      <c r="X10" s="45"/>
      <c r="Y10" s="47"/>
      <c r="Z10" s="47"/>
      <c r="AA10" s="46"/>
      <c r="AB10" s="47"/>
      <c r="AC10" s="46"/>
      <c r="AD10" s="47"/>
      <c r="AE10" s="46"/>
      <c r="AF10" s="46"/>
      <c r="AG10" s="46"/>
      <c r="AH10" s="144"/>
      <c r="AI10" s="386"/>
      <c r="AJ10" s="196"/>
      <c r="AK10" s="386"/>
      <c r="AL10" s="49"/>
      <c r="AM10" s="411"/>
      <c r="AN10" s="32"/>
      <c r="AO10" s="46"/>
      <c r="AP10" s="46"/>
      <c r="AQ10" s="398"/>
      <c r="AR10" s="143"/>
      <c r="AS10" s="143"/>
      <c r="AT10" s="144"/>
      <c r="AU10" s="386"/>
      <c r="AV10" s="196"/>
      <c r="AW10" s="386"/>
      <c r="AX10" s="49"/>
      <c r="AY10" s="403"/>
      <c r="AZ10" s="50"/>
      <c r="BA10" s="50"/>
      <c r="BB10" s="50"/>
      <c r="BC10" s="50"/>
      <c r="BD10" s="50"/>
      <c r="BE10" s="50"/>
      <c r="BF10" s="50"/>
      <c r="BG10" s="50"/>
      <c r="BH10" s="50"/>
      <c r="BI10" s="50"/>
      <c r="BJ10" s="50"/>
      <c r="BK10" s="50"/>
      <c r="BL10" s="50"/>
      <c r="BM10" s="50"/>
      <c r="BN10" s="50"/>
      <c r="BO10" s="50"/>
      <c r="BP10" s="50"/>
      <c r="BQ10" s="50"/>
      <c r="BR10" s="50"/>
      <c r="BS10" s="50"/>
      <c r="BT10" s="50"/>
      <c r="BU10" s="159"/>
      <c r="BV10" s="146"/>
      <c r="BW10" s="155"/>
      <c r="BY10" s="157"/>
      <c r="FP10" s="624"/>
      <c r="FQ10" s="624"/>
      <c r="FR10" s="624"/>
      <c r="FS10" s="624"/>
      <c r="FT10" s="624"/>
      <c r="FU10" s="624"/>
      <c r="FV10" s="624"/>
      <c r="FW10" s="624"/>
      <c r="FX10" s="624"/>
      <c r="FY10" s="624"/>
      <c r="FZ10" s="624"/>
      <c r="GA10" s="624"/>
      <c r="GB10" s="624"/>
      <c r="GC10" s="624"/>
      <c r="GD10" s="624"/>
      <c r="GE10" s="624"/>
      <c r="GF10" s="624"/>
      <c r="GG10" s="624"/>
      <c r="GH10" s="624"/>
      <c r="GI10" s="624"/>
      <c r="GJ10" s="624"/>
      <c r="GK10" s="624"/>
      <c r="GL10" s="624"/>
      <c r="GM10" s="624"/>
      <c r="GN10" s="624"/>
      <c r="GO10" s="624"/>
      <c r="GP10" s="624"/>
      <c r="GQ10" s="624"/>
      <c r="GR10" s="624"/>
      <c r="GS10" s="624"/>
      <c r="GT10" s="624"/>
      <c r="GU10" s="624"/>
      <c r="GV10" s="624"/>
      <c r="GW10" s="624"/>
      <c r="GX10" s="624"/>
      <c r="GY10" s="624"/>
      <c r="GZ10" s="624"/>
      <c r="HA10" s="624"/>
      <c r="HB10" s="624"/>
      <c r="HC10" s="624"/>
      <c r="HD10" s="624"/>
      <c r="HE10" s="624"/>
      <c r="HF10" s="624"/>
      <c r="HG10" s="624"/>
      <c r="HH10" s="624"/>
      <c r="HI10" s="624"/>
      <c r="HJ10" s="624"/>
      <c r="HK10" s="624"/>
    </row>
    <row r="11" spans="1:219" s="274" customFormat="1" ht="25.5" customHeight="1" x14ac:dyDescent="0.2">
      <c r="A11" s="272"/>
      <c r="B11" s="766" t="s">
        <v>110</v>
      </c>
      <c r="C11" s="273"/>
      <c r="D11" s="766" t="s">
        <v>5</v>
      </c>
      <c r="E11" s="766" t="s">
        <v>111</v>
      </c>
      <c r="F11" s="770" t="s">
        <v>112</v>
      </c>
      <c r="G11" s="405"/>
      <c r="H11" s="405"/>
      <c r="I11" s="405"/>
      <c r="J11" s="405"/>
      <c r="K11" s="275"/>
      <c r="L11" s="275"/>
      <c r="M11" s="759" t="s">
        <v>107</v>
      </c>
      <c r="N11" s="275"/>
      <c r="O11" s="275"/>
      <c r="P11" s="275"/>
      <c r="Q11" s="438"/>
      <c r="R11" s="778" t="s">
        <v>113</v>
      </c>
      <c r="S11" s="774"/>
      <c r="T11" s="533"/>
      <c r="U11" s="454"/>
      <c r="V11" s="773" t="s">
        <v>124</v>
      </c>
      <c r="W11" s="778"/>
      <c r="X11" s="774"/>
      <c r="Y11" s="766" t="s">
        <v>7</v>
      </c>
      <c r="Z11" s="273"/>
      <c r="AA11" s="455" t="s">
        <v>76</v>
      </c>
      <c r="AB11" s="795" t="s">
        <v>119</v>
      </c>
      <c r="AC11" s="796"/>
      <c r="AD11" s="796"/>
      <c r="AE11" s="796"/>
      <c r="AF11" s="796"/>
      <c r="AG11" s="796"/>
      <c r="AH11" s="796"/>
      <c r="AI11" s="796"/>
      <c r="AJ11" s="796"/>
      <c r="AK11" s="796"/>
      <c r="AL11" s="797"/>
      <c r="AM11" s="773" t="s">
        <v>116</v>
      </c>
      <c r="AN11" s="774"/>
      <c r="AO11" s="795" t="s">
        <v>123</v>
      </c>
      <c r="AP11" s="796"/>
      <c r="AQ11" s="796"/>
      <c r="AR11" s="796"/>
      <c r="AS11" s="796"/>
      <c r="AT11" s="796"/>
      <c r="AU11" s="796"/>
      <c r="AV11" s="796"/>
      <c r="AW11" s="796"/>
      <c r="AX11" s="797"/>
      <c r="AY11" s="798" t="s">
        <v>65</v>
      </c>
      <c r="AZ11" s="422"/>
      <c r="BA11" s="275"/>
      <c r="BB11" s="275"/>
      <c r="BC11" s="275"/>
      <c r="BD11" s="275"/>
      <c r="BE11" s="275"/>
      <c r="BF11" s="275"/>
      <c r="BG11" s="275"/>
      <c r="BH11" s="275"/>
      <c r="BI11" s="275"/>
      <c r="BJ11" s="801" t="s">
        <v>8</v>
      </c>
      <c r="BK11" s="275"/>
      <c r="BL11" s="275"/>
      <c r="BM11" s="275"/>
      <c r="BN11" s="275"/>
      <c r="BO11" s="275"/>
      <c r="BP11" s="275"/>
      <c r="BQ11" s="275"/>
      <c r="BR11" s="275"/>
      <c r="BS11" s="275"/>
      <c r="BT11" s="801" t="s">
        <v>8</v>
      </c>
      <c r="BU11" s="792" t="s">
        <v>65</v>
      </c>
      <c r="BV11" s="276"/>
      <c r="BW11" s="162"/>
      <c r="BX11" s="98"/>
      <c r="BY11" s="277"/>
      <c r="BZ11" s="98"/>
      <c r="CA11" s="278"/>
      <c r="CB11" s="270"/>
      <c r="CC11" s="269"/>
      <c r="CD11" s="279"/>
      <c r="CE11" s="98"/>
      <c r="CF11" s="98"/>
      <c r="CW11" s="280"/>
      <c r="CX11" s="269"/>
      <c r="CY11" s="265"/>
      <c r="CZ11" s="3"/>
      <c r="DA11" s="271"/>
      <c r="DB11" s="266"/>
      <c r="DC11" s="268"/>
      <c r="DD11" s="271"/>
      <c r="DE11" s="281"/>
      <c r="DF11" s="267"/>
      <c r="DG11" s="267"/>
      <c r="DH11" s="268"/>
      <c r="DI11" s="282"/>
      <c r="DJ11" s="283"/>
      <c r="FO11" s="517"/>
      <c r="FP11" s="336"/>
      <c r="FQ11" s="336"/>
      <c r="FR11" s="336"/>
      <c r="FS11" s="336"/>
      <c r="FT11" s="336"/>
      <c r="FU11" s="336"/>
      <c r="FV11" s="336"/>
      <c r="FW11" s="336"/>
      <c r="FX11" s="336"/>
      <c r="FY11" s="336"/>
      <c r="FZ11" s="336"/>
      <c r="GA11" s="336"/>
      <c r="GB11" s="336"/>
      <c r="GC11" s="336"/>
      <c r="GD11" s="336"/>
      <c r="GE11" s="336"/>
      <c r="GF11" s="336"/>
      <c r="GG11" s="336"/>
      <c r="GH11" s="336"/>
      <c r="GI11" s="336"/>
      <c r="GJ11" s="336"/>
      <c r="GK11" s="336"/>
      <c r="GL11" s="336"/>
      <c r="GM11" s="336"/>
      <c r="GN11" s="336"/>
      <c r="GO11" s="336"/>
      <c r="GP11" s="336"/>
      <c r="GQ11" s="336"/>
      <c r="GR11" s="336"/>
      <c r="GS11" s="336"/>
      <c r="GT11" s="336"/>
      <c r="GU11" s="336"/>
      <c r="GV11" s="336"/>
      <c r="GW11" s="336"/>
      <c r="GX11" s="336"/>
      <c r="GY11" s="336"/>
      <c r="GZ11" s="336"/>
      <c r="HA11" s="336"/>
      <c r="HB11" s="336"/>
      <c r="HC11" s="336"/>
      <c r="HD11" s="336"/>
      <c r="HE11" s="336"/>
      <c r="HF11" s="336"/>
      <c r="HG11" s="336"/>
      <c r="HH11" s="336"/>
      <c r="HI11" s="336"/>
      <c r="HJ11" s="336"/>
      <c r="HK11" s="336"/>
    </row>
    <row r="12" spans="1:219" s="274" customFormat="1" ht="13.5" customHeight="1" x14ac:dyDescent="0.2">
      <c r="A12" s="272"/>
      <c r="B12" s="767"/>
      <c r="C12" s="273"/>
      <c r="D12" s="767"/>
      <c r="E12" s="767"/>
      <c r="F12" s="771"/>
      <c r="G12" s="405"/>
      <c r="H12" s="405"/>
      <c r="I12" s="405"/>
      <c r="J12" s="405"/>
      <c r="K12" s="275"/>
      <c r="L12" s="275"/>
      <c r="M12" s="760"/>
      <c r="N12" s="275"/>
      <c r="O12" s="275"/>
      <c r="P12" s="275"/>
      <c r="Q12" s="439"/>
      <c r="R12" s="779"/>
      <c r="S12" s="780"/>
      <c r="T12" s="533"/>
      <c r="U12" s="454"/>
      <c r="V12" s="782"/>
      <c r="W12" s="779"/>
      <c r="X12" s="780"/>
      <c r="Y12" s="767"/>
      <c r="Z12" s="273"/>
      <c r="AA12" s="777" t="s">
        <v>86</v>
      </c>
      <c r="AB12" s="777"/>
      <c r="AC12" s="777"/>
      <c r="AD12" s="777"/>
      <c r="AE12" s="777" t="s">
        <v>84</v>
      </c>
      <c r="AF12" s="777" t="s">
        <v>108</v>
      </c>
      <c r="AG12" s="777"/>
      <c r="AH12" s="669"/>
      <c r="AI12" s="669"/>
      <c r="AJ12" s="777" t="s">
        <v>114</v>
      </c>
      <c r="AK12" s="777"/>
      <c r="AL12" s="777"/>
      <c r="AM12" s="775"/>
      <c r="AN12" s="776"/>
      <c r="AO12" s="777" t="s">
        <v>86</v>
      </c>
      <c r="AP12" s="777"/>
      <c r="AQ12" s="777"/>
      <c r="AR12" s="777" t="s">
        <v>120</v>
      </c>
      <c r="AS12" s="777"/>
      <c r="AT12" s="533"/>
      <c r="AU12" s="533"/>
      <c r="AV12" s="777" t="s">
        <v>114</v>
      </c>
      <c r="AW12" s="777"/>
      <c r="AX12" s="777"/>
      <c r="AY12" s="799"/>
      <c r="AZ12" s="422"/>
      <c r="BA12" s="275"/>
      <c r="BB12" s="275"/>
      <c r="BC12" s="275"/>
      <c r="BD12" s="275"/>
      <c r="BE12" s="275"/>
      <c r="BF12" s="275"/>
      <c r="BG12" s="275"/>
      <c r="BH12" s="275"/>
      <c r="BI12" s="275"/>
      <c r="BJ12" s="802"/>
      <c r="BK12" s="275"/>
      <c r="BL12" s="275"/>
      <c r="BM12" s="275"/>
      <c r="BN12" s="275"/>
      <c r="BO12" s="275"/>
      <c r="BP12" s="275"/>
      <c r="BQ12" s="275"/>
      <c r="BR12" s="275"/>
      <c r="BS12" s="275"/>
      <c r="BT12" s="802"/>
      <c r="BU12" s="793"/>
      <c r="BV12" s="276"/>
      <c r="BW12" s="162"/>
      <c r="BX12" s="98"/>
      <c r="BY12" s="277"/>
      <c r="BZ12" s="98"/>
      <c r="CA12" s="278"/>
      <c r="CB12" s="270"/>
      <c r="CC12" s="269"/>
      <c r="CD12" s="279"/>
      <c r="CE12" s="98"/>
      <c r="CF12" s="98"/>
      <c r="CW12" s="280"/>
      <c r="CX12" s="269"/>
      <c r="CY12" s="265"/>
      <c r="CZ12" s="3"/>
      <c r="DA12" s="271"/>
      <c r="DB12" s="266"/>
      <c r="DC12" s="268"/>
      <c r="DD12" s="271"/>
      <c r="DE12" s="281"/>
      <c r="DF12" s="267"/>
      <c r="DG12" s="267"/>
      <c r="DH12" s="268"/>
      <c r="DI12" s="282"/>
      <c r="DJ12" s="283"/>
      <c r="FO12" s="517"/>
      <c r="FP12" s="336"/>
      <c r="FQ12" s="336"/>
      <c r="FR12" s="336"/>
      <c r="FS12" s="336"/>
      <c r="FT12" s="336"/>
      <c r="FU12" s="336"/>
      <c r="FV12" s="336"/>
      <c r="FW12" s="336"/>
      <c r="FX12" s="336"/>
      <c r="FY12" s="336"/>
      <c r="FZ12" s="336"/>
      <c r="GA12" s="336"/>
      <c r="GB12" s="336"/>
      <c r="GC12" s="336"/>
      <c r="GD12" s="336"/>
      <c r="GE12" s="336"/>
      <c r="GF12" s="336"/>
      <c r="GG12" s="336"/>
      <c r="GH12" s="336"/>
      <c r="GI12" s="336"/>
      <c r="GJ12" s="336"/>
      <c r="GK12" s="336"/>
      <c r="GL12" s="336"/>
      <c r="GM12" s="336"/>
      <c r="GN12" s="336"/>
      <c r="GO12" s="336"/>
      <c r="GP12" s="336"/>
      <c r="GQ12" s="336"/>
      <c r="GR12" s="336"/>
      <c r="GS12" s="336"/>
      <c r="GT12" s="336"/>
      <c r="GU12" s="336"/>
      <c r="GV12" s="336"/>
      <c r="GW12" s="336"/>
      <c r="GX12" s="336"/>
      <c r="GY12" s="336"/>
      <c r="GZ12" s="336"/>
      <c r="HA12" s="336"/>
      <c r="HB12" s="336"/>
      <c r="HC12" s="336"/>
      <c r="HD12" s="336"/>
      <c r="HE12" s="336"/>
      <c r="HF12" s="336"/>
      <c r="HG12" s="336"/>
      <c r="HH12" s="336"/>
      <c r="HI12" s="336"/>
      <c r="HJ12" s="336"/>
      <c r="HK12" s="336"/>
    </row>
    <row r="13" spans="1:219" s="274" customFormat="1" ht="33" customHeight="1" x14ac:dyDescent="0.2">
      <c r="A13" s="272">
        <v>163</v>
      </c>
      <c r="B13" s="768"/>
      <c r="C13" s="273"/>
      <c r="D13" s="768"/>
      <c r="E13" s="768"/>
      <c r="F13" s="772"/>
      <c r="G13" s="405"/>
      <c r="H13" s="405"/>
      <c r="I13" s="405"/>
      <c r="J13" s="405"/>
      <c r="K13" s="275"/>
      <c r="L13" s="275"/>
      <c r="M13" s="761"/>
      <c r="N13" s="275"/>
      <c r="O13" s="275"/>
      <c r="P13" s="275"/>
      <c r="Q13" s="456"/>
      <c r="R13" s="781"/>
      <c r="S13" s="776"/>
      <c r="T13" s="533"/>
      <c r="U13" s="454"/>
      <c r="V13" s="775"/>
      <c r="W13" s="781"/>
      <c r="X13" s="776"/>
      <c r="Y13" s="768"/>
      <c r="Z13" s="273"/>
      <c r="AA13" s="777"/>
      <c r="AB13" s="777"/>
      <c r="AC13" s="777"/>
      <c r="AD13" s="777"/>
      <c r="AE13" s="777"/>
      <c r="AF13" s="777"/>
      <c r="AG13" s="777"/>
      <c r="AH13" s="422"/>
      <c r="AI13" s="457"/>
      <c r="AJ13" s="777"/>
      <c r="AK13" s="777"/>
      <c r="AL13" s="777"/>
      <c r="AM13" s="458" t="s">
        <v>109</v>
      </c>
      <c r="AN13" s="444" t="s">
        <v>121</v>
      </c>
      <c r="AO13" s="777"/>
      <c r="AP13" s="777"/>
      <c r="AQ13" s="777"/>
      <c r="AR13" s="777"/>
      <c r="AS13" s="777"/>
      <c r="AU13" s="163"/>
      <c r="AV13" s="777"/>
      <c r="AW13" s="777"/>
      <c r="AX13" s="777"/>
      <c r="AY13" s="800"/>
      <c r="AZ13" s="422"/>
      <c r="BA13" s="275"/>
      <c r="BB13" s="275"/>
      <c r="BC13" s="275"/>
      <c r="BD13" s="275"/>
      <c r="BE13" s="275"/>
      <c r="BF13" s="275"/>
      <c r="BG13" s="275"/>
      <c r="BH13" s="275"/>
      <c r="BI13" s="275"/>
      <c r="BJ13" s="803"/>
      <c r="BK13" s="275"/>
      <c r="BL13" s="275"/>
      <c r="BM13" s="275"/>
      <c r="BN13" s="275"/>
      <c r="BO13" s="275"/>
      <c r="BP13" s="275"/>
      <c r="BQ13" s="275"/>
      <c r="BR13" s="275"/>
      <c r="BS13" s="275"/>
      <c r="BT13" s="803"/>
      <c r="BU13" s="794"/>
      <c r="BV13" s="276"/>
      <c r="BW13" s="162" t="s">
        <v>80</v>
      </c>
      <c r="BX13" s="98" t="s">
        <v>81</v>
      </c>
      <c r="BY13" s="277"/>
      <c r="BZ13" s="98" t="e">
        <f>IF(AND(#REF!&gt;0,#REF!&lt;(#REF!-1),CA13&gt;0,CA13&lt;13,OR(AND(CC13="Cùg Ng",(#REF!-#REF!)&gt;#REF!),CC13="- - -")),"Sớm TT","=&gt; s")</f>
        <v>#REF!</v>
      </c>
      <c r="CA13" s="278" t="e">
        <f>IF(#REF!=3,36-(12*(#REF!-#REF!)+(12-#REF!)-#REF!),IF(#REF!=2,24-(12*(#REF!-#REF!)+(12-#REF!)-#REF!),"---"))</f>
        <v>#REF!</v>
      </c>
      <c r="CB13" s="270"/>
      <c r="CC13" s="269" t="e">
        <f>IF(#REF!=#REF!,"Cùg Ng","- - -")</f>
        <v>#REF!</v>
      </c>
      <c r="CD13" s="279" t="str">
        <f>IF(CF13&gt;2000,"NN","- - -")</f>
        <v>- - -</v>
      </c>
      <c r="CE13" s="98"/>
      <c r="CF13" s="98"/>
      <c r="CI13" s="274" t="str">
        <f>IF(CK13&gt;2000,"CN","- - -")</f>
        <v>- - -</v>
      </c>
      <c r="CN13" s="274" t="e">
        <f>IF(AND(CO13="Hưu",#REF!&lt;(#REF!-1),CV13&gt;0,CV13&lt;18,OR(#REF!&lt;4,AND(#REF!&gt;3,OR(#REF!&lt;3,#REF!&gt;5)))),"Lg Sớm",IF(AND(CO13="Hưu",#REF!&gt;(#REF!-2),OR(#REF!=0.33,#REF!=0.34),OR(#REF!&lt;4,AND(#REF!&gt;3,OR(#REF!&lt;3,#REF!&gt;5)))),"Nâng Ngạch",IF(AND(CO13="Hưu",#REF!=1,CV13&gt;2,CV13&lt;6,OR(#REF!&lt;4,AND(#REF!&gt;3,OR(#REF!&lt;3,#REF!&gt;5)))),"Nâng PcVK cùng QĐ",IF(AND(CO13="Hưu",#REF!&gt;3,#REF!&gt;2,#REF!&lt;6,#REF!&lt;(#REF!-1),CV13&gt;17,OR(#REF!&gt;1,AND(#REF!=1,OR(CV13&lt;3,CV13&gt;5)))),"Nâng PcNG cùng QĐ",IF(AND(CO13="Hưu",#REF!&lt;(#REF!-1),CV13&gt;0,CV13&lt;18,#REF!&gt;3,#REF!&gt;2,#REF!&lt;6),"Nâng Lg Sớm +(PcNG cùng QĐ)",IF(AND(CO13="Hưu",#REF!&gt;(#REF!-2),OR(#REF!=0.33,#REF!=0.34),#REF!&gt;3,#REF!&gt;2,#REF!&lt;6),"Nâng Ngạch +(PcNG cùng QĐ)",IF(AND(CO13="Hưu",#REF!=1,CV13&gt;2,CV13&lt;6,#REF!&gt;3,#REF!&gt;2,#REF!&lt;6),"Nâng (PcVK +PcNG) cùng QĐ",("---"))))))))</f>
        <v>#REF!</v>
      </c>
      <c r="CO13" s="274" t="e">
        <f>IF(AND(CZ13&gt;CY13,CZ13&lt;(CY13+13)),"Hưu",IF(AND(CZ13&gt;(CY13+12),CZ13&lt;1000),"Quá","/-/ /-/"))</f>
        <v>#REF!</v>
      </c>
      <c r="CP13" s="274" t="e">
        <f>IF((#REF!+0)&lt;12,(#REF!+0)+1,IF((#REF!+0)=12,1,IF((#REF!+0)&gt;12,(#REF!+0)-12)))</f>
        <v>#REF!</v>
      </c>
      <c r="CQ13" s="274" t="e">
        <f>IF(OR((#REF!+0)=12,(#REF!+0)&gt;12),#REF!+CY13/12+1,IF(AND((#REF!+0)&gt;0,(#REF!+0)&lt;12),#REF!+CY13/12,"---"))</f>
        <v>#REF!</v>
      </c>
      <c r="CR13" s="274" t="e">
        <f>IF(AND(CP13&gt;3,CP13&lt;13),CP13-3,IF(CP13&lt;4,CP13-3+12))</f>
        <v>#REF!</v>
      </c>
      <c r="CS13" s="274" t="e">
        <f>IF(CR13&lt;CP13,CQ13,IF(CR13&gt;CP13,CQ13-1))</f>
        <v>#REF!</v>
      </c>
      <c r="CT13" s="274" t="e">
        <f>IF(CP13&gt;6,CP13-6,IF(CP13=6,12,IF(CP13&lt;6,CP13+6)))</f>
        <v>#REF!</v>
      </c>
      <c r="CU13" s="274" t="e">
        <f>IF(CP13&gt;6,CQ13,IF(CP13&lt;7,CQ13-1))</f>
        <v>#REF!</v>
      </c>
      <c r="CV13" s="274" t="e">
        <f>IF(AND(CO13="Hưu",#REF!=3),36+#REF!-(12*(CU13-#REF!)+(CT13-#REF!)),IF(AND(CO13="Hưu",#REF!=2),24+#REF!-(12*(CU13-#REF!)+(CT13-#REF!)),IF(AND(CO13="Hưu",#REF!=1),12+#REF!-(12*(CU13-#REF!)+(CT13-#REF!)),"- - -")))</f>
        <v>#REF!</v>
      </c>
      <c r="CW13" s="280" t="str">
        <f>IF(CX13&gt;0,"K.Dài",". .")</f>
        <v>. .</v>
      </c>
      <c r="CX13" s="269"/>
      <c r="CY13" s="265" t="e">
        <f>IF(#REF!="Nam",(60+CX13)*12,IF(#REF!="Nữ",(55+CX13)*12,))</f>
        <v>#REF!</v>
      </c>
      <c r="CZ13" s="3" t="e">
        <f>12*(#REF!-#REF!)+(12-#REF!)</f>
        <v>#REF!</v>
      </c>
      <c r="DA13" s="271" t="e">
        <f>#REF!-#REF!</f>
        <v>#REF!</v>
      </c>
      <c r="DB13" s="266" t="e">
        <f>IF(AND(DA13&lt;35,#REF!="Nam"),"Nam dưới 35",IF(AND(DA13&lt;30,#REF!="Nữ"),"Nữ dưới 30",IF(AND(DA13&gt;34,DA13&lt;46,#REF!="Nam"),"Nam từ 35 - 45",IF(AND(DA13&gt;29,DA13&lt;41,#REF!="Nữ"),"Nữ từ 30 - 40",IF(AND(DA13&gt;45,DA13&lt;56,#REF!="Nam"),"Nam trên 45 - 55",IF(AND(DA13&gt;40,DA13&lt;51,#REF!="Nữ"),"Nữ trên 40 - 50",IF(AND(DA13&gt;55,#REF!="Nam"),"Nam trên 55","Nữ trên 50")))))))</f>
        <v>#REF!</v>
      </c>
      <c r="DC13" s="268"/>
      <c r="DD13" s="271"/>
      <c r="DE13" s="281" t="e">
        <f>IF(DA13&lt;31,"Đến 30",IF(AND(DA13&gt;30,DA13&lt;46),"31 - 45",IF(AND(DA13&gt;45,DA13&lt;70),"Trên 45")))</f>
        <v>#REF!</v>
      </c>
      <c r="DF13" s="267" t="str">
        <f>IF(DG13&gt;0,"TD","--")</f>
        <v>--</v>
      </c>
      <c r="DG13" s="267"/>
      <c r="DH13" s="268"/>
      <c r="DI13" s="282"/>
      <c r="DJ13" s="283"/>
      <c r="DP13" s="274" t="s">
        <v>30</v>
      </c>
      <c r="DQ13" s="274" t="s">
        <v>41</v>
      </c>
      <c r="DR13" s="274" t="s">
        <v>51</v>
      </c>
      <c r="DS13" s="274" t="s">
        <v>45</v>
      </c>
      <c r="DT13" s="274" t="s">
        <v>51</v>
      </c>
      <c r="DU13" s="274" t="s">
        <v>53</v>
      </c>
      <c r="DV13" s="274">
        <f>(DQ13+0)-(DX13+0)</f>
        <v>0</v>
      </c>
      <c r="DW13" s="274" t="str">
        <f>IF(DV13&gt;0,"Sửa","- - -")</f>
        <v>- - -</v>
      </c>
      <c r="DX13" s="274" t="s">
        <v>41</v>
      </c>
      <c r="DY13" s="274" t="s">
        <v>51</v>
      </c>
      <c r="DZ13" s="274" t="s">
        <v>45</v>
      </c>
      <c r="EA13" s="274" t="s">
        <v>51</v>
      </c>
      <c r="EB13" s="274" t="s">
        <v>53</v>
      </c>
      <c r="ED13" s="274" t="e">
        <f>IF(AND(#REF!&gt;0.34,#REF!=1,OR(#REF!=6.2,#REF!=5.75)),((#REF!-EC13)-2*0.34),IF(AND(#REF!&gt;0.33,#REF!=1,OR(#REF!=4.4,#REF!=4)),((#REF!-EC13)-2*0.33),"- - -"))</f>
        <v>#REF!</v>
      </c>
      <c r="EE13" s="274" t="e">
        <f>IF(CO13="Hưu",12*(CU13-#REF!)+(CT13-#REF!),"---")</f>
        <v>#REF!</v>
      </c>
      <c r="FO13" s="517"/>
      <c r="FP13" s="336"/>
      <c r="FQ13" s="336"/>
      <c r="FR13" s="336"/>
      <c r="FS13" s="336"/>
      <c r="FT13" s="336"/>
      <c r="FU13" s="336"/>
      <c r="FV13" s="336"/>
      <c r="FW13" s="336"/>
      <c r="FX13" s="336"/>
      <c r="FY13" s="336"/>
      <c r="FZ13" s="336"/>
      <c r="GA13" s="336"/>
      <c r="GB13" s="336"/>
      <c r="GC13" s="336"/>
      <c r="GD13" s="336"/>
      <c r="GE13" s="336"/>
      <c r="GF13" s="336"/>
      <c r="GG13" s="336"/>
      <c r="GH13" s="336"/>
      <c r="GI13" s="336"/>
      <c r="GJ13" s="336"/>
      <c r="GK13" s="336"/>
      <c r="GL13" s="336"/>
      <c r="GM13" s="336"/>
      <c r="GN13" s="336"/>
      <c r="GO13" s="336"/>
      <c r="GP13" s="336"/>
      <c r="GQ13" s="336"/>
      <c r="GR13" s="336"/>
      <c r="GS13" s="336"/>
      <c r="GT13" s="336"/>
      <c r="GU13" s="336"/>
      <c r="GV13" s="336"/>
      <c r="GW13" s="336"/>
      <c r="GX13" s="336"/>
      <c r="GY13" s="336"/>
      <c r="GZ13" s="336"/>
      <c r="HA13" s="336"/>
      <c r="HB13" s="336"/>
      <c r="HC13" s="336"/>
      <c r="HD13" s="336"/>
      <c r="HE13" s="336"/>
      <c r="HF13" s="336"/>
      <c r="HG13" s="336"/>
      <c r="HH13" s="336"/>
      <c r="HI13" s="336"/>
      <c r="HJ13" s="336"/>
      <c r="HK13" s="336"/>
    </row>
    <row r="14" spans="1:219" s="459" customFormat="1" ht="14.25" customHeight="1" x14ac:dyDescent="0.2">
      <c r="B14" s="668">
        <v>1</v>
      </c>
      <c r="C14" s="668"/>
      <c r="D14" s="668">
        <v>2</v>
      </c>
      <c r="E14" s="460">
        <v>2</v>
      </c>
      <c r="F14" s="668">
        <v>3</v>
      </c>
      <c r="G14" s="668"/>
      <c r="H14" s="668"/>
      <c r="I14" s="668"/>
      <c r="J14" s="668"/>
      <c r="K14" s="668"/>
      <c r="L14" s="668"/>
      <c r="M14" s="668">
        <v>4</v>
      </c>
      <c r="N14" s="668"/>
      <c r="O14" s="668"/>
      <c r="P14" s="668"/>
      <c r="Q14" s="461"/>
      <c r="R14" s="789">
        <v>4</v>
      </c>
      <c r="S14" s="790"/>
      <c r="T14" s="668"/>
      <c r="U14" s="462"/>
      <c r="V14" s="804">
        <v>5</v>
      </c>
      <c r="W14" s="805"/>
      <c r="X14" s="486">
        <v>6</v>
      </c>
      <c r="Y14" s="668">
        <v>6</v>
      </c>
      <c r="Z14" s="668"/>
      <c r="AA14" s="788">
        <v>7</v>
      </c>
      <c r="AB14" s="789"/>
      <c r="AC14" s="789"/>
      <c r="AD14" s="790"/>
      <c r="AE14" s="668">
        <v>8</v>
      </c>
      <c r="AF14" s="791">
        <v>9</v>
      </c>
      <c r="AG14" s="791"/>
      <c r="AH14" s="788">
        <v>10</v>
      </c>
      <c r="AI14" s="789"/>
      <c r="AJ14" s="789"/>
      <c r="AK14" s="789"/>
      <c r="AL14" s="790"/>
      <c r="AM14" s="788">
        <v>11</v>
      </c>
      <c r="AN14" s="790"/>
      <c r="AO14" s="788">
        <v>12</v>
      </c>
      <c r="AP14" s="789"/>
      <c r="AQ14" s="790"/>
      <c r="AR14" s="788">
        <v>13</v>
      </c>
      <c r="AS14" s="790"/>
      <c r="AT14" s="788">
        <v>14</v>
      </c>
      <c r="AU14" s="789"/>
      <c r="AV14" s="789"/>
      <c r="AW14" s="789"/>
      <c r="AX14" s="790"/>
      <c r="AY14" s="460">
        <v>15</v>
      </c>
      <c r="AZ14" s="539"/>
      <c r="BA14" s="445"/>
      <c r="BB14" s="445"/>
      <c r="BC14" s="445"/>
      <c r="BD14" s="445"/>
      <c r="BE14" s="445"/>
      <c r="BF14" s="445"/>
      <c r="BG14" s="445"/>
      <c r="BH14" s="445"/>
      <c r="BI14" s="445"/>
      <c r="BJ14" s="445">
        <v>12</v>
      </c>
      <c r="BK14" s="445"/>
      <c r="BL14" s="445"/>
      <c r="BM14" s="445"/>
      <c r="BN14" s="445"/>
      <c r="BO14" s="445"/>
      <c r="BP14" s="445"/>
      <c r="BQ14" s="445"/>
      <c r="BR14" s="445"/>
      <c r="BS14" s="445"/>
      <c r="BT14" s="445">
        <v>11</v>
      </c>
      <c r="BU14" s="445">
        <v>13</v>
      </c>
      <c r="BV14" s="463"/>
      <c r="BW14" s="463"/>
      <c r="FP14" s="625"/>
      <c r="FQ14" s="625"/>
      <c r="FR14" s="625"/>
      <c r="FS14" s="625"/>
      <c r="FT14" s="625"/>
      <c r="FU14" s="625"/>
      <c r="FV14" s="625"/>
      <c r="FW14" s="625"/>
      <c r="FX14" s="625"/>
      <c r="FY14" s="625"/>
      <c r="FZ14" s="625"/>
      <c r="GA14" s="625"/>
      <c r="GB14" s="625"/>
      <c r="GC14" s="625"/>
      <c r="GD14" s="625"/>
      <c r="GE14" s="625"/>
      <c r="GF14" s="625"/>
      <c r="GG14" s="625"/>
      <c r="GH14" s="625"/>
      <c r="GI14" s="625"/>
      <c r="GJ14" s="625"/>
      <c r="GK14" s="625"/>
      <c r="GL14" s="625"/>
      <c r="GM14" s="625"/>
      <c r="GN14" s="625"/>
      <c r="GO14" s="625"/>
      <c r="GP14" s="625"/>
      <c r="GQ14" s="625"/>
      <c r="GR14" s="625"/>
      <c r="GS14" s="625"/>
      <c r="GT14" s="625"/>
      <c r="GU14" s="625"/>
      <c r="GV14" s="625"/>
      <c r="GW14" s="625"/>
      <c r="GX14" s="625"/>
      <c r="GY14" s="625"/>
      <c r="GZ14" s="625"/>
      <c r="HA14" s="625"/>
      <c r="HB14" s="625"/>
      <c r="HC14" s="625"/>
      <c r="HD14" s="625"/>
      <c r="HE14" s="625"/>
      <c r="HF14" s="625"/>
      <c r="HG14" s="625"/>
      <c r="HH14" s="625"/>
      <c r="HI14" s="625"/>
      <c r="HJ14" s="625"/>
      <c r="HK14" s="625"/>
    </row>
    <row r="15" spans="1:219" s="464" customFormat="1" ht="45.75" hidden="1" customHeight="1" x14ac:dyDescent="0.2">
      <c r="B15" s="465" t="s">
        <v>62</v>
      </c>
      <c r="C15" s="465"/>
      <c r="D15" s="465" t="s">
        <v>100</v>
      </c>
      <c r="E15" s="466" t="s">
        <v>99</v>
      </c>
      <c r="F15" s="467"/>
      <c r="G15" s="465"/>
      <c r="H15" s="465"/>
      <c r="I15" s="465"/>
      <c r="J15" s="465"/>
      <c r="K15" s="465"/>
      <c r="L15" s="465"/>
      <c r="M15" s="465"/>
      <c r="N15" s="465"/>
      <c r="O15" s="465"/>
      <c r="P15" s="465"/>
      <c r="Q15" s="468"/>
      <c r="R15" s="465" t="s">
        <v>98</v>
      </c>
      <c r="S15" s="465" t="s">
        <v>97</v>
      </c>
      <c r="T15" s="467"/>
      <c r="U15" s="469"/>
      <c r="V15" s="470" t="s">
        <v>95</v>
      </c>
      <c r="W15" s="471" t="s">
        <v>96</v>
      </c>
      <c r="X15" s="472" t="s">
        <v>75</v>
      </c>
      <c r="Y15" s="473"/>
      <c r="Z15" s="474"/>
      <c r="AA15" s="473"/>
      <c r="AB15" s="475" t="s">
        <v>1</v>
      </c>
      <c r="AC15" s="476"/>
      <c r="AD15" s="474" t="s">
        <v>2</v>
      </c>
      <c r="AE15" s="473" t="s">
        <v>94</v>
      </c>
      <c r="AF15" s="477" t="s">
        <v>101</v>
      </c>
      <c r="AG15" s="478"/>
      <c r="AH15" s="473"/>
      <c r="AI15" s="476"/>
      <c r="AJ15" s="475" t="s">
        <v>93</v>
      </c>
      <c r="AK15" s="476"/>
      <c r="AL15" s="465" t="s">
        <v>92</v>
      </c>
      <c r="AM15" s="487"/>
      <c r="AN15" s="488"/>
      <c r="AO15" s="473" t="s">
        <v>3</v>
      </c>
      <c r="AP15" s="476"/>
      <c r="AQ15" s="489" t="s">
        <v>4</v>
      </c>
      <c r="AR15" s="479" t="s">
        <v>102</v>
      </c>
      <c r="AS15" s="480"/>
      <c r="AT15" s="473"/>
      <c r="AU15" s="476"/>
      <c r="AV15" s="465" t="s">
        <v>91</v>
      </c>
      <c r="AW15" s="476"/>
      <c r="AX15" s="465" t="s">
        <v>90</v>
      </c>
      <c r="AY15" s="635"/>
      <c r="AZ15" s="475"/>
      <c r="BA15" s="465"/>
      <c r="BB15" s="465"/>
      <c r="BC15" s="465"/>
      <c r="BD15" s="473"/>
      <c r="BE15" s="465"/>
      <c r="BF15" s="465"/>
      <c r="BG15" s="465"/>
      <c r="BH15" s="465"/>
      <c r="BI15" s="465"/>
      <c r="BJ15" s="465"/>
      <c r="BK15" s="473"/>
      <c r="BL15" s="474"/>
      <c r="BM15" s="465"/>
      <c r="BN15" s="465"/>
      <c r="BO15" s="465"/>
      <c r="BP15" s="465"/>
      <c r="BQ15" s="465"/>
      <c r="BR15" s="465"/>
      <c r="BS15" s="465"/>
      <c r="BT15" s="475"/>
      <c r="BU15" s="481"/>
      <c r="BV15" s="482"/>
      <c r="BW15" s="482"/>
      <c r="BX15" s="466" t="s">
        <v>89</v>
      </c>
      <c r="BY15" s="465" t="s">
        <v>88</v>
      </c>
      <c r="FP15" s="626"/>
      <c r="FQ15" s="626"/>
      <c r="FR15" s="626"/>
      <c r="FS15" s="626"/>
      <c r="FT15" s="626"/>
      <c r="FU15" s="626"/>
      <c r="FV15" s="626"/>
      <c r="FW15" s="626"/>
      <c r="FX15" s="626"/>
      <c r="FY15" s="626"/>
      <c r="FZ15" s="626"/>
      <c r="GA15" s="626"/>
      <c r="GB15" s="626"/>
      <c r="GC15" s="626"/>
      <c r="GD15" s="626"/>
      <c r="GE15" s="626"/>
      <c r="GF15" s="626"/>
      <c r="GG15" s="626"/>
      <c r="GH15" s="626"/>
      <c r="GI15" s="626"/>
      <c r="GJ15" s="626"/>
      <c r="GK15" s="626"/>
      <c r="GL15" s="626"/>
      <c r="GM15" s="626"/>
      <c r="GN15" s="626"/>
      <c r="GO15" s="626"/>
      <c r="GP15" s="626"/>
      <c r="GQ15" s="626"/>
      <c r="GR15" s="626"/>
      <c r="GS15" s="626"/>
      <c r="GT15" s="626"/>
      <c r="GU15" s="626"/>
      <c r="GV15" s="626"/>
      <c r="GW15" s="626"/>
      <c r="GX15" s="626"/>
      <c r="GY15" s="626"/>
      <c r="GZ15" s="626"/>
      <c r="HA15" s="626"/>
      <c r="HB15" s="626"/>
      <c r="HC15" s="626"/>
      <c r="HD15" s="626"/>
      <c r="HE15" s="626"/>
      <c r="HF15" s="626"/>
      <c r="HG15" s="626"/>
      <c r="HH15" s="626"/>
      <c r="HI15" s="626"/>
      <c r="HJ15" s="626"/>
      <c r="HK15" s="626"/>
    </row>
    <row r="16" spans="1:219" s="308" customFormat="1" ht="18.75" customHeight="1" x14ac:dyDescent="0.2">
      <c r="A16" s="284"/>
      <c r="B16" s="285" t="s">
        <v>52</v>
      </c>
      <c r="C16" s="285"/>
      <c r="D16" s="286"/>
      <c r="E16" s="286" t="s">
        <v>330</v>
      </c>
      <c r="F16" s="287"/>
      <c r="G16" s="288"/>
      <c r="H16" s="288"/>
      <c r="I16" s="288"/>
      <c r="J16" s="289"/>
      <c r="K16" s="289"/>
      <c r="L16" s="289"/>
      <c r="M16" s="289"/>
      <c r="N16" s="289"/>
      <c r="O16" s="289"/>
      <c r="P16" s="289"/>
      <c r="Q16" s="286"/>
      <c r="R16" s="290"/>
      <c r="S16" s="291"/>
      <c r="T16" s="292"/>
      <c r="U16" s="292"/>
      <c r="V16" s="425"/>
      <c r="W16" s="426"/>
      <c r="X16" s="326"/>
      <c r="Y16" s="325"/>
      <c r="Z16" s="326"/>
      <c r="AA16" s="327"/>
      <c r="AB16" s="317"/>
      <c r="AC16" s="381"/>
      <c r="AD16" s="318"/>
      <c r="AE16" s="323"/>
      <c r="AF16" s="321"/>
      <c r="AG16" s="318"/>
      <c r="AH16" s="379"/>
      <c r="AI16" s="388"/>
      <c r="AJ16" s="380"/>
      <c r="AK16" s="394"/>
      <c r="AL16" s="395"/>
      <c r="AM16" s="427"/>
      <c r="AN16" s="428"/>
      <c r="AO16" s="396"/>
      <c r="AP16" s="389"/>
      <c r="AQ16" s="399"/>
      <c r="AR16" s="321"/>
      <c r="AS16" s="381"/>
      <c r="AT16" s="319"/>
      <c r="AU16" s="387"/>
      <c r="AV16" s="412"/>
      <c r="AW16" s="393"/>
      <c r="AX16" s="320"/>
      <c r="AY16" s="666"/>
      <c r="AZ16" s="295"/>
      <c r="BA16" s="296"/>
      <c r="BB16" s="296"/>
      <c r="BC16" s="289"/>
      <c r="BD16" s="297"/>
      <c r="BE16" s="298"/>
      <c r="BF16" s="298"/>
      <c r="BG16" s="285"/>
      <c r="BH16" s="420"/>
      <c r="BI16" s="420"/>
      <c r="BJ16" s="298"/>
      <c r="BK16" s="299"/>
      <c r="BL16" s="294"/>
      <c r="BM16" s="300"/>
      <c r="BN16" s="301"/>
      <c r="BO16" s="301"/>
      <c r="BP16" s="301"/>
      <c r="BQ16" s="301"/>
      <c r="BR16" s="301"/>
      <c r="BS16" s="298"/>
      <c r="BT16" s="302"/>
      <c r="BU16" s="303"/>
      <c r="BV16" s="298"/>
      <c r="BW16" s="285"/>
      <c r="BX16" s="289"/>
      <c r="BY16" s="304"/>
      <c r="BZ16" s="305"/>
      <c r="CA16" s="284"/>
      <c r="CB16" s="306"/>
      <c r="CC16" s="306"/>
      <c r="CD16" s="284"/>
      <c r="CE16" s="307"/>
      <c r="CF16" s="284"/>
      <c r="CG16" s="284"/>
      <c r="CX16" s="309"/>
      <c r="CY16" s="310"/>
      <c r="CZ16" s="311"/>
      <c r="DA16" s="284"/>
      <c r="DB16" s="312"/>
      <c r="DC16" s="312"/>
      <c r="DD16" s="312"/>
      <c r="DE16" s="312"/>
      <c r="DF16" s="313"/>
      <c r="DG16" s="314"/>
      <c r="DH16" s="314"/>
      <c r="DI16" s="312"/>
      <c r="DJ16" s="315"/>
      <c r="DK16" s="314"/>
      <c r="DL16" s="316"/>
      <c r="DM16" s="316"/>
      <c r="FP16" s="316"/>
      <c r="FQ16" s="316"/>
      <c r="FR16" s="316"/>
      <c r="FS16" s="316"/>
      <c r="FT16" s="316"/>
      <c r="FU16" s="316"/>
      <c r="FV16" s="316"/>
      <c r="FW16" s="316"/>
      <c r="FX16" s="316"/>
      <c r="FY16" s="316"/>
      <c r="FZ16" s="316"/>
      <c r="GA16" s="316"/>
      <c r="GB16" s="316"/>
      <c r="GC16" s="316"/>
      <c r="GD16" s="316"/>
      <c r="GE16" s="316"/>
      <c r="GF16" s="316"/>
      <c r="GG16" s="316"/>
      <c r="GH16" s="316"/>
      <c r="GI16" s="316"/>
      <c r="GJ16" s="316"/>
      <c r="GK16" s="316"/>
      <c r="GL16" s="316"/>
      <c r="GM16" s="316"/>
      <c r="GN16" s="316"/>
      <c r="GO16" s="316"/>
      <c r="GP16" s="316"/>
      <c r="GQ16" s="316"/>
      <c r="GR16" s="316"/>
      <c r="GS16" s="316"/>
      <c r="GT16" s="316"/>
    </row>
    <row r="17" spans="1:202" s="308" customFormat="1" ht="42.75" customHeight="1" x14ac:dyDescent="0.2">
      <c r="A17" s="284"/>
      <c r="B17" s="322">
        <v>1</v>
      </c>
      <c r="C17" s="99"/>
      <c r="D17" s="99" t="s">
        <v>230</v>
      </c>
      <c r="E17" s="498" t="s">
        <v>231</v>
      </c>
      <c r="F17" s="499" t="s">
        <v>61</v>
      </c>
      <c r="G17" s="500" t="s">
        <v>50</v>
      </c>
      <c r="H17" s="500" t="s">
        <v>51</v>
      </c>
      <c r="I17" s="500" t="s">
        <v>43</v>
      </c>
      <c r="J17" s="98" t="s">
        <v>51</v>
      </c>
      <c r="K17" s="98">
        <v>1979</v>
      </c>
      <c r="L17" s="98" t="s">
        <v>79</v>
      </c>
      <c r="M17" s="98" t="s">
        <v>232</v>
      </c>
      <c r="N17" s="98"/>
      <c r="O17" s="98" t="e">
        <v>#N/A</v>
      </c>
      <c r="P17" s="98"/>
      <c r="Q17" s="498" t="e">
        <v>#N/A</v>
      </c>
      <c r="R17" s="681" t="s">
        <v>233</v>
      </c>
      <c r="S17" s="501" t="s">
        <v>234</v>
      </c>
      <c r="T17" s="502" t="s">
        <v>235</v>
      </c>
      <c r="U17" s="502" t="s">
        <v>236</v>
      </c>
      <c r="V17" s="503" t="s">
        <v>70</v>
      </c>
      <c r="W17" s="504" t="s">
        <v>40</v>
      </c>
      <c r="X17" s="505" t="s">
        <v>11</v>
      </c>
      <c r="Y17" s="506" t="s">
        <v>40</v>
      </c>
      <c r="Z17" s="505" t="s">
        <v>11</v>
      </c>
      <c r="AA17" s="507" t="s">
        <v>237</v>
      </c>
      <c r="AB17" s="508">
        <v>4</v>
      </c>
      <c r="AC17" s="437" t="s">
        <v>51</v>
      </c>
      <c r="AD17" s="51">
        <v>9</v>
      </c>
      <c r="AE17" s="509">
        <v>3.33</v>
      </c>
      <c r="AF17" s="510"/>
      <c r="AG17" s="51"/>
      <c r="AH17" s="511" t="s">
        <v>41</v>
      </c>
      <c r="AI17" s="512" t="s">
        <v>51</v>
      </c>
      <c r="AJ17" s="513" t="s">
        <v>47</v>
      </c>
      <c r="AK17" s="671" t="s">
        <v>51</v>
      </c>
      <c r="AL17" s="514">
        <v>2015</v>
      </c>
      <c r="AM17" s="515"/>
      <c r="AN17" s="516"/>
      <c r="AO17" s="517">
        <v>5</v>
      </c>
      <c r="AP17" s="518" t="s">
        <v>51</v>
      </c>
      <c r="AQ17" s="519">
        <v>9</v>
      </c>
      <c r="AR17" s="682">
        <v>3.66</v>
      </c>
      <c r="AS17" s="51"/>
      <c r="AT17" s="520" t="s">
        <v>41</v>
      </c>
      <c r="AU17" s="521" t="s">
        <v>51</v>
      </c>
      <c r="AV17" s="522" t="s">
        <v>47</v>
      </c>
      <c r="AW17" s="523" t="s">
        <v>51</v>
      </c>
      <c r="AX17" s="524">
        <v>2018</v>
      </c>
      <c r="AY17" s="527"/>
      <c r="AZ17" s="295"/>
      <c r="BA17" s="296"/>
      <c r="BB17" s="674"/>
      <c r="BC17" s="289"/>
      <c r="BD17" s="297"/>
      <c r="BE17" s="298"/>
      <c r="BF17" s="675"/>
      <c r="BG17" s="676"/>
      <c r="BH17" s="677"/>
      <c r="BI17" s="294"/>
      <c r="BJ17" s="675"/>
      <c r="BK17" s="675"/>
      <c r="BL17" s="294"/>
      <c r="BM17" s="678"/>
      <c r="BN17" s="300"/>
      <c r="BO17" s="679"/>
      <c r="BP17" s="300"/>
      <c r="BQ17" s="679"/>
      <c r="BR17" s="678"/>
      <c r="BS17" s="675"/>
      <c r="BT17" s="675"/>
      <c r="BU17" s="303"/>
      <c r="BV17" s="303"/>
      <c r="BW17" s="285"/>
      <c r="BX17" s="680"/>
      <c r="BY17" s="304"/>
      <c r="BZ17" s="305"/>
      <c r="CA17" s="284"/>
      <c r="CB17" s="306"/>
      <c r="CC17" s="306"/>
      <c r="CD17" s="284"/>
      <c r="CE17" s="307"/>
      <c r="CF17" s="284"/>
      <c r="CG17" s="284"/>
      <c r="CX17" s="309"/>
      <c r="CY17" s="310"/>
      <c r="CZ17" s="311"/>
      <c r="DA17" s="284"/>
      <c r="DB17" s="312"/>
      <c r="DC17" s="312"/>
      <c r="DD17" s="312"/>
      <c r="DE17" s="312"/>
      <c r="DF17" s="313"/>
      <c r="DG17" s="314"/>
      <c r="DH17" s="314"/>
      <c r="DI17" s="312"/>
      <c r="DJ17" s="315"/>
      <c r="DK17" s="314"/>
      <c r="DL17" s="316"/>
      <c r="DM17" s="316"/>
      <c r="FP17" s="316"/>
      <c r="FQ17" s="316"/>
      <c r="FR17" s="316"/>
      <c r="FS17" s="316"/>
      <c r="FT17" s="316"/>
      <c r="FU17" s="316"/>
      <c r="FV17" s="316"/>
      <c r="FW17" s="316"/>
      <c r="FX17" s="316"/>
      <c r="FY17" s="316"/>
      <c r="FZ17" s="316"/>
      <c r="GA17" s="316"/>
      <c r="GB17" s="316"/>
      <c r="GC17" s="316"/>
      <c r="GD17" s="316"/>
      <c r="GE17" s="316"/>
      <c r="GF17" s="316"/>
      <c r="GG17" s="316"/>
      <c r="GH17" s="316"/>
      <c r="GI17" s="316"/>
      <c r="GJ17" s="316"/>
      <c r="GK17" s="316"/>
      <c r="GL17" s="316"/>
      <c r="GM17" s="316"/>
      <c r="GN17" s="316"/>
      <c r="GO17" s="316"/>
      <c r="GP17" s="316"/>
      <c r="GQ17" s="316"/>
      <c r="GR17" s="316"/>
      <c r="GS17" s="316"/>
      <c r="GT17" s="316"/>
    </row>
    <row r="18" spans="1:202" s="308" customFormat="1" ht="42.75" customHeight="1" x14ac:dyDescent="0.2">
      <c r="A18" s="284"/>
      <c r="B18" s="322">
        <v>2</v>
      </c>
      <c r="C18" s="99"/>
      <c r="D18" s="99" t="s">
        <v>238</v>
      </c>
      <c r="E18" s="498" t="s">
        <v>239</v>
      </c>
      <c r="F18" s="499" t="s">
        <v>60</v>
      </c>
      <c r="G18" s="500" t="s">
        <v>55</v>
      </c>
      <c r="H18" s="500" t="s">
        <v>51</v>
      </c>
      <c r="I18" s="500" t="s">
        <v>48</v>
      </c>
      <c r="J18" s="98" t="s">
        <v>51</v>
      </c>
      <c r="K18" s="98">
        <v>1966</v>
      </c>
      <c r="L18" s="98" t="s">
        <v>79</v>
      </c>
      <c r="M18" s="98" t="s">
        <v>232</v>
      </c>
      <c r="N18" s="98"/>
      <c r="O18" s="98" t="s">
        <v>240</v>
      </c>
      <c r="P18" s="98" t="s">
        <v>148</v>
      </c>
      <c r="Q18" s="498">
        <v>0.8</v>
      </c>
      <c r="R18" s="681"/>
      <c r="S18" s="501" t="s">
        <v>128</v>
      </c>
      <c r="T18" s="502" t="s">
        <v>241</v>
      </c>
      <c r="U18" s="502" t="s">
        <v>242</v>
      </c>
      <c r="V18" s="503" t="s">
        <v>70</v>
      </c>
      <c r="W18" s="504" t="s">
        <v>243</v>
      </c>
      <c r="X18" s="505" t="s">
        <v>244</v>
      </c>
      <c r="Y18" s="506" t="s">
        <v>243</v>
      </c>
      <c r="Z18" s="505" t="s">
        <v>244</v>
      </c>
      <c r="AA18" s="507" t="s">
        <v>237</v>
      </c>
      <c r="AB18" s="508">
        <v>2</v>
      </c>
      <c r="AC18" s="437" t="s">
        <v>51</v>
      </c>
      <c r="AD18" s="51">
        <v>6</v>
      </c>
      <c r="AE18" s="509">
        <v>6.5600000000000005</v>
      </c>
      <c r="AF18" s="510"/>
      <c r="AG18" s="51"/>
      <c r="AH18" s="511" t="s">
        <v>41</v>
      </c>
      <c r="AI18" s="512" t="s">
        <v>51</v>
      </c>
      <c r="AJ18" s="513" t="s">
        <v>47</v>
      </c>
      <c r="AK18" s="671" t="s">
        <v>51</v>
      </c>
      <c r="AL18" s="514">
        <v>2015</v>
      </c>
      <c r="AM18" s="515"/>
      <c r="AN18" s="516"/>
      <c r="AO18" s="517">
        <v>3</v>
      </c>
      <c r="AP18" s="518" t="s">
        <v>51</v>
      </c>
      <c r="AQ18" s="519">
        <v>6</v>
      </c>
      <c r="AR18" s="682">
        <v>6.9200000000000008</v>
      </c>
      <c r="AS18" s="51"/>
      <c r="AT18" s="520" t="s">
        <v>41</v>
      </c>
      <c r="AU18" s="521" t="s">
        <v>51</v>
      </c>
      <c r="AV18" s="522" t="s">
        <v>47</v>
      </c>
      <c r="AW18" s="523" t="s">
        <v>51</v>
      </c>
      <c r="AX18" s="524">
        <v>2018</v>
      </c>
      <c r="AY18" s="527"/>
      <c r="AZ18" s="295"/>
      <c r="BA18" s="296"/>
      <c r="BB18" s="674"/>
      <c r="BC18" s="289"/>
      <c r="BD18" s="297"/>
      <c r="BE18" s="298"/>
      <c r="BF18" s="675"/>
      <c r="BG18" s="676"/>
      <c r="BH18" s="677"/>
      <c r="BI18" s="294"/>
      <c r="BJ18" s="675"/>
      <c r="BK18" s="675"/>
      <c r="BL18" s="294"/>
      <c r="BM18" s="678"/>
      <c r="BN18" s="300"/>
      <c r="BO18" s="679"/>
      <c r="BP18" s="300"/>
      <c r="BQ18" s="679"/>
      <c r="BR18" s="678"/>
      <c r="BS18" s="675"/>
      <c r="BT18" s="675"/>
      <c r="BU18" s="303"/>
      <c r="BV18" s="303"/>
      <c r="BW18" s="285"/>
      <c r="BX18" s="680"/>
      <c r="BY18" s="304"/>
      <c r="BZ18" s="305"/>
      <c r="CA18" s="284"/>
      <c r="CB18" s="306"/>
      <c r="CC18" s="306"/>
      <c r="CD18" s="284"/>
      <c r="CE18" s="307"/>
      <c r="CF18" s="284"/>
      <c r="CG18" s="284"/>
      <c r="CX18" s="309"/>
      <c r="CY18" s="310"/>
      <c r="CZ18" s="311"/>
      <c r="DA18" s="284"/>
      <c r="DB18" s="312"/>
      <c r="DC18" s="312"/>
      <c r="DD18" s="312"/>
      <c r="DE18" s="312"/>
      <c r="DF18" s="313"/>
      <c r="DG18" s="314"/>
      <c r="DH18" s="314"/>
      <c r="DI18" s="312"/>
      <c r="DJ18" s="315"/>
      <c r="DK18" s="314"/>
      <c r="DL18" s="316"/>
      <c r="DM18" s="316"/>
      <c r="FP18" s="316"/>
      <c r="FQ18" s="316"/>
      <c r="FR18" s="316"/>
      <c r="FS18" s="316"/>
      <c r="FT18" s="316"/>
      <c r="FU18" s="316"/>
      <c r="FV18" s="316"/>
      <c r="FW18" s="316"/>
      <c r="FX18" s="316"/>
      <c r="FY18" s="316"/>
      <c r="FZ18" s="316"/>
      <c r="GA18" s="316"/>
      <c r="GB18" s="316"/>
      <c r="GC18" s="316"/>
      <c r="GD18" s="316"/>
      <c r="GE18" s="316"/>
      <c r="GF18" s="316"/>
      <c r="GG18" s="316"/>
      <c r="GH18" s="316"/>
      <c r="GI18" s="316"/>
      <c r="GJ18" s="316"/>
      <c r="GK18" s="316"/>
      <c r="GL18" s="316"/>
      <c r="GM18" s="316"/>
      <c r="GN18" s="316"/>
      <c r="GO18" s="316"/>
      <c r="GP18" s="316"/>
      <c r="GQ18" s="316"/>
      <c r="GR18" s="316"/>
      <c r="GS18" s="316"/>
      <c r="GT18" s="316"/>
    </row>
    <row r="19" spans="1:202" s="308" customFormat="1" ht="42.75" customHeight="1" x14ac:dyDescent="0.2">
      <c r="A19" s="284"/>
      <c r="B19" s="322">
        <v>3</v>
      </c>
      <c r="C19" s="99"/>
      <c r="D19" s="99" t="s">
        <v>230</v>
      </c>
      <c r="E19" s="498" t="s">
        <v>245</v>
      </c>
      <c r="F19" s="499" t="s">
        <v>61</v>
      </c>
      <c r="G19" s="500" t="s">
        <v>246</v>
      </c>
      <c r="H19" s="500" t="s">
        <v>51</v>
      </c>
      <c r="I19" s="500" t="s">
        <v>45</v>
      </c>
      <c r="J19" s="98" t="s">
        <v>51</v>
      </c>
      <c r="K19" s="98" t="s">
        <v>247</v>
      </c>
      <c r="L19" s="98" t="s">
        <v>79</v>
      </c>
      <c r="M19" s="98" t="s">
        <v>232</v>
      </c>
      <c r="N19" s="98"/>
      <c r="O19" s="98" t="e">
        <v>#N/A</v>
      </c>
      <c r="P19" s="98"/>
      <c r="Q19" s="498" t="e">
        <v>#N/A</v>
      </c>
      <c r="R19" s="681" t="s">
        <v>248</v>
      </c>
      <c r="S19" s="501" t="s">
        <v>135</v>
      </c>
      <c r="T19" s="502" t="s">
        <v>249</v>
      </c>
      <c r="U19" s="502" t="s">
        <v>250</v>
      </c>
      <c r="V19" s="503" t="s">
        <v>69</v>
      </c>
      <c r="W19" s="504" t="s">
        <v>74</v>
      </c>
      <c r="X19" s="505" t="s">
        <v>207</v>
      </c>
      <c r="Y19" s="506" t="s">
        <v>74</v>
      </c>
      <c r="Z19" s="505" t="s">
        <v>207</v>
      </c>
      <c r="AA19" s="507" t="s">
        <v>237</v>
      </c>
      <c r="AB19" s="508">
        <v>2</v>
      </c>
      <c r="AC19" s="437" t="s">
        <v>51</v>
      </c>
      <c r="AD19" s="51">
        <v>8</v>
      </c>
      <c r="AE19" s="509">
        <v>4.74</v>
      </c>
      <c r="AF19" s="510"/>
      <c r="AG19" s="51"/>
      <c r="AH19" s="511" t="s">
        <v>41</v>
      </c>
      <c r="AI19" s="512" t="s">
        <v>51</v>
      </c>
      <c r="AJ19" s="513" t="s">
        <v>47</v>
      </c>
      <c r="AK19" s="671" t="s">
        <v>51</v>
      </c>
      <c r="AL19" s="514">
        <v>2015</v>
      </c>
      <c r="AM19" s="515"/>
      <c r="AN19" s="516"/>
      <c r="AO19" s="517">
        <v>3</v>
      </c>
      <c r="AP19" s="518" t="s">
        <v>51</v>
      </c>
      <c r="AQ19" s="519">
        <v>8</v>
      </c>
      <c r="AR19" s="682">
        <v>5.08</v>
      </c>
      <c r="AS19" s="51"/>
      <c r="AT19" s="520" t="s">
        <v>41</v>
      </c>
      <c r="AU19" s="521" t="s">
        <v>51</v>
      </c>
      <c r="AV19" s="522" t="s">
        <v>47</v>
      </c>
      <c r="AW19" s="523" t="s">
        <v>51</v>
      </c>
      <c r="AX19" s="524">
        <v>2018</v>
      </c>
      <c r="AY19" s="527"/>
      <c r="AZ19" s="295"/>
      <c r="BA19" s="296"/>
      <c r="BB19" s="674"/>
      <c r="BC19" s="289"/>
      <c r="BD19" s="297"/>
      <c r="BE19" s="298"/>
      <c r="BF19" s="675"/>
      <c r="BG19" s="676"/>
      <c r="BH19" s="677"/>
      <c r="BI19" s="294"/>
      <c r="BJ19" s="675"/>
      <c r="BK19" s="675"/>
      <c r="BL19" s="294"/>
      <c r="BM19" s="678"/>
      <c r="BN19" s="300"/>
      <c r="BO19" s="679"/>
      <c r="BP19" s="300"/>
      <c r="BQ19" s="679"/>
      <c r="BR19" s="678"/>
      <c r="BS19" s="675"/>
      <c r="BT19" s="675"/>
      <c r="BU19" s="303"/>
      <c r="BV19" s="303"/>
      <c r="BW19" s="285"/>
      <c r="BX19" s="680"/>
      <c r="BY19" s="304"/>
      <c r="BZ19" s="305"/>
      <c r="CA19" s="284"/>
      <c r="CB19" s="306"/>
      <c r="CC19" s="306"/>
      <c r="CD19" s="284"/>
      <c r="CE19" s="307"/>
      <c r="CF19" s="284"/>
      <c r="CG19" s="284"/>
      <c r="CX19" s="309"/>
      <c r="CY19" s="310"/>
      <c r="CZ19" s="311"/>
      <c r="DA19" s="284"/>
      <c r="DB19" s="312"/>
      <c r="DC19" s="312"/>
      <c r="DD19" s="312"/>
      <c r="DE19" s="312"/>
      <c r="DF19" s="313"/>
      <c r="DG19" s="314"/>
      <c r="DH19" s="314"/>
      <c r="DI19" s="312"/>
      <c r="DJ19" s="315"/>
      <c r="DK19" s="314"/>
      <c r="DL19" s="316"/>
      <c r="DM19" s="316"/>
      <c r="FP19" s="316"/>
      <c r="FQ19" s="316"/>
      <c r="FR19" s="316"/>
      <c r="FS19" s="316"/>
      <c r="FT19" s="316"/>
      <c r="FU19" s="316"/>
      <c r="FV19" s="316"/>
      <c r="FW19" s="316"/>
      <c r="FX19" s="316"/>
      <c r="FY19" s="316"/>
      <c r="FZ19" s="316"/>
      <c r="GA19" s="316"/>
      <c r="GB19" s="316"/>
      <c r="GC19" s="316"/>
      <c r="GD19" s="316"/>
      <c r="GE19" s="316"/>
      <c r="GF19" s="316"/>
      <c r="GG19" s="316"/>
      <c r="GH19" s="316"/>
      <c r="GI19" s="316"/>
      <c r="GJ19" s="316"/>
      <c r="GK19" s="316"/>
      <c r="GL19" s="316"/>
      <c r="GM19" s="316"/>
      <c r="GN19" s="316"/>
      <c r="GO19" s="316"/>
      <c r="GP19" s="316"/>
      <c r="GQ19" s="316"/>
      <c r="GR19" s="316"/>
      <c r="GS19" s="316"/>
      <c r="GT19" s="316"/>
    </row>
    <row r="20" spans="1:202" s="308" customFormat="1" ht="42.75" customHeight="1" x14ac:dyDescent="0.2">
      <c r="A20" s="284"/>
      <c r="B20" s="322">
        <v>4</v>
      </c>
      <c r="C20" s="99"/>
      <c r="D20" s="99" t="s">
        <v>230</v>
      </c>
      <c r="E20" s="498" t="s">
        <v>251</v>
      </c>
      <c r="F20" s="499" t="s">
        <v>61</v>
      </c>
      <c r="G20" s="500" t="s">
        <v>182</v>
      </c>
      <c r="H20" s="500" t="s">
        <v>51</v>
      </c>
      <c r="I20" s="500" t="s">
        <v>48</v>
      </c>
      <c r="J20" s="98" t="s">
        <v>51</v>
      </c>
      <c r="K20" s="98" t="s">
        <v>154</v>
      </c>
      <c r="L20" s="98" t="s">
        <v>79</v>
      </c>
      <c r="M20" s="98" t="s">
        <v>232</v>
      </c>
      <c r="N20" s="98"/>
      <c r="O20" s="98" t="s">
        <v>240</v>
      </c>
      <c r="P20" s="98" t="s">
        <v>29</v>
      </c>
      <c r="Q20" s="498">
        <v>0.4</v>
      </c>
      <c r="R20" s="681" t="s">
        <v>252</v>
      </c>
      <c r="S20" s="501" t="s">
        <v>146</v>
      </c>
      <c r="T20" s="502" t="s">
        <v>249</v>
      </c>
      <c r="U20" s="502" t="s">
        <v>250</v>
      </c>
      <c r="V20" s="503" t="s">
        <v>69</v>
      </c>
      <c r="W20" s="504" t="s">
        <v>74</v>
      </c>
      <c r="X20" s="505" t="s">
        <v>207</v>
      </c>
      <c r="Y20" s="506" t="s">
        <v>74</v>
      </c>
      <c r="Z20" s="505" t="s">
        <v>207</v>
      </c>
      <c r="AA20" s="507" t="s">
        <v>237</v>
      </c>
      <c r="AB20" s="508">
        <v>2</v>
      </c>
      <c r="AC20" s="437" t="s">
        <v>51</v>
      </c>
      <c r="AD20" s="51">
        <v>8</v>
      </c>
      <c r="AE20" s="509">
        <v>4.74</v>
      </c>
      <c r="AF20" s="510"/>
      <c r="AG20" s="51"/>
      <c r="AH20" s="511" t="s">
        <v>41</v>
      </c>
      <c r="AI20" s="512" t="s">
        <v>51</v>
      </c>
      <c r="AJ20" s="513" t="s">
        <v>47</v>
      </c>
      <c r="AK20" s="671" t="s">
        <v>51</v>
      </c>
      <c r="AL20" s="514">
        <v>2015</v>
      </c>
      <c r="AM20" s="515"/>
      <c r="AN20" s="516"/>
      <c r="AO20" s="517">
        <v>3</v>
      </c>
      <c r="AP20" s="518" t="s">
        <v>51</v>
      </c>
      <c r="AQ20" s="519">
        <v>8</v>
      </c>
      <c r="AR20" s="682">
        <v>5.08</v>
      </c>
      <c r="AS20" s="51"/>
      <c r="AT20" s="520" t="s">
        <v>41</v>
      </c>
      <c r="AU20" s="521" t="s">
        <v>51</v>
      </c>
      <c r="AV20" s="522" t="s">
        <v>47</v>
      </c>
      <c r="AW20" s="523" t="s">
        <v>51</v>
      </c>
      <c r="AX20" s="524">
        <v>2018</v>
      </c>
      <c r="AY20" s="527"/>
      <c r="AZ20" s="295"/>
      <c r="BA20" s="296"/>
      <c r="BB20" s="674"/>
      <c r="BC20" s="289"/>
      <c r="BD20" s="297"/>
      <c r="BE20" s="298"/>
      <c r="BF20" s="675"/>
      <c r="BG20" s="676"/>
      <c r="BH20" s="677"/>
      <c r="BI20" s="294"/>
      <c r="BJ20" s="675"/>
      <c r="BK20" s="675"/>
      <c r="BL20" s="294"/>
      <c r="BM20" s="678"/>
      <c r="BN20" s="300"/>
      <c r="BO20" s="679"/>
      <c r="BP20" s="300"/>
      <c r="BQ20" s="679"/>
      <c r="BR20" s="678"/>
      <c r="BS20" s="675"/>
      <c r="BT20" s="675"/>
      <c r="BU20" s="303"/>
      <c r="BV20" s="303"/>
      <c r="BW20" s="285"/>
      <c r="BX20" s="680"/>
      <c r="BY20" s="304"/>
      <c r="BZ20" s="305"/>
      <c r="CA20" s="284"/>
      <c r="CB20" s="306"/>
      <c r="CC20" s="306"/>
      <c r="CD20" s="284"/>
      <c r="CE20" s="307"/>
      <c r="CF20" s="284"/>
      <c r="CG20" s="284"/>
      <c r="CX20" s="309"/>
      <c r="CY20" s="310"/>
      <c r="CZ20" s="311"/>
      <c r="DA20" s="284"/>
      <c r="DB20" s="312"/>
      <c r="DC20" s="312"/>
      <c r="DD20" s="312"/>
      <c r="DE20" s="312"/>
      <c r="DF20" s="313"/>
      <c r="DG20" s="314"/>
      <c r="DH20" s="314"/>
      <c r="DI20" s="312"/>
      <c r="DJ20" s="315"/>
      <c r="DK20" s="314"/>
      <c r="DL20" s="316"/>
      <c r="DM20" s="316"/>
      <c r="FP20" s="316"/>
      <c r="FQ20" s="316"/>
      <c r="FR20" s="316"/>
      <c r="FS20" s="316"/>
      <c r="FT20" s="316"/>
      <c r="FU20" s="316"/>
      <c r="FV20" s="316"/>
      <c r="FW20" s="316"/>
      <c r="FX20" s="316"/>
      <c r="FY20" s="316"/>
      <c r="FZ20" s="316"/>
      <c r="GA20" s="316"/>
      <c r="GB20" s="316"/>
      <c r="GC20" s="316"/>
      <c r="GD20" s="316"/>
      <c r="GE20" s="316"/>
      <c r="GF20" s="316"/>
      <c r="GG20" s="316"/>
      <c r="GH20" s="316"/>
      <c r="GI20" s="316"/>
      <c r="GJ20" s="316"/>
      <c r="GK20" s="316"/>
      <c r="GL20" s="316"/>
      <c r="GM20" s="316"/>
      <c r="GN20" s="316"/>
      <c r="GO20" s="316"/>
      <c r="GP20" s="316"/>
      <c r="GQ20" s="316"/>
      <c r="GR20" s="316"/>
      <c r="GS20" s="316"/>
      <c r="GT20" s="316"/>
    </row>
    <row r="21" spans="1:202" s="308" customFormat="1" ht="42.75" customHeight="1" x14ac:dyDescent="0.2">
      <c r="A21" s="284"/>
      <c r="B21" s="322">
        <v>5</v>
      </c>
      <c r="C21" s="99"/>
      <c r="D21" s="99" t="s">
        <v>238</v>
      </c>
      <c r="E21" s="498" t="s">
        <v>253</v>
      </c>
      <c r="F21" s="499" t="s">
        <v>60</v>
      </c>
      <c r="G21" s="500" t="s">
        <v>38</v>
      </c>
      <c r="H21" s="500" t="s">
        <v>51</v>
      </c>
      <c r="I21" s="500" t="s">
        <v>58</v>
      </c>
      <c r="J21" s="98" t="s">
        <v>51</v>
      </c>
      <c r="K21" s="98" t="s">
        <v>254</v>
      </c>
      <c r="L21" s="98" t="s">
        <v>79</v>
      </c>
      <c r="M21" s="98" t="s">
        <v>232</v>
      </c>
      <c r="N21" s="98"/>
      <c r="O21" s="98" t="e">
        <v>#N/A</v>
      </c>
      <c r="P21" s="98"/>
      <c r="Q21" s="498" t="e">
        <v>#N/A</v>
      </c>
      <c r="R21" s="681"/>
      <c r="S21" s="501" t="s">
        <v>147</v>
      </c>
      <c r="T21" s="502" t="s">
        <v>249</v>
      </c>
      <c r="U21" s="502" t="s">
        <v>250</v>
      </c>
      <c r="V21" s="503" t="s">
        <v>69</v>
      </c>
      <c r="W21" s="504" t="s">
        <v>74</v>
      </c>
      <c r="X21" s="505" t="s">
        <v>207</v>
      </c>
      <c r="Y21" s="506" t="s">
        <v>74</v>
      </c>
      <c r="Z21" s="505" t="s">
        <v>207</v>
      </c>
      <c r="AA21" s="507" t="s">
        <v>237</v>
      </c>
      <c r="AB21" s="508">
        <v>2</v>
      </c>
      <c r="AC21" s="437" t="s">
        <v>51</v>
      </c>
      <c r="AD21" s="51">
        <v>8</v>
      </c>
      <c r="AE21" s="509">
        <v>4.74</v>
      </c>
      <c r="AF21" s="510"/>
      <c r="AG21" s="51"/>
      <c r="AH21" s="511" t="s">
        <v>41</v>
      </c>
      <c r="AI21" s="512" t="s">
        <v>51</v>
      </c>
      <c r="AJ21" s="513" t="s">
        <v>47</v>
      </c>
      <c r="AK21" s="671" t="s">
        <v>51</v>
      </c>
      <c r="AL21" s="514">
        <v>2015</v>
      </c>
      <c r="AM21" s="515"/>
      <c r="AN21" s="516"/>
      <c r="AO21" s="517">
        <v>3</v>
      </c>
      <c r="AP21" s="518" t="s">
        <v>51</v>
      </c>
      <c r="AQ21" s="519">
        <v>8</v>
      </c>
      <c r="AR21" s="682">
        <v>5.08</v>
      </c>
      <c r="AS21" s="51"/>
      <c r="AT21" s="520" t="s">
        <v>41</v>
      </c>
      <c r="AU21" s="521" t="s">
        <v>51</v>
      </c>
      <c r="AV21" s="522" t="s">
        <v>47</v>
      </c>
      <c r="AW21" s="523" t="s">
        <v>51</v>
      </c>
      <c r="AX21" s="524">
        <v>2018</v>
      </c>
      <c r="AY21" s="527"/>
      <c r="AZ21" s="295"/>
      <c r="BA21" s="296"/>
      <c r="BB21" s="674"/>
      <c r="BC21" s="289"/>
      <c r="BD21" s="297"/>
      <c r="BE21" s="298"/>
      <c r="BF21" s="675"/>
      <c r="BG21" s="676"/>
      <c r="BH21" s="677"/>
      <c r="BI21" s="294"/>
      <c r="BJ21" s="675"/>
      <c r="BK21" s="675"/>
      <c r="BL21" s="294"/>
      <c r="BM21" s="678"/>
      <c r="BN21" s="300"/>
      <c r="BO21" s="679"/>
      <c r="BP21" s="300"/>
      <c r="BQ21" s="679"/>
      <c r="BR21" s="678"/>
      <c r="BS21" s="675"/>
      <c r="BT21" s="675"/>
      <c r="BU21" s="303"/>
      <c r="BV21" s="303"/>
      <c r="BW21" s="285"/>
      <c r="BX21" s="680"/>
      <c r="BY21" s="304"/>
      <c r="BZ21" s="305"/>
      <c r="CA21" s="284"/>
      <c r="CB21" s="306"/>
      <c r="CC21" s="306"/>
      <c r="CD21" s="284"/>
      <c r="CE21" s="307"/>
      <c r="CF21" s="284"/>
      <c r="CG21" s="284"/>
      <c r="CX21" s="309"/>
      <c r="CY21" s="310"/>
      <c r="CZ21" s="311"/>
      <c r="DA21" s="284"/>
      <c r="DB21" s="312"/>
      <c r="DC21" s="312"/>
      <c r="DD21" s="312"/>
      <c r="DE21" s="312"/>
      <c r="DF21" s="313"/>
      <c r="DG21" s="314"/>
      <c r="DH21" s="314"/>
      <c r="DI21" s="312"/>
      <c r="DJ21" s="315"/>
      <c r="DK21" s="314"/>
      <c r="DL21" s="316"/>
      <c r="DM21" s="316"/>
      <c r="FP21" s="316"/>
      <c r="FQ21" s="316"/>
      <c r="FR21" s="316"/>
      <c r="FS21" s="316"/>
      <c r="FT21" s="316"/>
      <c r="FU21" s="316"/>
      <c r="FV21" s="316"/>
      <c r="FW21" s="316"/>
      <c r="FX21" s="316"/>
      <c r="FY21" s="316"/>
      <c r="FZ21" s="316"/>
      <c r="GA21" s="316"/>
      <c r="GB21" s="316"/>
      <c r="GC21" s="316"/>
      <c r="GD21" s="316"/>
      <c r="GE21" s="316"/>
      <c r="GF21" s="316"/>
      <c r="GG21" s="316"/>
      <c r="GH21" s="316"/>
      <c r="GI21" s="316"/>
      <c r="GJ21" s="316"/>
      <c r="GK21" s="316"/>
      <c r="GL21" s="316"/>
      <c r="GM21" s="316"/>
      <c r="GN21" s="316"/>
      <c r="GO21" s="316"/>
      <c r="GP21" s="316"/>
      <c r="GQ21" s="316"/>
      <c r="GR21" s="316"/>
      <c r="GS21" s="316"/>
      <c r="GT21" s="316"/>
    </row>
    <row r="22" spans="1:202" s="308" customFormat="1" ht="42.75" customHeight="1" x14ac:dyDescent="0.2">
      <c r="A22" s="284"/>
      <c r="B22" s="322">
        <v>6</v>
      </c>
      <c r="C22" s="99"/>
      <c r="D22" s="99" t="s">
        <v>238</v>
      </c>
      <c r="E22" s="498" t="s">
        <v>255</v>
      </c>
      <c r="F22" s="499" t="s">
        <v>60</v>
      </c>
      <c r="G22" s="500" t="s">
        <v>195</v>
      </c>
      <c r="H22" s="500" t="s">
        <v>51</v>
      </c>
      <c r="I22" s="500" t="s">
        <v>42</v>
      </c>
      <c r="J22" s="98" t="s">
        <v>51</v>
      </c>
      <c r="K22" s="98">
        <v>1975</v>
      </c>
      <c r="L22" s="98" t="s">
        <v>79</v>
      </c>
      <c r="M22" s="98" t="s">
        <v>232</v>
      </c>
      <c r="N22" s="98"/>
      <c r="O22" s="98" t="e">
        <v>#N/A</v>
      </c>
      <c r="P22" s="98"/>
      <c r="Q22" s="498" t="e">
        <v>#N/A</v>
      </c>
      <c r="R22" s="681" t="s">
        <v>256</v>
      </c>
      <c r="S22" s="501" t="s">
        <v>147</v>
      </c>
      <c r="T22" s="502" t="s">
        <v>249</v>
      </c>
      <c r="U22" s="502" t="s">
        <v>250</v>
      </c>
      <c r="V22" s="503" t="s">
        <v>69</v>
      </c>
      <c r="W22" s="504" t="s">
        <v>74</v>
      </c>
      <c r="X22" s="505" t="s">
        <v>207</v>
      </c>
      <c r="Y22" s="506" t="s">
        <v>74</v>
      </c>
      <c r="Z22" s="505" t="s">
        <v>207</v>
      </c>
      <c r="AA22" s="507" t="s">
        <v>237</v>
      </c>
      <c r="AB22" s="508">
        <v>2</v>
      </c>
      <c r="AC22" s="437" t="s">
        <v>51</v>
      </c>
      <c r="AD22" s="51">
        <v>8</v>
      </c>
      <c r="AE22" s="509">
        <v>4.74</v>
      </c>
      <c r="AF22" s="510"/>
      <c r="AG22" s="51"/>
      <c r="AH22" s="511" t="s">
        <v>41</v>
      </c>
      <c r="AI22" s="512" t="s">
        <v>51</v>
      </c>
      <c r="AJ22" s="513" t="s">
        <v>47</v>
      </c>
      <c r="AK22" s="671" t="s">
        <v>51</v>
      </c>
      <c r="AL22" s="514">
        <v>2015</v>
      </c>
      <c r="AM22" s="515"/>
      <c r="AN22" s="516"/>
      <c r="AO22" s="517">
        <v>3</v>
      </c>
      <c r="AP22" s="518" t="s">
        <v>51</v>
      </c>
      <c r="AQ22" s="519">
        <v>8</v>
      </c>
      <c r="AR22" s="682">
        <v>5.08</v>
      </c>
      <c r="AS22" s="51"/>
      <c r="AT22" s="520" t="s">
        <v>41</v>
      </c>
      <c r="AU22" s="521" t="s">
        <v>51</v>
      </c>
      <c r="AV22" s="522" t="s">
        <v>47</v>
      </c>
      <c r="AW22" s="523" t="s">
        <v>51</v>
      </c>
      <c r="AX22" s="524">
        <v>2018</v>
      </c>
      <c r="AY22" s="527"/>
      <c r="AZ22" s="295"/>
      <c r="BA22" s="296"/>
      <c r="BB22" s="674"/>
      <c r="BC22" s="289"/>
      <c r="BD22" s="297"/>
      <c r="BE22" s="298"/>
      <c r="BF22" s="675"/>
      <c r="BG22" s="676"/>
      <c r="BH22" s="677"/>
      <c r="BI22" s="294"/>
      <c r="BJ22" s="675"/>
      <c r="BK22" s="675"/>
      <c r="BL22" s="294"/>
      <c r="BM22" s="678"/>
      <c r="BN22" s="300"/>
      <c r="BO22" s="679"/>
      <c r="BP22" s="300"/>
      <c r="BQ22" s="679"/>
      <c r="BR22" s="678"/>
      <c r="BS22" s="675"/>
      <c r="BT22" s="675"/>
      <c r="BU22" s="303"/>
      <c r="BV22" s="303"/>
      <c r="BW22" s="285"/>
      <c r="BX22" s="680"/>
      <c r="BY22" s="304"/>
      <c r="BZ22" s="305"/>
      <c r="CA22" s="284"/>
      <c r="CB22" s="306"/>
      <c r="CC22" s="306"/>
      <c r="CD22" s="284"/>
      <c r="CE22" s="307"/>
      <c r="CF22" s="284"/>
      <c r="CG22" s="284"/>
      <c r="CX22" s="309"/>
      <c r="CY22" s="310"/>
      <c r="CZ22" s="311"/>
      <c r="DA22" s="284"/>
      <c r="DB22" s="312"/>
      <c r="DC22" s="312"/>
      <c r="DD22" s="312"/>
      <c r="DE22" s="312"/>
      <c r="DF22" s="313"/>
      <c r="DG22" s="314"/>
      <c r="DH22" s="314"/>
      <c r="DI22" s="312"/>
      <c r="DJ22" s="315"/>
      <c r="DK22" s="314"/>
      <c r="DL22" s="316"/>
      <c r="DM22" s="316"/>
      <c r="FP22" s="316"/>
      <c r="FQ22" s="316"/>
      <c r="FR22" s="316"/>
      <c r="FS22" s="316"/>
      <c r="FT22" s="316"/>
      <c r="FU22" s="316"/>
      <c r="FV22" s="316"/>
      <c r="FW22" s="316"/>
      <c r="FX22" s="316"/>
      <c r="FY22" s="316"/>
      <c r="FZ22" s="316"/>
      <c r="GA22" s="316"/>
      <c r="GB22" s="316"/>
      <c r="GC22" s="316"/>
      <c r="GD22" s="316"/>
      <c r="GE22" s="316"/>
      <c r="GF22" s="316"/>
      <c r="GG22" s="316"/>
      <c r="GH22" s="316"/>
      <c r="GI22" s="316"/>
      <c r="GJ22" s="316"/>
      <c r="GK22" s="316"/>
      <c r="GL22" s="316"/>
      <c r="GM22" s="316"/>
      <c r="GN22" s="316"/>
      <c r="GO22" s="316"/>
      <c r="GP22" s="316"/>
      <c r="GQ22" s="316"/>
      <c r="GR22" s="316"/>
      <c r="GS22" s="316"/>
      <c r="GT22" s="316"/>
    </row>
    <row r="23" spans="1:202" s="308" customFormat="1" ht="42.75" customHeight="1" x14ac:dyDescent="0.2">
      <c r="A23" s="284"/>
      <c r="B23" s="322">
        <v>7</v>
      </c>
      <c r="C23" s="99"/>
      <c r="D23" s="99" t="s">
        <v>238</v>
      </c>
      <c r="E23" s="498" t="s">
        <v>197</v>
      </c>
      <c r="F23" s="499" t="s">
        <v>60</v>
      </c>
      <c r="G23" s="500" t="s">
        <v>41</v>
      </c>
      <c r="H23" s="500" t="s">
        <v>51</v>
      </c>
      <c r="I23" s="500" t="s">
        <v>56</v>
      </c>
      <c r="J23" s="98" t="s">
        <v>51</v>
      </c>
      <c r="K23" s="98" t="s">
        <v>154</v>
      </c>
      <c r="L23" s="98" t="s">
        <v>79</v>
      </c>
      <c r="M23" s="98" t="s">
        <v>232</v>
      </c>
      <c r="N23" s="98"/>
      <c r="O23" s="98" t="e">
        <v>#N/A</v>
      </c>
      <c r="P23" s="98"/>
      <c r="Q23" s="498" t="e">
        <v>#N/A</v>
      </c>
      <c r="R23" s="681" t="s">
        <v>198</v>
      </c>
      <c r="S23" s="501" t="s">
        <v>147</v>
      </c>
      <c r="T23" s="502" t="s">
        <v>249</v>
      </c>
      <c r="U23" s="502" t="s">
        <v>250</v>
      </c>
      <c r="V23" s="503" t="s">
        <v>69</v>
      </c>
      <c r="W23" s="504" t="s">
        <v>74</v>
      </c>
      <c r="X23" s="505" t="s">
        <v>207</v>
      </c>
      <c r="Y23" s="506" t="s">
        <v>74</v>
      </c>
      <c r="Z23" s="505" t="s">
        <v>207</v>
      </c>
      <c r="AA23" s="507" t="s">
        <v>237</v>
      </c>
      <c r="AB23" s="508">
        <v>2</v>
      </c>
      <c r="AC23" s="437" t="s">
        <v>51</v>
      </c>
      <c r="AD23" s="51">
        <v>8</v>
      </c>
      <c r="AE23" s="509">
        <v>4.74</v>
      </c>
      <c r="AF23" s="510"/>
      <c r="AG23" s="51"/>
      <c r="AH23" s="511" t="s">
        <v>41</v>
      </c>
      <c r="AI23" s="512" t="s">
        <v>51</v>
      </c>
      <c r="AJ23" s="513" t="s">
        <v>47</v>
      </c>
      <c r="AK23" s="671" t="s">
        <v>51</v>
      </c>
      <c r="AL23" s="514">
        <v>2015</v>
      </c>
      <c r="AM23" s="515"/>
      <c r="AN23" s="516"/>
      <c r="AO23" s="517">
        <v>3</v>
      </c>
      <c r="AP23" s="518" t="s">
        <v>51</v>
      </c>
      <c r="AQ23" s="519">
        <v>8</v>
      </c>
      <c r="AR23" s="682">
        <v>5.08</v>
      </c>
      <c r="AS23" s="51"/>
      <c r="AT23" s="520" t="s">
        <v>41</v>
      </c>
      <c r="AU23" s="521" t="s">
        <v>51</v>
      </c>
      <c r="AV23" s="522" t="s">
        <v>47</v>
      </c>
      <c r="AW23" s="523" t="s">
        <v>51</v>
      </c>
      <c r="AX23" s="524">
        <v>2018</v>
      </c>
      <c r="AY23" s="527"/>
      <c r="AZ23" s="295"/>
      <c r="BA23" s="296"/>
      <c r="BB23" s="674"/>
      <c r="BC23" s="289"/>
      <c r="BD23" s="297"/>
      <c r="BE23" s="298"/>
      <c r="BF23" s="675"/>
      <c r="BG23" s="676"/>
      <c r="BH23" s="677"/>
      <c r="BI23" s="294"/>
      <c r="BJ23" s="675"/>
      <c r="BK23" s="675"/>
      <c r="BL23" s="294"/>
      <c r="BM23" s="678"/>
      <c r="BN23" s="300"/>
      <c r="BO23" s="679"/>
      <c r="BP23" s="300"/>
      <c r="BQ23" s="679"/>
      <c r="BR23" s="678"/>
      <c r="BS23" s="675"/>
      <c r="BT23" s="675"/>
      <c r="BU23" s="303"/>
      <c r="BV23" s="303"/>
      <c r="BW23" s="285"/>
      <c r="BX23" s="680"/>
      <c r="BY23" s="304"/>
      <c r="BZ23" s="305"/>
      <c r="CA23" s="284"/>
      <c r="CB23" s="306"/>
      <c r="CC23" s="306"/>
      <c r="CD23" s="284"/>
      <c r="CE23" s="307"/>
      <c r="CF23" s="284"/>
      <c r="CG23" s="284"/>
      <c r="CX23" s="309"/>
      <c r="CY23" s="310"/>
      <c r="CZ23" s="311"/>
      <c r="DA23" s="284"/>
      <c r="DB23" s="312"/>
      <c r="DC23" s="312"/>
      <c r="DD23" s="312"/>
      <c r="DE23" s="312"/>
      <c r="DF23" s="313"/>
      <c r="DG23" s="314"/>
      <c r="DH23" s="314"/>
      <c r="DI23" s="312"/>
      <c r="DJ23" s="315"/>
      <c r="DK23" s="314"/>
      <c r="DL23" s="316"/>
      <c r="DM23" s="316"/>
      <c r="FP23" s="316"/>
      <c r="FQ23" s="316"/>
      <c r="FR23" s="316"/>
      <c r="FS23" s="316"/>
      <c r="FT23" s="316"/>
      <c r="FU23" s="316"/>
      <c r="FV23" s="316"/>
      <c r="FW23" s="316"/>
      <c r="FX23" s="316"/>
      <c r="FY23" s="316"/>
      <c r="FZ23" s="316"/>
      <c r="GA23" s="316"/>
      <c r="GB23" s="316"/>
      <c r="GC23" s="316"/>
      <c r="GD23" s="316"/>
      <c r="GE23" s="316"/>
      <c r="GF23" s="316"/>
      <c r="GG23" s="316"/>
      <c r="GH23" s="316"/>
      <c r="GI23" s="316"/>
      <c r="GJ23" s="316"/>
      <c r="GK23" s="316"/>
      <c r="GL23" s="316"/>
      <c r="GM23" s="316"/>
      <c r="GN23" s="316"/>
      <c r="GO23" s="316"/>
      <c r="GP23" s="316"/>
      <c r="GQ23" s="316"/>
      <c r="GR23" s="316"/>
      <c r="GS23" s="316"/>
      <c r="GT23" s="316"/>
    </row>
    <row r="24" spans="1:202" s="308" customFormat="1" ht="42.75" customHeight="1" x14ac:dyDescent="0.2">
      <c r="A24" s="284"/>
      <c r="B24" s="322">
        <v>8</v>
      </c>
      <c r="C24" s="99"/>
      <c r="D24" s="99" t="s">
        <v>230</v>
      </c>
      <c r="E24" s="498" t="s">
        <v>257</v>
      </c>
      <c r="F24" s="499" t="s">
        <v>61</v>
      </c>
      <c r="G24" s="500" t="s">
        <v>31</v>
      </c>
      <c r="H24" s="500" t="s">
        <v>51</v>
      </c>
      <c r="I24" s="500" t="s">
        <v>43</v>
      </c>
      <c r="J24" s="98" t="s">
        <v>51</v>
      </c>
      <c r="K24" s="98" t="s">
        <v>210</v>
      </c>
      <c r="L24" s="98" t="s">
        <v>79</v>
      </c>
      <c r="M24" s="98" t="s">
        <v>232</v>
      </c>
      <c r="N24" s="98"/>
      <c r="O24" s="98" t="s">
        <v>240</v>
      </c>
      <c r="P24" s="98" t="s">
        <v>145</v>
      </c>
      <c r="Q24" s="498">
        <v>0.6</v>
      </c>
      <c r="R24" s="681" t="s">
        <v>258</v>
      </c>
      <c r="S24" s="501" t="s">
        <v>134</v>
      </c>
      <c r="T24" s="502" t="s">
        <v>249</v>
      </c>
      <c r="U24" s="502" t="s">
        <v>250</v>
      </c>
      <c r="V24" s="503" t="s">
        <v>69</v>
      </c>
      <c r="W24" s="504" t="s">
        <v>74</v>
      </c>
      <c r="X24" s="505" t="s">
        <v>207</v>
      </c>
      <c r="Y24" s="506" t="s">
        <v>74</v>
      </c>
      <c r="Z24" s="505" t="s">
        <v>207</v>
      </c>
      <c r="AA24" s="507" t="s">
        <v>237</v>
      </c>
      <c r="AB24" s="508">
        <v>2</v>
      </c>
      <c r="AC24" s="437" t="s">
        <v>51</v>
      </c>
      <c r="AD24" s="51">
        <v>8</v>
      </c>
      <c r="AE24" s="509">
        <v>4.74</v>
      </c>
      <c r="AF24" s="510"/>
      <c r="AG24" s="51"/>
      <c r="AH24" s="511" t="s">
        <v>41</v>
      </c>
      <c r="AI24" s="512" t="s">
        <v>51</v>
      </c>
      <c r="AJ24" s="513" t="s">
        <v>47</v>
      </c>
      <c r="AK24" s="671" t="s">
        <v>51</v>
      </c>
      <c r="AL24" s="514">
        <v>2015</v>
      </c>
      <c r="AM24" s="515"/>
      <c r="AN24" s="516"/>
      <c r="AO24" s="517">
        <v>3</v>
      </c>
      <c r="AP24" s="518" t="s">
        <v>51</v>
      </c>
      <c r="AQ24" s="519">
        <v>8</v>
      </c>
      <c r="AR24" s="682">
        <v>5.08</v>
      </c>
      <c r="AS24" s="51"/>
      <c r="AT24" s="520" t="s">
        <v>41</v>
      </c>
      <c r="AU24" s="521" t="s">
        <v>51</v>
      </c>
      <c r="AV24" s="522" t="s">
        <v>47</v>
      </c>
      <c r="AW24" s="523" t="s">
        <v>51</v>
      </c>
      <c r="AX24" s="524">
        <v>2018</v>
      </c>
      <c r="AY24" s="527"/>
      <c r="AZ24" s="295"/>
      <c r="BA24" s="296"/>
      <c r="BB24" s="674"/>
      <c r="BC24" s="289"/>
      <c r="BD24" s="297"/>
      <c r="BE24" s="298"/>
      <c r="BF24" s="675"/>
      <c r="BG24" s="676"/>
      <c r="BH24" s="677"/>
      <c r="BI24" s="294"/>
      <c r="BJ24" s="675"/>
      <c r="BK24" s="675"/>
      <c r="BL24" s="294"/>
      <c r="BM24" s="678"/>
      <c r="BN24" s="300"/>
      <c r="BO24" s="679"/>
      <c r="BP24" s="300"/>
      <c r="BQ24" s="679"/>
      <c r="BR24" s="678"/>
      <c r="BS24" s="675"/>
      <c r="BT24" s="675"/>
      <c r="BU24" s="303"/>
      <c r="BV24" s="303"/>
      <c r="BW24" s="285"/>
      <c r="BX24" s="680"/>
      <c r="BY24" s="304"/>
      <c r="BZ24" s="305"/>
      <c r="CA24" s="284"/>
      <c r="CB24" s="306"/>
      <c r="CC24" s="306"/>
      <c r="CD24" s="284"/>
      <c r="CE24" s="307"/>
      <c r="CF24" s="284"/>
      <c r="CG24" s="284"/>
      <c r="CX24" s="309"/>
      <c r="CY24" s="310"/>
      <c r="CZ24" s="311"/>
      <c r="DA24" s="284"/>
      <c r="DB24" s="312"/>
      <c r="DC24" s="312"/>
      <c r="DD24" s="312"/>
      <c r="DE24" s="312"/>
      <c r="DF24" s="313"/>
      <c r="DG24" s="314"/>
      <c r="DH24" s="314"/>
      <c r="DI24" s="312"/>
      <c r="DJ24" s="315"/>
      <c r="DK24" s="314"/>
      <c r="DL24" s="316"/>
      <c r="DM24" s="316"/>
      <c r="FP24" s="316"/>
      <c r="FQ24" s="316"/>
      <c r="FR24" s="316"/>
      <c r="FS24" s="316"/>
      <c r="FT24" s="316"/>
      <c r="FU24" s="316"/>
      <c r="FV24" s="316"/>
      <c r="FW24" s="316"/>
      <c r="FX24" s="316"/>
      <c r="FY24" s="316"/>
      <c r="FZ24" s="316"/>
      <c r="GA24" s="316"/>
      <c r="GB24" s="316"/>
      <c r="GC24" s="316"/>
      <c r="GD24" s="316"/>
      <c r="GE24" s="316"/>
      <c r="GF24" s="316"/>
      <c r="GG24" s="316"/>
      <c r="GH24" s="316"/>
      <c r="GI24" s="316"/>
      <c r="GJ24" s="316"/>
      <c r="GK24" s="316"/>
      <c r="GL24" s="316"/>
      <c r="GM24" s="316"/>
      <c r="GN24" s="316"/>
      <c r="GO24" s="316"/>
      <c r="GP24" s="316"/>
      <c r="GQ24" s="316"/>
      <c r="GR24" s="316"/>
      <c r="GS24" s="316"/>
      <c r="GT24" s="316"/>
    </row>
    <row r="25" spans="1:202" s="308" customFormat="1" ht="42.75" customHeight="1" x14ac:dyDescent="0.2">
      <c r="A25" s="284"/>
      <c r="B25" s="322">
        <v>9</v>
      </c>
      <c r="C25" s="99" t="s">
        <v>259</v>
      </c>
      <c r="D25" s="99" t="s">
        <v>230</v>
      </c>
      <c r="E25" s="498" t="s">
        <v>260</v>
      </c>
      <c r="F25" s="499" t="s">
        <v>61</v>
      </c>
      <c r="G25" s="500" t="s">
        <v>38</v>
      </c>
      <c r="H25" s="500" t="s">
        <v>51</v>
      </c>
      <c r="I25" s="500" t="s">
        <v>56</v>
      </c>
      <c r="J25" s="98" t="s">
        <v>51</v>
      </c>
      <c r="K25" s="98">
        <v>1977</v>
      </c>
      <c r="L25" s="98" t="s">
        <v>77</v>
      </c>
      <c r="M25" s="98" t="s">
        <v>261</v>
      </c>
      <c r="N25" s="98"/>
      <c r="O25" s="98" t="e">
        <v>#N/A</v>
      </c>
      <c r="P25" s="98"/>
      <c r="Q25" s="498" t="e">
        <v>#N/A</v>
      </c>
      <c r="R25" s="681" t="s">
        <v>164</v>
      </c>
      <c r="S25" s="501" t="s">
        <v>134</v>
      </c>
      <c r="T25" s="502" t="s">
        <v>235</v>
      </c>
      <c r="U25" s="502" t="s">
        <v>236</v>
      </c>
      <c r="V25" s="503" t="s">
        <v>69</v>
      </c>
      <c r="W25" s="504" t="s">
        <v>73</v>
      </c>
      <c r="X25" s="505" t="s">
        <v>71</v>
      </c>
      <c r="Y25" s="506" t="s">
        <v>73</v>
      </c>
      <c r="Z25" s="505" t="s">
        <v>71</v>
      </c>
      <c r="AA25" s="507" t="s">
        <v>237</v>
      </c>
      <c r="AB25" s="508">
        <v>2</v>
      </c>
      <c r="AC25" s="437" t="s">
        <v>51</v>
      </c>
      <c r="AD25" s="51">
        <v>9</v>
      </c>
      <c r="AE25" s="509">
        <v>2.67</v>
      </c>
      <c r="AF25" s="510"/>
      <c r="AG25" s="51"/>
      <c r="AH25" s="511" t="s">
        <v>41</v>
      </c>
      <c r="AI25" s="512" t="s">
        <v>51</v>
      </c>
      <c r="AJ25" s="513" t="s">
        <v>47</v>
      </c>
      <c r="AK25" s="671" t="s">
        <v>51</v>
      </c>
      <c r="AL25" s="514">
        <v>2015</v>
      </c>
      <c r="AM25" s="515"/>
      <c r="AN25" s="516"/>
      <c r="AO25" s="517">
        <v>3</v>
      </c>
      <c r="AP25" s="518" t="s">
        <v>51</v>
      </c>
      <c r="AQ25" s="519">
        <v>9</v>
      </c>
      <c r="AR25" s="682">
        <v>3</v>
      </c>
      <c r="AS25" s="51"/>
      <c r="AT25" s="520" t="s">
        <v>41</v>
      </c>
      <c r="AU25" s="521" t="s">
        <v>51</v>
      </c>
      <c r="AV25" s="522" t="s">
        <v>47</v>
      </c>
      <c r="AW25" s="523" t="s">
        <v>51</v>
      </c>
      <c r="AX25" s="524">
        <v>2018</v>
      </c>
      <c r="AY25" s="527"/>
      <c r="AZ25" s="295"/>
      <c r="BA25" s="296"/>
      <c r="BB25" s="674"/>
      <c r="BC25" s="289"/>
      <c r="BD25" s="297"/>
      <c r="BE25" s="298"/>
      <c r="BF25" s="675"/>
      <c r="BG25" s="676"/>
      <c r="BH25" s="677"/>
      <c r="BI25" s="294"/>
      <c r="BJ25" s="675"/>
      <c r="BK25" s="675"/>
      <c r="BL25" s="294"/>
      <c r="BM25" s="678"/>
      <c r="BN25" s="300"/>
      <c r="BO25" s="679"/>
      <c r="BP25" s="300"/>
      <c r="BQ25" s="679"/>
      <c r="BR25" s="678"/>
      <c r="BS25" s="675"/>
      <c r="BT25" s="675"/>
      <c r="BU25" s="303"/>
      <c r="BV25" s="303"/>
      <c r="BW25" s="285"/>
      <c r="BX25" s="680"/>
      <c r="BY25" s="304"/>
      <c r="BZ25" s="305"/>
      <c r="CA25" s="284"/>
      <c r="CB25" s="306"/>
      <c r="CC25" s="306"/>
      <c r="CD25" s="284"/>
      <c r="CE25" s="307"/>
      <c r="CF25" s="284"/>
      <c r="CG25" s="284"/>
      <c r="CX25" s="309"/>
      <c r="CY25" s="310"/>
      <c r="CZ25" s="311"/>
      <c r="DA25" s="284"/>
      <c r="DB25" s="312"/>
      <c r="DC25" s="312"/>
      <c r="DD25" s="312"/>
      <c r="DE25" s="312"/>
      <c r="DF25" s="313"/>
      <c r="DG25" s="314"/>
      <c r="DH25" s="314"/>
      <c r="DI25" s="312"/>
      <c r="DJ25" s="315"/>
      <c r="DK25" s="314"/>
      <c r="DL25" s="316"/>
      <c r="DM25" s="316"/>
      <c r="FP25" s="316"/>
      <c r="FQ25" s="316"/>
      <c r="FR25" s="316"/>
      <c r="FS25" s="316"/>
      <c r="FT25" s="316"/>
      <c r="FU25" s="316"/>
      <c r="FV25" s="316"/>
      <c r="FW25" s="316"/>
      <c r="FX25" s="316"/>
      <c r="FY25" s="316"/>
      <c r="FZ25" s="316"/>
      <c r="GA25" s="316"/>
      <c r="GB25" s="316"/>
      <c r="GC25" s="316"/>
      <c r="GD25" s="316"/>
      <c r="GE25" s="316"/>
      <c r="GF25" s="316"/>
      <c r="GG25" s="316"/>
      <c r="GH25" s="316"/>
      <c r="GI25" s="316"/>
      <c r="GJ25" s="316"/>
      <c r="GK25" s="316"/>
      <c r="GL25" s="316"/>
      <c r="GM25" s="316"/>
      <c r="GN25" s="316"/>
      <c r="GO25" s="316"/>
      <c r="GP25" s="316"/>
      <c r="GQ25" s="316"/>
      <c r="GR25" s="316"/>
      <c r="GS25" s="316"/>
      <c r="GT25" s="316"/>
    </row>
    <row r="26" spans="1:202" s="308" customFormat="1" ht="42.75" customHeight="1" x14ac:dyDescent="0.2">
      <c r="A26" s="284"/>
      <c r="B26" s="322">
        <v>10</v>
      </c>
      <c r="C26" s="99"/>
      <c r="D26" s="99" t="s">
        <v>238</v>
      </c>
      <c r="E26" s="498" t="s">
        <v>262</v>
      </c>
      <c r="F26" s="499" t="s">
        <v>60</v>
      </c>
      <c r="G26" s="500" t="s">
        <v>195</v>
      </c>
      <c r="H26" s="500" t="s">
        <v>51</v>
      </c>
      <c r="I26" s="500" t="s">
        <v>43</v>
      </c>
      <c r="J26" s="98" t="s">
        <v>51</v>
      </c>
      <c r="K26" s="98">
        <v>1988</v>
      </c>
      <c r="L26" s="98" t="s">
        <v>77</v>
      </c>
      <c r="M26" s="98" t="s">
        <v>261</v>
      </c>
      <c r="N26" s="98"/>
      <c r="O26" s="98" t="e">
        <v>#N/A</v>
      </c>
      <c r="P26" s="98"/>
      <c r="Q26" s="498" t="e">
        <v>#N/A</v>
      </c>
      <c r="R26" s="681" t="s">
        <v>263</v>
      </c>
      <c r="S26" s="501" t="s">
        <v>134</v>
      </c>
      <c r="T26" s="502" t="s">
        <v>235</v>
      </c>
      <c r="U26" s="502" t="s">
        <v>236</v>
      </c>
      <c r="V26" s="503" t="s">
        <v>69</v>
      </c>
      <c r="W26" s="504" t="s">
        <v>73</v>
      </c>
      <c r="X26" s="505" t="s">
        <v>71</v>
      </c>
      <c r="Y26" s="506" t="s">
        <v>73</v>
      </c>
      <c r="Z26" s="505" t="s">
        <v>71</v>
      </c>
      <c r="AA26" s="507" t="s">
        <v>237</v>
      </c>
      <c r="AB26" s="508">
        <v>2</v>
      </c>
      <c r="AC26" s="437" t="s">
        <v>51</v>
      </c>
      <c r="AD26" s="51">
        <v>9</v>
      </c>
      <c r="AE26" s="509">
        <v>2.67</v>
      </c>
      <c r="AF26" s="510"/>
      <c r="AG26" s="51"/>
      <c r="AH26" s="511" t="s">
        <v>41</v>
      </c>
      <c r="AI26" s="512" t="s">
        <v>51</v>
      </c>
      <c r="AJ26" s="513" t="s">
        <v>47</v>
      </c>
      <c r="AK26" s="671" t="s">
        <v>51</v>
      </c>
      <c r="AL26" s="514">
        <v>2015</v>
      </c>
      <c r="AM26" s="515"/>
      <c r="AN26" s="516"/>
      <c r="AO26" s="517">
        <v>3</v>
      </c>
      <c r="AP26" s="518" t="s">
        <v>51</v>
      </c>
      <c r="AQ26" s="519">
        <v>9</v>
      </c>
      <c r="AR26" s="682">
        <v>3</v>
      </c>
      <c r="AS26" s="51"/>
      <c r="AT26" s="520" t="s">
        <v>41</v>
      </c>
      <c r="AU26" s="521" t="s">
        <v>51</v>
      </c>
      <c r="AV26" s="522" t="s">
        <v>47</v>
      </c>
      <c r="AW26" s="523" t="s">
        <v>51</v>
      </c>
      <c r="AX26" s="524">
        <v>2018</v>
      </c>
      <c r="AY26" s="527"/>
      <c r="AZ26" s="295"/>
      <c r="BA26" s="296"/>
      <c r="BB26" s="674"/>
      <c r="BC26" s="289"/>
      <c r="BD26" s="297"/>
      <c r="BE26" s="298"/>
      <c r="BF26" s="675"/>
      <c r="BG26" s="676"/>
      <c r="BH26" s="677"/>
      <c r="BI26" s="294"/>
      <c r="BJ26" s="675"/>
      <c r="BK26" s="675"/>
      <c r="BL26" s="294"/>
      <c r="BM26" s="678"/>
      <c r="BN26" s="300"/>
      <c r="BO26" s="679"/>
      <c r="BP26" s="300"/>
      <c r="BQ26" s="679"/>
      <c r="BR26" s="678"/>
      <c r="BS26" s="675"/>
      <c r="BT26" s="675"/>
      <c r="BU26" s="303"/>
      <c r="BV26" s="303"/>
      <c r="BW26" s="285"/>
      <c r="BX26" s="680"/>
      <c r="BY26" s="304"/>
      <c r="BZ26" s="305"/>
      <c r="CA26" s="284"/>
      <c r="CB26" s="306"/>
      <c r="CC26" s="306"/>
      <c r="CD26" s="284"/>
      <c r="CE26" s="307"/>
      <c r="CF26" s="284"/>
      <c r="CG26" s="284"/>
      <c r="CX26" s="309"/>
      <c r="CY26" s="310"/>
      <c r="CZ26" s="311"/>
      <c r="DA26" s="284"/>
      <c r="DB26" s="312"/>
      <c r="DC26" s="312"/>
      <c r="DD26" s="312"/>
      <c r="DE26" s="312"/>
      <c r="DF26" s="313"/>
      <c r="DG26" s="314"/>
      <c r="DH26" s="314"/>
      <c r="DI26" s="312"/>
      <c r="DJ26" s="315"/>
      <c r="DK26" s="314"/>
      <c r="DL26" s="316"/>
      <c r="DM26" s="316"/>
      <c r="FP26" s="316"/>
      <c r="FQ26" s="316"/>
      <c r="FR26" s="316"/>
      <c r="FS26" s="316"/>
      <c r="FT26" s="316"/>
      <c r="FU26" s="316"/>
      <c r="FV26" s="316"/>
      <c r="FW26" s="316"/>
      <c r="FX26" s="316"/>
      <c r="FY26" s="316"/>
      <c r="FZ26" s="316"/>
      <c r="GA26" s="316"/>
      <c r="GB26" s="316"/>
      <c r="GC26" s="316"/>
      <c r="GD26" s="316"/>
      <c r="GE26" s="316"/>
      <c r="GF26" s="316"/>
      <c r="GG26" s="316"/>
      <c r="GH26" s="316"/>
      <c r="GI26" s="316"/>
      <c r="GJ26" s="316"/>
      <c r="GK26" s="316"/>
      <c r="GL26" s="316"/>
      <c r="GM26" s="316"/>
      <c r="GN26" s="316"/>
      <c r="GO26" s="316"/>
      <c r="GP26" s="316"/>
      <c r="GQ26" s="316"/>
      <c r="GR26" s="316"/>
      <c r="GS26" s="316"/>
      <c r="GT26" s="316"/>
    </row>
    <row r="27" spans="1:202" s="308" customFormat="1" ht="42.75" customHeight="1" x14ac:dyDescent="0.2">
      <c r="A27" s="284"/>
      <c r="B27" s="322">
        <v>11</v>
      </c>
      <c r="C27" s="99"/>
      <c r="D27" s="99" t="s">
        <v>230</v>
      </c>
      <c r="E27" s="498" t="s">
        <v>264</v>
      </c>
      <c r="F27" s="499" t="s">
        <v>61</v>
      </c>
      <c r="G27" s="500" t="s">
        <v>55</v>
      </c>
      <c r="H27" s="500" t="s">
        <v>51</v>
      </c>
      <c r="I27" s="500" t="s">
        <v>47</v>
      </c>
      <c r="J27" s="98" t="s">
        <v>51</v>
      </c>
      <c r="K27" s="98" t="s">
        <v>265</v>
      </c>
      <c r="L27" s="98" t="s">
        <v>79</v>
      </c>
      <c r="M27" s="98" t="s">
        <v>232</v>
      </c>
      <c r="N27" s="98"/>
      <c r="O27" s="98" t="e">
        <v>#N/A</v>
      </c>
      <c r="P27" s="98"/>
      <c r="Q27" s="498" t="e">
        <v>#N/A</v>
      </c>
      <c r="R27" s="681" t="s">
        <v>226</v>
      </c>
      <c r="S27" s="501" t="s">
        <v>6</v>
      </c>
      <c r="T27" s="502" t="s">
        <v>249</v>
      </c>
      <c r="U27" s="502" t="s">
        <v>250</v>
      </c>
      <c r="V27" s="503" t="s">
        <v>69</v>
      </c>
      <c r="W27" s="504" t="s">
        <v>74</v>
      </c>
      <c r="X27" s="505" t="s">
        <v>207</v>
      </c>
      <c r="Y27" s="506" t="s">
        <v>74</v>
      </c>
      <c r="Z27" s="505" t="s">
        <v>207</v>
      </c>
      <c r="AA27" s="507" t="s">
        <v>237</v>
      </c>
      <c r="AB27" s="508">
        <v>2</v>
      </c>
      <c r="AC27" s="437" t="s">
        <v>51</v>
      </c>
      <c r="AD27" s="51">
        <v>8</v>
      </c>
      <c r="AE27" s="509">
        <v>4.74</v>
      </c>
      <c r="AF27" s="510"/>
      <c r="AG27" s="51"/>
      <c r="AH27" s="511" t="s">
        <v>41</v>
      </c>
      <c r="AI27" s="512" t="s">
        <v>51</v>
      </c>
      <c r="AJ27" s="513" t="s">
        <v>47</v>
      </c>
      <c r="AK27" s="671" t="s">
        <v>51</v>
      </c>
      <c r="AL27" s="514">
        <v>2015</v>
      </c>
      <c r="AM27" s="515"/>
      <c r="AN27" s="516"/>
      <c r="AO27" s="517">
        <v>3</v>
      </c>
      <c r="AP27" s="518" t="s">
        <v>51</v>
      </c>
      <c r="AQ27" s="519">
        <v>8</v>
      </c>
      <c r="AR27" s="682">
        <v>5.08</v>
      </c>
      <c r="AS27" s="51"/>
      <c r="AT27" s="520" t="s">
        <v>41</v>
      </c>
      <c r="AU27" s="521" t="s">
        <v>51</v>
      </c>
      <c r="AV27" s="522" t="s">
        <v>47</v>
      </c>
      <c r="AW27" s="523" t="s">
        <v>51</v>
      </c>
      <c r="AX27" s="524">
        <v>2018</v>
      </c>
      <c r="AY27" s="527"/>
      <c r="AZ27" s="295"/>
      <c r="BA27" s="296"/>
      <c r="BB27" s="674"/>
      <c r="BC27" s="289"/>
      <c r="BD27" s="297"/>
      <c r="BE27" s="298"/>
      <c r="BF27" s="675"/>
      <c r="BG27" s="676"/>
      <c r="BH27" s="677"/>
      <c r="BI27" s="294"/>
      <c r="BJ27" s="675"/>
      <c r="BK27" s="675"/>
      <c r="BL27" s="294"/>
      <c r="BM27" s="678"/>
      <c r="BN27" s="300"/>
      <c r="BO27" s="679"/>
      <c r="BP27" s="300"/>
      <c r="BQ27" s="679"/>
      <c r="BR27" s="678"/>
      <c r="BS27" s="675"/>
      <c r="BT27" s="675"/>
      <c r="BU27" s="303"/>
      <c r="BV27" s="303"/>
      <c r="BW27" s="285"/>
      <c r="BX27" s="680"/>
      <c r="BY27" s="304"/>
      <c r="BZ27" s="305"/>
      <c r="CA27" s="284"/>
      <c r="CB27" s="306"/>
      <c r="CC27" s="306"/>
      <c r="CD27" s="284"/>
      <c r="CE27" s="307"/>
      <c r="CF27" s="284"/>
      <c r="CG27" s="284"/>
      <c r="CX27" s="309"/>
      <c r="CY27" s="310"/>
      <c r="CZ27" s="311"/>
      <c r="DA27" s="284"/>
      <c r="DB27" s="312"/>
      <c r="DC27" s="312"/>
      <c r="DD27" s="312"/>
      <c r="DE27" s="312"/>
      <c r="DF27" s="313"/>
      <c r="DG27" s="314"/>
      <c r="DH27" s="314"/>
      <c r="DI27" s="312"/>
      <c r="DJ27" s="315"/>
      <c r="DK27" s="314"/>
      <c r="DL27" s="316"/>
      <c r="DM27" s="316"/>
      <c r="FP27" s="316"/>
      <c r="FQ27" s="316"/>
      <c r="FR27" s="316"/>
      <c r="FS27" s="316"/>
      <c r="FT27" s="316"/>
      <c r="FU27" s="316"/>
      <c r="FV27" s="316"/>
      <c r="FW27" s="316"/>
      <c r="FX27" s="316"/>
      <c r="FY27" s="316"/>
      <c r="FZ27" s="316"/>
      <c r="GA27" s="316"/>
      <c r="GB27" s="316"/>
      <c r="GC27" s="316"/>
      <c r="GD27" s="316"/>
      <c r="GE27" s="316"/>
      <c r="GF27" s="316"/>
      <c r="GG27" s="316"/>
      <c r="GH27" s="316"/>
      <c r="GI27" s="316"/>
      <c r="GJ27" s="316"/>
      <c r="GK27" s="316"/>
      <c r="GL27" s="316"/>
      <c r="GM27" s="316"/>
      <c r="GN27" s="316"/>
      <c r="GO27" s="316"/>
      <c r="GP27" s="316"/>
      <c r="GQ27" s="316"/>
      <c r="GR27" s="316"/>
      <c r="GS27" s="316"/>
      <c r="GT27" s="316"/>
    </row>
    <row r="28" spans="1:202" s="308" customFormat="1" ht="42.75" customHeight="1" x14ac:dyDescent="0.2">
      <c r="A28" s="284"/>
      <c r="B28" s="322">
        <v>12</v>
      </c>
      <c r="C28" s="99"/>
      <c r="D28" s="99" t="s">
        <v>238</v>
      </c>
      <c r="E28" s="498" t="s">
        <v>266</v>
      </c>
      <c r="F28" s="499" t="s">
        <v>60</v>
      </c>
      <c r="G28" s="500" t="s">
        <v>209</v>
      </c>
      <c r="H28" s="500" t="s">
        <v>51</v>
      </c>
      <c r="I28" s="500" t="s">
        <v>47</v>
      </c>
      <c r="J28" s="98" t="s">
        <v>51</v>
      </c>
      <c r="K28" s="98" t="s">
        <v>129</v>
      </c>
      <c r="L28" s="98" t="s">
        <v>79</v>
      </c>
      <c r="M28" s="98" t="s">
        <v>232</v>
      </c>
      <c r="N28" s="98"/>
      <c r="O28" s="98" t="e">
        <v>#N/A</v>
      </c>
      <c r="P28" s="98"/>
      <c r="Q28" s="498" t="e">
        <v>#N/A</v>
      </c>
      <c r="R28" s="681"/>
      <c r="S28" s="501" t="s">
        <v>6</v>
      </c>
      <c r="T28" s="502" t="s">
        <v>235</v>
      </c>
      <c r="U28" s="502" t="s">
        <v>236</v>
      </c>
      <c r="V28" s="503" t="s">
        <v>70</v>
      </c>
      <c r="W28" s="504" t="s">
        <v>40</v>
      </c>
      <c r="X28" s="505" t="s">
        <v>11</v>
      </c>
      <c r="Y28" s="506" t="s">
        <v>40</v>
      </c>
      <c r="Z28" s="505" t="s">
        <v>11</v>
      </c>
      <c r="AA28" s="507" t="s">
        <v>237</v>
      </c>
      <c r="AB28" s="508">
        <v>4</v>
      </c>
      <c r="AC28" s="437" t="s">
        <v>51</v>
      </c>
      <c r="AD28" s="51">
        <v>9</v>
      </c>
      <c r="AE28" s="509">
        <v>3.33</v>
      </c>
      <c r="AF28" s="510"/>
      <c r="AG28" s="51"/>
      <c r="AH28" s="511" t="s">
        <v>41</v>
      </c>
      <c r="AI28" s="512" t="s">
        <v>51</v>
      </c>
      <c r="AJ28" s="513" t="s">
        <v>58</v>
      </c>
      <c r="AK28" s="671" t="s">
        <v>51</v>
      </c>
      <c r="AL28" s="514">
        <v>2015</v>
      </c>
      <c r="AM28" s="515">
        <v>3</v>
      </c>
      <c r="AN28" s="516" t="s">
        <v>267</v>
      </c>
      <c r="AO28" s="517">
        <v>5</v>
      </c>
      <c r="AP28" s="518" t="s">
        <v>51</v>
      </c>
      <c r="AQ28" s="519">
        <v>9</v>
      </c>
      <c r="AR28" s="682">
        <v>3.66</v>
      </c>
      <c r="AS28" s="51"/>
      <c r="AT28" s="520" t="s">
        <v>41</v>
      </c>
      <c r="AU28" s="521" t="s">
        <v>51</v>
      </c>
      <c r="AV28" s="522" t="s">
        <v>58</v>
      </c>
      <c r="AW28" s="523" t="s">
        <v>51</v>
      </c>
      <c r="AX28" s="524">
        <v>2018</v>
      </c>
      <c r="AY28" s="527"/>
      <c r="AZ28" s="295"/>
      <c r="BA28" s="296"/>
      <c r="BB28" s="674"/>
      <c r="BC28" s="289"/>
      <c r="BD28" s="297"/>
      <c r="BE28" s="298"/>
      <c r="BF28" s="675"/>
      <c r="BG28" s="676"/>
      <c r="BH28" s="677"/>
      <c r="BI28" s="294"/>
      <c r="BJ28" s="675"/>
      <c r="BK28" s="675"/>
      <c r="BL28" s="294"/>
      <c r="BM28" s="678"/>
      <c r="BN28" s="300"/>
      <c r="BO28" s="679"/>
      <c r="BP28" s="300"/>
      <c r="BQ28" s="679"/>
      <c r="BR28" s="678"/>
      <c r="BS28" s="675"/>
      <c r="BT28" s="675"/>
      <c r="BU28" s="303"/>
      <c r="BV28" s="303"/>
      <c r="BW28" s="285"/>
      <c r="BX28" s="680"/>
      <c r="BY28" s="304"/>
      <c r="BZ28" s="305"/>
      <c r="CA28" s="284"/>
      <c r="CB28" s="306"/>
      <c r="CC28" s="306"/>
      <c r="CD28" s="284"/>
      <c r="CE28" s="307"/>
      <c r="CF28" s="284"/>
      <c r="CG28" s="284"/>
      <c r="CX28" s="309"/>
      <c r="CY28" s="310"/>
      <c r="CZ28" s="311"/>
      <c r="DA28" s="284"/>
      <c r="DB28" s="312"/>
      <c r="DC28" s="312"/>
      <c r="DD28" s="312"/>
      <c r="DE28" s="312"/>
      <c r="DF28" s="313"/>
      <c r="DG28" s="314"/>
      <c r="DH28" s="314"/>
      <c r="DI28" s="312"/>
      <c r="DJ28" s="315"/>
      <c r="DK28" s="314"/>
      <c r="DL28" s="316"/>
      <c r="DM28" s="316"/>
      <c r="FP28" s="316"/>
      <c r="FQ28" s="316"/>
      <c r="FR28" s="316"/>
      <c r="FS28" s="316"/>
      <c r="FT28" s="316"/>
      <c r="FU28" s="316"/>
      <c r="FV28" s="316"/>
      <c r="FW28" s="316"/>
      <c r="FX28" s="316"/>
      <c r="FY28" s="316"/>
      <c r="FZ28" s="316"/>
      <c r="GA28" s="316"/>
      <c r="GB28" s="316"/>
      <c r="GC28" s="316"/>
      <c r="GD28" s="316"/>
      <c r="GE28" s="316"/>
      <c r="GF28" s="316"/>
      <c r="GG28" s="316"/>
      <c r="GH28" s="316"/>
      <c r="GI28" s="316"/>
      <c r="GJ28" s="316"/>
      <c r="GK28" s="316"/>
      <c r="GL28" s="316"/>
      <c r="GM28" s="316"/>
      <c r="GN28" s="316"/>
      <c r="GO28" s="316"/>
      <c r="GP28" s="316"/>
      <c r="GQ28" s="316"/>
      <c r="GR28" s="316"/>
      <c r="GS28" s="316"/>
      <c r="GT28" s="316"/>
    </row>
    <row r="29" spans="1:202" s="308" customFormat="1" ht="42.75" customHeight="1" x14ac:dyDescent="0.2">
      <c r="A29" s="284"/>
      <c r="B29" s="322">
        <v>13</v>
      </c>
      <c r="C29" s="99"/>
      <c r="D29" s="99" t="s">
        <v>230</v>
      </c>
      <c r="E29" s="498" t="s">
        <v>268</v>
      </c>
      <c r="F29" s="499" t="s">
        <v>61</v>
      </c>
      <c r="G29" s="500" t="s">
        <v>41</v>
      </c>
      <c r="H29" s="500" t="s">
        <v>51</v>
      </c>
      <c r="I29" s="500" t="s">
        <v>58</v>
      </c>
      <c r="J29" s="98" t="s">
        <v>51</v>
      </c>
      <c r="K29" s="98">
        <v>1982</v>
      </c>
      <c r="L29" s="98" t="s">
        <v>79</v>
      </c>
      <c r="M29" s="98" t="s">
        <v>232</v>
      </c>
      <c r="N29" s="98"/>
      <c r="O29" s="98" t="e">
        <v>#N/A</v>
      </c>
      <c r="P29" s="98"/>
      <c r="Q29" s="498" t="e">
        <v>#N/A</v>
      </c>
      <c r="R29" s="681" t="s">
        <v>269</v>
      </c>
      <c r="S29" s="501" t="s">
        <v>167</v>
      </c>
      <c r="T29" s="502" t="s">
        <v>235</v>
      </c>
      <c r="U29" s="502" t="s">
        <v>236</v>
      </c>
      <c r="V29" s="503" t="s">
        <v>70</v>
      </c>
      <c r="W29" s="504" t="s">
        <v>40</v>
      </c>
      <c r="X29" s="505" t="s">
        <v>11</v>
      </c>
      <c r="Y29" s="506" t="s">
        <v>40</v>
      </c>
      <c r="Z29" s="505" t="s">
        <v>11</v>
      </c>
      <c r="AA29" s="507" t="s">
        <v>237</v>
      </c>
      <c r="AB29" s="508">
        <v>4</v>
      </c>
      <c r="AC29" s="437" t="s">
        <v>51</v>
      </c>
      <c r="AD29" s="51">
        <v>9</v>
      </c>
      <c r="AE29" s="509">
        <v>3.33</v>
      </c>
      <c r="AF29" s="510"/>
      <c r="AG29" s="51"/>
      <c r="AH29" s="511" t="s">
        <v>41</v>
      </c>
      <c r="AI29" s="512" t="s">
        <v>51</v>
      </c>
      <c r="AJ29" s="513" t="s">
        <v>47</v>
      </c>
      <c r="AK29" s="671" t="s">
        <v>51</v>
      </c>
      <c r="AL29" s="514">
        <v>2015</v>
      </c>
      <c r="AM29" s="515"/>
      <c r="AN29" s="516"/>
      <c r="AO29" s="517">
        <v>5</v>
      </c>
      <c r="AP29" s="518" t="s">
        <v>51</v>
      </c>
      <c r="AQ29" s="519">
        <v>9</v>
      </c>
      <c r="AR29" s="682">
        <v>3.66</v>
      </c>
      <c r="AS29" s="51"/>
      <c r="AT29" s="520" t="s">
        <v>41</v>
      </c>
      <c r="AU29" s="521" t="s">
        <v>51</v>
      </c>
      <c r="AV29" s="522" t="s">
        <v>47</v>
      </c>
      <c r="AW29" s="523" t="s">
        <v>51</v>
      </c>
      <c r="AX29" s="524">
        <v>2018</v>
      </c>
      <c r="AY29" s="527"/>
      <c r="AZ29" s="295"/>
      <c r="BA29" s="296"/>
      <c r="BB29" s="674"/>
      <c r="BC29" s="289"/>
      <c r="BD29" s="297"/>
      <c r="BE29" s="298"/>
      <c r="BF29" s="675"/>
      <c r="BG29" s="676"/>
      <c r="BH29" s="677"/>
      <c r="BI29" s="294"/>
      <c r="BJ29" s="675"/>
      <c r="BK29" s="675"/>
      <c r="BL29" s="294"/>
      <c r="BM29" s="678"/>
      <c r="BN29" s="300"/>
      <c r="BO29" s="679"/>
      <c r="BP29" s="300"/>
      <c r="BQ29" s="679"/>
      <c r="BR29" s="678"/>
      <c r="BS29" s="675"/>
      <c r="BT29" s="675"/>
      <c r="BU29" s="303"/>
      <c r="BV29" s="303"/>
      <c r="BW29" s="285"/>
      <c r="BX29" s="680"/>
      <c r="BY29" s="304"/>
      <c r="BZ29" s="305"/>
      <c r="CA29" s="284"/>
      <c r="CB29" s="306"/>
      <c r="CC29" s="306"/>
      <c r="CD29" s="284"/>
      <c r="CE29" s="307"/>
      <c r="CF29" s="284"/>
      <c r="CG29" s="284"/>
      <c r="CX29" s="309"/>
      <c r="CY29" s="310"/>
      <c r="CZ29" s="311"/>
      <c r="DA29" s="284"/>
      <c r="DB29" s="312"/>
      <c r="DC29" s="312"/>
      <c r="DD29" s="312"/>
      <c r="DE29" s="312"/>
      <c r="DF29" s="313"/>
      <c r="DG29" s="314"/>
      <c r="DH29" s="314"/>
      <c r="DI29" s="312"/>
      <c r="DJ29" s="315"/>
      <c r="DK29" s="314"/>
      <c r="DL29" s="316"/>
      <c r="DM29" s="316"/>
      <c r="FP29" s="316"/>
      <c r="FQ29" s="316"/>
      <c r="FR29" s="316"/>
      <c r="FS29" s="316"/>
      <c r="FT29" s="316"/>
      <c r="FU29" s="316"/>
      <c r="FV29" s="316"/>
      <c r="FW29" s="316"/>
      <c r="FX29" s="316"/>
      <c r="FY29" s="316"/>
      <c r="FZ29" s="316"/>
      <c r="GA29" s="316"/>
      <c r="GB29" s="316"/>
      <c r="GC29" s="316"/>
      <c r="GD29" s="316"/>
      <c r="GE29" s="316"/>
      <c r="GF29" s="316"/>
      <c r="GG29" s="316"/>
      <c r="GH29" s="316"/>
      <c r="GI29" s="316"/>
      <c r="GJ29" s="316"/>
      <c r="GK29" s="316"/>
      <c r="GL29" s="316"/>
      <c r="GM29" s="316"/>
      <c r="GN29" s="316"/>
      <c r="GO29" s="316"/>
      <c r="GP29" s="316"/>
      <c r="GQ29" s="316"/>
      <c r="GR29" s="316"/>
      <c r="GS29" s="316"/>
      <c r="GT29" s="316"/>
    </row>
    <row r="30" spans="1:202" s="132" customFormat="1" ht="42.75" customHeight="1" x14ac:dyDescent="0.2">
      <c r="A30" s="496">
        <v>57</v>
      </c>
      <c r="B30" s="322">
        <v>14</v>
      </c>
      <c r="C30" s="99"/>
      <c r="D30" s="99" t="s">
        <v>230</v>
      </c>
      <c r="E30" s="498" t="s">
        <v>270</v>
      </c>
      <c r="F30" s="499" t="s">
        <v>61</v>
      </c>
      <c r="G30" s="500" t="s">
        <v>178</v>
      </c>
      <c r="H30" s="500" t="s">
        <v>51</v>
      </c>
      <c r="I30" s="500" t="s">
        <v>41</v>
      </c>
      <c r="J30" s="98" t="s">
        <v>51</v>
      </c>
      <c r="K30" s="98">
        <v>1981</v>
      </c>
      <c r="L30" s="98" t="s">
        <v>77</v>
      </c>
      <c r="M30" s="98" t="s">
        <v>261</v>
      </c>
      <c r="N30" s="98"/>
      <c r="O30" s="98" t="e">
        <v>#N/A</v>
      </c>
      <c r="P30" s="98"/>
      <c r="Q30" s="498" t="e">
        <v>#N/A</v>
      </c>
      <c r="R30" s="681" t="s">
        <v>269</v>
      </c>
      <c r="S30" s="501" t="s">
        <v>167</v>
      </c>
      <c r="T30" s="502" t="s">
        <v>235</v>
      </c>
      <c r="U30" s="502" t="s">
        <v>236</v>
      </c>
      <c r="V30" s="503" t="s">
        <v>70</v>
      </c>
      <c r="W30" s="504" t="s">
        <v>40</v>
      </c>
      <c r="X30" s="505" t="s">
        <v>11</v>
      </c>
      <c r="Y30" s="506" t="s">
        <v>40</v>
      </c>
      <c r="Z30" s="505" t="s">
        <v>11</v>
      </c>
      <c r="AA30" s="507" t="s">
        <v>237</v>
      </c>
      <c r="AB30" s="508">
        <v>4</v>
      </c>
      <c r="AC30" s="437" t="s">
        <v>51</v>
      </c>
      <c r="AD30" s="51">
        <v>9</v>
      </c>
      <c r="AE30" s="509">
        <v>3.33</v>
      </c>
      <c r="AF30" s="510"/>
      <c r="AG30" s="51"/>
      <c r="AH30" s="511" t="s">
        <v>41</v>
      </c>
      <c r="AI30" s="512" t="s">
        <v>51</v>
      </c>
      <c r="AJ30" s="513" t="s">
        <v>47</v>
      </c>
      <c r="AK30" s="671" t="s">
        <v>51</v>
      </c>
      <c r="AL30" s="514">
        <v>2015</v>
      </c>
      <c r="AM30" s="515"/>
      <c r="AN30" s="516"/>
      <c r="AO30" s="517">
        <v>5</v>
      </c>
      <c r="AP30" s="518" t="s">
        <v>51</v>
      </c>
      <c r="AQ30" s="519">
        <v>9</v>
      </c>
      <c r="AR30" s="682">
        <v>3.66</v>
      </c>
      <c r="AS30" s="51"/>
      <c r="AT30" s="520" t="s">
        <v>41</v>
      </c>
      <c r="AU30" s="521" t="s">
        <v>51</v>
      </c>
      <c r="AV30" s="522" t="s">
        <v>47</v>
      </c>
      <c r="AW30" s="523" t="s">
        <v>51</v>
      </c>
      <c r="AX30" s="524">
        <v>2018</v>
      </c>
      <c r="AY30" s="527"/>
      <c r="AZ30" s="125">
        <v>5</v>
      </c>
      <c r="BA30" s="107">
        <f t="shared" ref="BA30:BA45" si="0">IF(AND(AD30&gt;AB30,OR(BD30=0.18,BD30=0.2)),2,IF(AND(AD30&gt;AB30,OR(BD30=0.31,BD30=0.33,BD30=0.34,BD30=0.36)),3,IF(AD30=AB30,1)))</f>
        <v>3</v>
      </c>
      <c r="BB30" s="525">
        <f t="shared" ref="BB30:BB45" si="1">12*($AA$2-AX30)+($AA$3-AV30)-AM30</f>
        <v>-24223</v>
      </c>
      <c r="BC30" s="104">
        <f>VLOOKUP(Y30,'[1]- DLiêu Gốc -'!$C$1:$F$60,3,0)</f>
        <v>2.34</v>
      </c>
      <c r="BD30" s="104">
        <f>VLOOKUP(Y30,'[1]- DLiêu Gốc -'!$C$1:$F$60,4,0)</f>
        <v>0.33</v>
      </c>
      <c r="BE30" s="109" t="str">
        <f t="shared" ref="BE30:BE45" si="2">IF(AND(BF30&gt;3,BX30=12),"Đến %",IF(AND(BF30&gt;3,BX30&gt;12,BX30&lt;120),"Dừng %",IF(AND(BF30&gt;3,BX30&lt;12),"PCTN","o-o-o")))</f>
        <v>o-o-o</v>
      </c>
      <c r="BF30" s="110"/>
      <c r="BG30" s="212"/>
      <c r="BH30" s="112"/>
      <c r="BI30" s="410"/>
      <c r="BJ30" s="211"/>
      <c r="BK30" s="410"/>
      <c r="BL30" s="135"/>
      <c r="BM30" s="108"/>
      <c r="BN30" s="147"/>
      <c r="BO30" s="111"/>
      <c r="BP30" s="497"/>
      <c r="BQ30" s="112"/>
      <c r="BR30" s="410"/>
      <c r="BS30" s="211"/>
      <c r="BT30" s="410"/>
      <c r="BU30" s="135"/>
      <c r="BV30" s="137"/>
      <c r="BW30" s="116"/>
      <c r="BX30" s="526" t="str">
        <f t="shared" ref="BX30:BX45" si="3">IF(BF30&gt;3,(($BE$2-BU30)*12+($BE$3-BS30)-BM30),"- - -")</f>
        <v>- - -</v>
      </c>
      <c r="BY30" s="109" t="str">
        <f t="shared" ref="BY30:BY40" si="4">IF(AND(CU30="Hưu",BF30&gt;3),12-(12*(DA30-BU30)+(CZ30-BS30))-BM30,"- - -")</f>
        <v>- - -</v>
      </c>
      <c r="BZ30" s="100" t="str">
        <f t="shared" ref="BZ30:BZ45" si="5">IF(OR(S30="Ban Tổ chức - Cán bộ",S30="Văn phòng Học viện",S30="Phó Giám đốc Thường trực Học viện",S30="Phó Giám đốc Học viện"),"Chánh Văn phòng Học viện, Trưởng Ban Tổ chức - Cán bộ",IF(OR(S30="Trung tâm Ngoại ngữ",S30="Trung tâm Tin học hành chính và Công nghệ thông tin",S30="Trung tâm Tin học - Thư viện",S30="Phân viện khu vực Tây Nguyên"),"Chánh Văn phòng Học viện, Trưởng Ban Tổ chức - Cán bộ, "&amp;CONCATENATE("Giám đốc ",S30),IF(S30="Tạp chí Quản lý nhà nước","Chánh Văn phòng Học viện, Trưởng Ban Tổ chức - Cán bộ, "&amp;CONCATENATE("Tổng Biên tập ",S30),IF(S30="Văn phòng Đảng uỷ Học viện","Chánh Văn phòng Học viện, Trưởng Ban Tổ chức - Cán bộ, "&amp;CONCATENATE("Chánh",S30),IF(S30="Viện Nghiên cứu Khoa học hành chính","Chánh Văn phòng Học viện, Trưởng Ban Tổ chức - Cán bộ, "&amp;CONCATENATE("Viện Trưởng ",S30),IF(OR(S30="Cơ sở Học viện Hành chính Quốc gia khu vực miền Trung",S30="Cơ sở Học viện Hành chính Quốc gia tại Thành phố Hồ Chí Minh"),"Chánh Văn phòng Học viện, Trưởng Ban Tổ chức - Cán bộ, "&amp;CONCATENATE("Thủ trưởng ",S30),"Chánh Văn phòng Học viện, Trưởng Ban Tổ chức - Cán bộ, "&amp;CONCATENATE("Trưởng ",S30)))))))</f>
        <v>Chánh Văn phòng Học viện, Trưởng Ban Tổ chức - Cán bộ, Trưởng Phòng Quản lý đào tạo và Phát triển nhân lực hành chính</v>
      </c>
      <c r="CA30" s="113" t="str">
        <f t="shared" ref="CA30:CA45" si="6">IF(S30="Cơ sở Học viện Hành chính khu vực miền Trung","B",IF(S30="Phân viện Khu vực Tây Nguyên","C",IF(S30="Cơ sở Học viện Hành chính tại thành phố Hồ Chí Minh","D","A")))</f>
        <v>A</v>
      </c>
      <c r="CB30" s="114" t="str">
        <f t="shared" ref="CB30:CB45" si="7">IF(AND(AO30&gt;0,AB30&lt;(AD30-1),CC30&gt;0,CC30&lt;13,OR(AND(CI30="Cùg Ng",($CB$2-CE30)&gt;BA30),CI30="- - -")),"Sớm TT","=&gt; s")</f>
        <v>=&gt; s</v>
      </c>
      <c r="CC30" s="103">
        <f t="shared" ref="CC30:CC45" si="8">IF(BA30=3,36-(12*($CB$2-AX30)+(12-AV30)-AM30),IF(BA30=2,24-(12*($CB$2-AX30)+(12-AV30)-AM30),"---"))</f>
        <v>24247</v>
      </c>
      <c r="CD30" s="99" t="str">
        <f t="shared" ref="CD30:CD45" si="9">IF(CE30&gt;1,"S","---")</f>
        <v>S</v>
      </c>
      <c r="CE30" s="99">
        <v>2012</v>
      </c>
      <c r="CF30" s="164" t="s">
        <v>11</v>
      </c>
      <c r="CG30" s="99"/>
      <c r="CH30" s="115"/>
      <c r="CI30" s="99" t="str">
        <f t="shared" ref="CI30:CI45" si="10">IF(X30=CF30,"Cùg Ng","- - -")</f>
        <v>Cùg Ng</v>
      </c>
      <c r="CJ30" s="116" t="str">
        <f t="shared" ref="CJ30:CJ45" si="11">IF(CL30&gt;2000,"NN","- - -")</f>
        <v>- - -</v>
      </c>
      <c r="CK30" s="117"/>
      <c r="CL30" s="118"/>
      <c r="CM30" s="117"/>
      <c r="CN30" s="119"/>
      <c r="CO30" s="116" t="str">
        <f t="shared" ref="CO30:CO45" si="12">IF(CQ30&gt;2000,"CN","- - -")</f>
        <v>- - -</v>
      </c>
      <c r="CP30" s="117"/>
      <c r="CQ30" s="118"/>
      <c r="CR30" s="117"/>
      <c r="CS30" s="119"/>
      <c r="CT30" s="120" t="str">
        <f t="shared" ref="CT30:CT39" si="13">IF(AND(CU30="Hưu",AB30&lt;(AD30-1),DB30&gt;0,DB30&lt;18,OR(BF30&lt;4,AND(BF30&gt;3,OR(BY30&lt;3,BY30&gt;5)))),"Lg Sớm",IF(AND(CU30="Hưu",AB30&gt;(AD30-2),OR(BD30=0.33,BD30=0.34),OR(BF30&lt;4,AND(BF30&gt;3,OR(BY30&lt;3,BY30&gt;5)))),"Nâng Ngạch",IF(AND(CU30="Hưu",BA30=1,DB30&gt;2,DB30&lt;6,OR(BF30&lt;4,AND(BF30&gt;3,OR(BY30&lt;3,BY30&gt;5)))),"Nâng PcVK cùng QĐ",IF(AND(CU30="Hưu",BF30&gt;3,BY30&gt;2,BY30&lt;6,AB30&lt;(AD30-1),DB30&gt;17,OR(BA30&gt;1,AND(BA30=1,OR(DB30&lt;3,DB30&gt;5)))),"Nâng PcNG cùng QĐ",IF(AND(CU30="Hưu",AB30&lt;(AD30-1),DB30&gt;0,DB30&lt;18,BF30&gt;3,BY30&gt;2,BY30&lt;6),"Nâng Lg Sớm +(PcNG cùng QĐ)",IF(AND(CU30="Hưu",AB30&gt;(AD30-2),OR(BD30=0.33,BD30=0.34),BF30&gt;3,BY30&gt;2,BY30&lt;6),"Nâng Ngạch +(PcNG cùng QĐ)",IF(AND(CU30="Hưu",BA30=1,DB30&gt;2,DB30&lt;6,BF30&gt;3,BY30&gt;2,BY30&lt;6),"Nâng (PcVK +PcNG) cùng QĐ",("---"))))))))</f>
        <v>---</v>
      </c>
      <c r="CU30" s="148" t="str">
        <f t="shared" ref="CU30:CU45" si="14">IF(AND(DF30&gt;DE30,DF30&lt;(DE30+13)),"Hưu",IF(AND(DF30&gt;(DE30+12),DF30&lt;1000),"Quá","/-/ /-/"))</f>
        <v>/-/ /-/</v>
      </c>
      <c r="CV30" s="121">
        <f t="shared" ref="CV30:CV45" si="15">IF((I30+0)&lt;12,(I30+0)+1,IF((I30+0)=12,1,IF((I30+0)&gt;12,(I30+0)-12)))</f>
        <v>2</v>
      </c>
      <c r="CW30" s="122">
        <f t="shared" ref="CW30:CW45" si="16">IF(OR((I30+0)=12,(I30+0)&gt;12),K30+DE30/12+1,IF(AND((I30+0)&gt;0,(I30+0)&lt;12),K30+DE30/12,"---"))</f>
        <v>2036</v>
      </c>
      <c r="CX30" s="121">
        <f t="shared" ref="CX30:CX45" si="17">IF(AND(CV30&gt;3,CV30&lt;13),CV30-3,IF(CV30&lt;4,CV30-3+12))</f>
        <v>11</v>
      </c>
      <c r="CY30" s="122">
        <f t="shared" ref="CY30:CY45" si="18">IF(CX30&lt;CV30,CW30,IF(CX30&gt;CV30,CW30-1))</f>
        <v>2035</v>
      </c>
      <c r="CZ30" s="121">
        <f t="shared" ref="CZ30:CZ45" si="19">IF(CV30&gt;6,CV30-6,IF(CV30=6,12,IF(CV30&lt;6,CV30+6)))</f>
        <v>8</v>
      </c>
      <c r="DA30" s="122">
        <f t="shared" ref="DA30:DA45" si="20">IF(CV30&gt;6,CW30,IF(CV30&lt;7,CW30-1))</f>
        <v>2035</v>
      </c>
      <c r="DB30" s="123" t="str">
        <f t="shared" ref="DB30:DB45" si="21">IF(AND(CU30="Hưu",BA30=3),36+AM30-(12*(DA30-AX30)+(CZ30-AV30)),IF(AND(CU30="Hưu",BA30=2),24+AM30-(12*(DA30-AX30)+(CZ30-AV30)),IF(AND(CU30="Hưu",BA30=1),12+AM30-(12*(DA30-AX30)+(CZ30-AV30)),"- - -")))</f>
        <v>- - -</v>
      </c>
      <c r="DC30" s="124" t="str">
        <f t="shared" ref="DC30:DC45" si="22">IF(DD30&gt;0,"K.Dài",". .")</f>
        <v>. .</v>
      </c>
      <c r="DD30" s="124"/>
      <c r="DE30" s="103">
        <f t="shared" ref="DE30:DE45" si="23">IF(F30="Nam",(60+DD30)*12,IF(F30="Nữ",(55+DD30)*12,))</f>
        <v>660</v>
      </c>
      <c r="DF30" s="103">
        <f t="shared" ref="DF30:DF45" si="24">12*($CU$4-K30)+(12-I30)</f>
        <v>-23761</v>
      </c>
      <c r="DG30" s="103">
        <f t="shared" ref="DG30:DG45" si="25">$DK$4-K30</f>
        <v>-1981</v>
      </c>
      <c r="DH30" s="103" t="str">
        <f t="shared" ref="DH30:DH45" si="26">IF(AND(DG30&lt;35,F30="Nam"),"Nam dưới 35",IF(AND(DG30&lt;30,F30="Nữ"),"Nữ dưới 30",IF(AND(DG30&gt;34,DG30&lt;46,F30="Nam"),"Nam từ 35 - 45",IF(AND(DG30&gt;29,DG30&lt;41,F30="Nữ"),"Nữ từ 30 - 40",IF(AND(DG30&gt;45,DG30&lt;56,F30="Nam"),"Nam trên 45 - 55",IF(AND(DG30&gt;40,DG30&lt;51,F30="Nữ"),"Nữ trên 40 - 50",IF(AND(DG30&gt;55,F30="Nam"),"Nam trên 55","Nữ trên 50")))))))</f>
        <v>Nữ dưới 30</v>
      </c>
      <c r="DI30" s="103"/>
      <c r="DJ30" s="103"/>
      <c r="DK30" s="109" t="str">
        <f t="shared" ref="DK30:DK45" si="27">IF(DG30&lt;31,"Đến 30",IF(AND(DG30&gt;30,DG30&lt;46),"31 - 45",IF(AND(DG30&gt;45,DG30&lt;70),"Trên 45")))</f>
        <v>Đến 30</v>
      </c>
      <c r="DL30" s="117" t="str">
        <f t="shared" ref="DL30:DL45" si="28">IF(DM30&gt;0,"TD","--")</f>
        <v>--</v>
      </c>
      <c r="DM30" s="101"/>
      <c r="DN30" s="99"/>
      <c r="DO30" s="136"/>
      <c r="DP30" s="101"/>
      <c r="DQ30" s="119"/>
      <c r="DR30" s="125"/>
      <c r="DS30" s="126"/>
      <c r="DT30" s="127"/>
      <c r="DU30" s="128"/>
      <c r="DV30" s="102" t="s">
        <v>127</v>
      </c>
      <c r="DW30" s="105" t="s">
        <v>155</v>
      </c>
      <c r="DX30" s="106" t="s">
        <v>127</v>
      </c>
      <c r="DY30" s="141" t="s">
        <v>41</v>
      </c>
      <c r="DZ30" s="106" t="s">
        <v>51</v>
      </c>
      <c r="EA30" s="129" t="s">
        <v>43</v>
      </c>
      <c r="EB30" s="106" t="s">
        <v>51</v>
      </c>
      <c r="EC30" s="130">
        <v>2012</v>
      </c>
      <c r="ED30" s="105">
        <f t="shared" ref="ED30:ED45" si="29">(DY30+0)-(EF30+0)</f>
        <v>0</v>
      </c>
      <c r="EE30" s="106" t="str">
        <f t="shared" ref="EE30:EE45" si="30">IF(ED30&gt;0,"Sửa","- - -")</f>
        <v>- - -</v>
      </c>
      <c r="EF30" s="141" t="s">
        <v>41</v>
      </c>
      <c r="EG30" s="106" t="s">
        <v>51</v>
      </c>
      <c r="EH30" s="129" t="s">
        <v>43</v>
      </c>
      <c r="EI30" s="99" t="s">
        <v>51</v>
      </c>
      <c r="EJ30" s="116">
        <v>2012</v>
      </c>
      <c r="EK30" s="131"/>
      <c r="EL30" s="128" t="str">
        <f t="shared" ref="EL30:EL45" si="31">IF(AND(BD30&gt;0.34,AO30=1,OR(BC30=6.2,BC30=5.75)),((BC30-EK30)-2*0.34),IF(AND(BD30&gt;0.33,AO30=1,OR(BC30=4.4,BC30=4)),((BC30-EK30)-2*0.33),"- - -"))</f>
        <v>- - -</v>
      </c>
      <c r="EM30" s="132" t="str">
        <f t="shared" ref="EM30:EM45" si="32">IF(CU30="Hưu",12*(DA30-AX30)+(CZ30-AV30),"---")</f>
        <v>---</v>
      </c>
      <c r="FP30" s="672"/>
      <c r="FQ30" s="672"/>
      <c r="FR30" s="672"/>
      <c r="FS30" s="672"/>
      <c r="FT30" s="672"/>
      <c r="FU30" s="672"/>
      <c r="FV30" s="672"/>
      <c r="FW30" s="672"/>
      <c r="FX30" s="672"/>
      <c r="FY30" s="672"/>
      <c r="FZ30" s="672"/>
      <c r="GA30" s="672"/>
      <c r="GB30" s="672"/>
      <c r="GC30" s="672"/>
      <c r="GD30" s="672"/>
      <c r="GE30" s="672"/>
      <c r="GF30" s="672"/>
      <c r="GG30" s="672"/>
      <c r="GH30" s="672"/>
      <c r="GI30" s="672"/>
      <c r="GJ30" s="672"/>
      <c r="GK30" s="672"/>
      <c r="GL30" s="672"/>
      <c r="GM30" s="672"/>
      <c r="GN30" s="672"/>
      <c r="GO30" s="672"/>
      <c r="GP30" s="672"/>
      <c r="GQ30" s="672"/>
      <c r="GR30" s="672"/>
      <c r="GS30" s="672"/>
      <c r="GT30" s="672"/>
    </row>
    <row r="31" spans="1:202" s="132" customFormat="1" ht="42.75" customHeight="1" x14ac:dyDescent="0.2">
      <c r="A31" s="496">
        <v>60</v>
      </c>
      <c r="B31" s="322">
        <v>15</v>
      </c>
      <c r="C31" s="99"/>
      <c r="D31" s="99" t="s">
        <v>230</v>
      </c>
      <c r="E31" s="498" t="s">
        <v>271</v>
      </c>
      <c r="F31" s="499" t="s">
        <v>61</v>
      </c>
      <c r="G31" s="500" t="s">
        <v>170</v>
      </c>
      <c r="H31" s="500" t="s">
        <v>51</v>
      </c>
      <c r="I31" s="500" t="s">
        <v>47</v>
      </c>
      <c r="J31" s="98" t="s">
        <v>51</v>
      </c>
      <c r="K31" s="98">
        <v>1983</v>
      </c>
      <c r="L31" s="98" t="s">
        <v>77</v>
      </c>
      <c r="M31" s="98" t="s">
        <v>261</v>
      </c>
      <c r="N31" s="98"/>
      <c r="O31" s="98" t="e">
        <v>#N/A</v>
      </c>
      <c r="P31" s="98"/>
      <c r="Q31" s="498" t="e">
        <v>#N/A</v>
      </c>
      <c r="R31" s="681" t="s">
        <v>272</v>
      </c>
      <c r="S31" s="501" t="s">
        <v>167</v>
      </c>
      <c r="T31" s="502" t="s">
        <v>235</v>
      </c>
      <c r="U31" s="502" t="s">
        <v>236</v>
      </c>
      <c r="V31" s="503" t="s">
        <v>70</v>
      </c>
      <c r="W31" s="504" t="s">
        <v>40</v>
      </c>
      <c r="X31" s="505" t="s">
        <v>11</v>
      </c>
      <c r="Y31" s="506" t="s">
        <v>40</v>
      </c>
      <c r="Z31" s="505" t="s">
        <v>11</v>
      </c>
      <c r="AA31" s="507" t="s">
        <v>237</v>
      </c>
      <c r="AB31" s="508">
        <v>4</v>
      </c>
      <c r="AC31" s="437" t="s">
        <v>51</v>
      </c>
      <c r="AD31" s="51">
        <v>9</v>
      </c>
      <c r="AE31" s="509">
        <v>3.33</v>
      </c>
      <c r="AF31" s="510"/>
      <c r="AG31" s="51"/>
      <c r="AH31" s="511" t="s">
        <v>41</v>
      </c>
      <c r="AI31" s="512" t="s">
        <v>51</v>
      </c>
      <c r="AJ31" s="513" t="s">
        <v>47</v>
      </c>
      <c r="AK31" s="671" t="s">
        <v>51</v>
      </c>
      <c r="AL31" s="514">
        <v>2015</v>
      </c>
      <c r="AM31" s="515"/>
      <c r="AN31" s="516"/>
      <c r="AO31" s="517">
        <v>5</v>
      </c>
      <c r="AP31" s="518" t="s">
        <v>51</v>
      </c>
      <c r="AQ31" s="519">
        <v>9</v>
      </c>
      <c r="AR31" s="682">
        <v>3.66</v>
      </c>
      <c r="AS31" s="51"/>
      <c r="AT31" s="520" t="s">
        <v>41</v>
      </c>
      <c r="AU31" s="521" t="s">
        <v>51</v>
      </c>
      <c r="AV31" s="522" t="s">
        <v>47</v>
      </c>
      <c r="AW31" s="523" t="s">
        <v>51</v>
      </c>
      <c r="AX31" s="524">
        <v>2018</v>
      </c>
      <c r="AY31" s="527"/>
      <c r="AZ31" s="125">
        <v>5</v>
      </c>
      <c r="BA31" s="107">
        <f t="shared" si="0"/>
        <v>3</v>
      </c>
      <c r="BB31" s="525">
        <f t="shared" si="1"/>
        <v>-24223</v>
      </c>
      <c r="BC31" s="104">
        <f>VLOOKUP(Y31,'[1]- DLiêu Gốc -'!$C$1:$F$60,3,0)</f>
        <v>2.34</v>
      </c>
      <c r="BD31" s="104">
        <f>VLOOKUP(Y31,'[1]- DLiêu Gốc -'!$C$1:$F$60,4,0)</f>
        <v>0.33</v>
      </c>
      <c r="BE31" s="109" t="str">
        <f t="shared" si="2"/>
        <v>o-o-o</v>
      </c>
      <c r="BF31" s="110"/>
      <c r="BG31" s="212"/>
      <c r="BH31" s="112"/>
      <c r="BI31" s="410"/>
      <c r="BJ31" s="211"/>
      <c r="BK31" s="410"/>
      <c r="BL31" s="135"/>
      <c r="BM31" s="108"/>
      <c r="BN31" s="147"/>
      <c r="BO31" s="111"/>
      <c r="BP31" s="497"/>
      <c r="BQ31" s="112"/>
      <c r="BR31" s="410"/>
      <c r="BS31" s="211"/>
      <c r="BT31" s="410"/>
      <c r="BU31" s="135"/>
      <c r="BV31" s="137"/>
      <c r="BW31" s="116"/>
      <c r="BX31" s="526" t="str">
        <f t="shared" si="3"/>
        <v>- - -</v>
      </c>
      <c r="BY31" s="109" t="str">
        <f t="shared" si="4"/>
        <v>- - -</v>
      </c>
      <c r="BZ31" s="100" t="str">
        <f t="shared" si="5"/>
        <v>Chánh Văn phòng Học viện, Trưởng Ban Tổ chức - Cán bộ, Trưởng Phòng Quản lý đào tạo và Phát triển nhân lực hành chính</v>
      </c>
      <c r="CA31" s="113" t="str">
        <f t="shared" si="6"/>
        <v>A</v>
      </c>
      <c r="CB31" s="114" t="str">
        <f t="shared" si="7"/>
        <v>=&gt; s</v>
      </c>
      <c r="CC31" s="103">
        <f t="shared" si="8"/>
        <v>24247</v>
      </c>
      <c r="CD31" s="99" t="str">
        <f t="shared" si="9"/>
        <v>---</v>
      </c>
      <c r="CE31" s="99"/>
      <c r="CF31" s="164"/>
      <c r="CG31" s="99"/>
      <c r="CH31" s="115"/>
      <c r="CI31" s="99" t="str">
        <f t="shared" si="10"/>
        <v>- - -</v>
      </c>
      <c r="CJ31" s="116" t="str">
        <f t="shared" si="11"/>
        <v>- - -</v>
      </c>
      <c r="CK31" s="117"/>
      <c r="CL31" s="118"/>
      <c r="CM31" s="117"/>
      <c r="CN31" s="119"/>
      <c r="CO31" s="116" t="str">
        <f t="shared" si="12"/>
        <v>- - -</v>
      </c>
      <c r="CP31" s="117"/>
      <c r="CQ31" s="118"/>
      <c r="CR31" s="117"/>
      <c r="CS31" s="119"/>
      <c r="CT31" s="120" t="str">
        <f t="shared" si="13"/>
        <v>---</v>
      </c>
      <c r="CU31" s="148" t="str">
        <f t="shared" si="14"/>
        <v>/-/ /-/</v>
      </c>
      <c r="CV31" s="121">
        <f t="shared" si="15"/>
        <v>8</v>
      </c>
      <c r="CW31" s="122">
        <f t="shared" si="16"/>
        <v>2038</v>
      </c>
      <c r="CX31" s="121">
        <f t="shared" si="17"/>
        <v>5</v>
      </c>
      <c r="CY31" s="122">
        <f t="shared" si="18"/>
        <v>2038</v>
      </c>
      <c r="CZ31" s="121">
        <f t="shared" si="19"/>
        <v>2</v>
      </c>
      <c r="DA31" s="122">
        <f t="shared" si="20"/>
        <v>2038</v>
      </c>
      <c r="DB31" s="123" t="str">
        <f t="shared" si="21"/>
        <v>- - -</v>
      </c>
      <c r="DC31" s="124" t="str">
        <f t="shared" si="22"/>
        <v>. .</v>
      </c>
      <c r="DD31" s="124"/>
      <c r="DE31" s="103">
        <f t="shared" si="23"/>
        <v>660</v>
      </c>
      <c r="DF31" s="103">
        <f t="shared" si="24"/>
        <v>-23791</v>
      </c>
      <c r="DG31" s="103">
        <f t="shared" si="25"/>
        <v>-1983</v>
      </c>
      <c r="DH31" s="103" t="str">
        <f t="shared" si="26"/>
        <v>Nữ dưới 30</v>
      </c>
      <c r="DI31" s="103"/>
      <c r="DJ31" s="103"/>
      <c r="DK31" s="109" t="str">
        <f t="shared" si="27"/>
        <v>Đến 30</v>
      </c>
      <c r="DL31" s="117" t="str">
        <f t="shared" si="28"/>
        <v>TD</v>
      </c>
      <c r="DM31" s="101">
        <v>2012</v>
      </c>
      <c r="DN31" s="99"/>
      <c r="DO31" s="136"/>
      <c r="DP31" s="101"/>
      <c r="DQ31" s="119"/>
      <c r="DR31" s="125"/>
      <c r="DS31" s="126"/>
      <c r="DT31" s="127"/>
      <c r="DU31" s="128"/>
      <c r="DV31" s="102" t="s">
        <v>127</v>
      </c>
      <c r="DW31" s="105" t="s">
        <v>155</v>
      </c>
      <c r="DX31" s="106" t="s">
        <v>127</v>
      </c>
      <c r="DY31" s="141" t="s">
        <v>41</v>
      </c>
      <c r="DZ31" s="106" t="s">
        <v>51</v>
      </c>
      <c r="EA31" s="129" t="s">
        <v>43</v>
      </c>
      <c r="EB31" s="106" t="s">
        <v>51</v>
      </c>
      <c r="EC31" s="130">
        <v>2012</v>
      </c>
      <c r="ED31" s="105">
        <f t="shared" si="29"/>
        <v>0</v>
      </c>
      <c r="EE31" s="106" t="str">
        <f t="shared" si="30"/>
        <v>- - -</v>
      </c>
      <c r="EF31" s="141" t="s">
        <v>41</v>
      </c>
      <c r="EG31" s="106" t="s">
        <v>51</v>
      </c>
      <c r="EH31" s="129" t="s">
        <v>43</v>
      </c>
      <c r="EI31" s="99" t="s">
        <v>51</v>
      </c>
      <c r="EJ31" s="116">
        <v>2012</v>
      </c>
      <c r="EK31" s="131"/>
      <c r="EL31" s="128" t="str">
        <f t="shared" si="31"/>
        <v>- - -</v>
      </c>
      <c r="EM31" s="132" t="str">
        <f t="shared" si="32"/>
        <v>---</v>
      </c>
      <c r="FP31" s="672"/>
      <c r="FQ31" s="672"/>
      <c r="FR31" s="672"/>
      <c r="FS31" s="672"/>
      <c r="FT31" s="672"/>
      <c r="FU31" s="672"/>
      <c r="FV31" s="672"/>
      <c r="FW31" s="672"/>
      <c r="FX31" s="672"/>
      <c r="FY31" s="672"/>
      <c r="FZ31" s="672"/>
      <c r="GA31" s="672"/>
      <c r="GB31" s="672"/>
      <c r="GC31" s="672"/>
      <c r="GD31" s="672"/>
      <c r="GE31" s="672"/>
      <c r="GF31" s="672"/>
      <c r="GG31" s="672"/>
      <c r="GH31" s="672"/>
      <c r="GI31" s="672"/>
      <c r="GJ31" s="672"/>
      <c r="GK31" s="672"/>
      <c r="GL31" s="672"/>
      <c r="GM31" s="672"/>
      <c r="GN31" s="672"/>
      <c r="GO31" s="672"/>
      <c r="GP31" s="672"/>
      <c r="GQ31" s="672"/>
      <c r="GR31" s="672"/>
      <c r="GS31" s="672"/>
      <c r="GT31" s="672"/>
    </row>
    <row r="32" spans="1:202" s="132" customFormat="1" ht="42.75" customHeight="1" x14ac:dyDescent="0.2">
      <c r="A32" s="496">
        <v>100</v>
      </c>
      <c r="B32" s="322">
        <v>16</v>
      </c>
      <c r="C32" s="99"/>
      <c r="D32" s="99" t="s">
        <v>230</v>
      </c>
      <c r="E32" s="498" t="s">
        <v>273</v>
      </c>
      <c r="F32" s="499" t="s">
        <v>61</v>
      </c>
      <c r="G32" s="500" t="s">
        <v>161</v>
      </c>
      <c r="H32" s="500" t="s">
        <v>51</v>
      </c>
      <c r="I32" s="500" t="s">
        <v>56</v>
      </c>
      <c r="J32" s="98" t="s">
        <v>51</v>
      </c>
      <c r="K32" s="98">
        <v>1975</v>
      </c>
      <c r="L32" s="98" t="s">
        <v>79</v>
      </c>
      <c r="M32" s="98" t="s">
        <v>232</v>
      </c>
      <c r="N32" s="98"/>
      <c r="O32" s="98" t="s">
        <v>240</v>
      </c>
      <c r="P32" s="98" t="s">
        <v>171</v>
      </c>
      <c r="Q32" s="498" t="s">
        <v>274</v>
      </c>
      <c r="R32" s="681" t="s">
        <v>172</v>
      </c>
      <c r="S32" s="501" t="s">
        <v>173</v>
      </c>
      <c r="T32" s="502" t="s">
        <v>249</v>
      </c>
      <c r="U32" s="502" t="s">
        <v>250</v>
      </c>
      <c r="V32" s="503" t="s">
        <v>70</v>
      </c>
      <c r="W32" s="504" t="s">
        <v>275</v>
      </c>
      <c r="X32" s="505" t="s">
        <v>276</v>
      </c>
      <c r="Y32" s="506" t="s">
        <v>275</v>
      </c>
      <c r="Z32" s="505" t="s">
        <v>276</v>
      </c>
      <c r="AA32" s="507" t="s">
        <v>237</v>
      </c>
      <c r="AB32" s="508">
        <v>2</v>
      </c>
      <c r="AC32" s="437" t="s">
        <v>51</v>
      </c>
      <c r="AD32" s="51">
        <v>8</v>
      </c>
      <c r="AE32" s="509">
        <v>4.74</v>
      </c>
      <c r="AF32" s="510"/>
      <c r="AG32" s="51"/>
      <c r="AH32" s="511" t="s">
        <v>41</v>
      </c>
      <c r="AI32" s="512" t="s">
        <v>51</v>
      </c>
      <c r="AJ32" s="513" t="s">
        <v>47</v>
      </c>
      <c r="AK32" s="671" t="s">
        <v>51</v>
      </c>
      <c r="AL32" s="514">
        <v>2015</v>
      </c>
      <c r="AM32" s="515"/>
      <c r="AN32" s="516"/>
      <c r="AO32" s="517">
        <v>3</v>
      </c>
      <c r="AP32" s="518" t="s">
        <v>51</v>
      </c>
      <c r="AQ32" s="519">
        <v>8</v>
      </c>
      <c r="AR32" s="682">
        <v>5.08</v>
      </c>
      <c r="AS32" s="51"/>
      <c r="AT32" s="520" t="s">
        <v>41</v>
      </c>
      <c r="AU32" s="521" t="s">
        <v>51</v>
      </c>
      <c r="AV32" s="522" t="s">
        <v>47</v>
      </c>
      <c r="AW32" s="523" t="s">
        <v>51</v>
      </c>
      <c r="AX32" s="524">
        <v>2018</v>
      </c>
      <c r="AY32" s="527"/>
      <c r="AZ32" s="125">
        <v>5</v>
      </c>
      <c r="BA32" s="107">
        <f t="shared" si="0"/>
        <v>3</v>
      </c>
      <c r="BB32" s="525">
        <f t="shared" si="1"/>
        <v>-24223</v>
      </c>
      <c r="BC32" s="104">
        <f>VLOOKUP(Y32,'[1]- DLiêu Gốc -'!$C$1:$F$60,3,0)</f>
        <v>4.4000000000000004</v>
      </c>
      <c r="BD32" s="104">
        <f>VLOOKUP(Y32,'[1]- DLiêu Gốc -'!$C$1:$F$60,4,0)</f>
        <v>0.34</v>
      </c>
      <c r="BE32" s="109" t="str">
        <f t="shared" si="2"/>
        <v>o-o-o</v>
      </c>
      <c r="BF32" s="110"/>
      <c r="BG32" s="212"/>
      <c r="BH32" s="112"/>
      <c r="BI32" s="410"/>
      <c r="BJ32" s="211"/>
      <c r="BK32" s="410"/>
      <c r="BL32" s="135"/>
      <c r="BM32" s="108"/>
      <c r="BN32" s="147"/>
      <c r="BO32" s="111"/>
      <c r="BP32" s="497"/>
      <c r="BQ32" s="112"/>
      <c r="BR32" s="410"/>
      <c r="BS32" s="211"/>
      <c r="BT32" s="410"/>
      <c r="BU32" s="135"/>
      <c r="BV32" s="137"/>
      <c r="BW32" s="116"/>
      <c r="BX32" s="526" t="str">
        <f t="shared" si="3"/>
        <v>- - -</v>
      </c>
      <c r="BY32" s="109" t="str">
        <f t="shared" si="4"/>
        <v>- - -</v>
      </c>
      <c r="BZ32" s="100" t="str">
        <f t="shared" si="5"/>
        <v>Chánh Văn phòng Học viện, Trưởng Ban Tổ chức - Cán bộ, Tổng Biên tập Tạp chí Quản lý nhà nước</v>
      </c>
      <c r="CA32" s="113" t="str">
        <f t="shared" si="6"/>
        <v>A</v>
      </c>
      <c r="CB32" s="114" t="str">
        <f t="shared" si="7"/>
        <v>=&gt; s</v>
      </c>
      <c r="CC32" s="103">
        <f t="shared" si="8"/>
        <v>24247</v>
      </c>
      <c r="CD32" s="99" t="str">
        <f t="shared" si="9"/>
        <v>---</v>
      </c>
      <c r="CE32" s="99"/>
      <c r="CF32" s="164"/>
      <c r="CG32" s="99"/>
      <c r="CH32" s="115"/>
      <c r="CI32" s="99" t="str">
        <f t="shared" si="10"/>
        <v>- - -</v>
      </c>
      <c r="CJ32" s="116" t="str">
        <f t="shared" si="11"/>
        <v>NN</v>
      </c>
      <c r="CK32" s="117">
        <v>11</v>
      </c>
      <c r="CL32" s="118">
        <v>2012</v>
      </c>
      <c r="CM32" s="117"/>
      <c r="CN32" s="119"/>
      <c r="CO32" s="116" t="str">
        <f t="shared" si="12"/>
        <v>- - -</v>
      </c>
      <c r="CP32" s="117"/>
      <c r="CQ32" s="118"/>
      <c r="CR32" s="117"/>
      <c r="CS32" s="119"/>
      <c r="CT32" s="120" t="str">
        <f t="shared" si="13"/>
        <v>---</v>
      </c>
      <c r="CU32" s="148" t="str">
        <f t="shared" si="14"/>
        <v>/-/ /-/</v>
      </c>
      <c r="CV32" s="121">
        <f t="shared" si="15"/>
        <v>12</v>
      </c>
      <c r="CW32" s="122">
        <f t="shared" si="16"/>
        <v>2030</v>
      </c>
      <c r="CX32" s="121">
        <f t="shared" si="17"/>
        <v>9</v>
      </c>
      <c r="CY32" s="122">
        <f t="shared" si="18"/>
        <v>2030</v>
      </c>
      <c r="CZ32" s="121">
        <f t="shared" si="19"/>
        <v>6</v>
      </c>
      <c r="DA32" s="122">
        <f t="shared" si="20"/>
        <v>2030</v>
      </c>
      <c r="DB32" s="123" t="str">
        <f t="shared" si="21"/>
        <v>- - -</v>
      </c>
      <c r="DC32" s="124" t="str">
        <f t="shared" si="22"/>
        <v>. .</v>
      </c>
      <c r="DD32" s="124"/>
      <c r="DE32" s="103">
        <f t="shared" si="23"/>
        <v>660</v>
      </c>
      <c r="DF32" s="103">
        <f t="shared" si="24"/>
        <v>-23699</v>
      </c>
      <c r="DG32" s="103">
        <f t="shared" si="25"/>
        <v>-1975</v>
      </c>
      <c r="DH32" s="103" t="str">
        <f t="shared" si="26"/>
        <v>Nữ dưới 30</v>
      </c>
      <c r="DI32" s="103"/>
      <c r="DJ32" s="103"/>
      <c r="DK32" s="109" t="str">
        <f t="shared" si="27"/>
        <v>Đến 30</v>
      </c>
      <c r="DL32" s="117" t="str">
        <f t="shared" si="28"/>
        <v>TD</v>
      </c>
      <c r="DM32" s="101">
        <v>2009</v>
      </c>
      <c r="DN32" s="99"/>
      <c r="DO32" s="136"/>
      <c r="DP32" s="101"/>
      <c r="DQ32" s="119"/>
      <c r="DR32" s="125"/>
      <c r="DS32" s="126"/>
      <c r="DT32" s="127"/>
      <c r="DU32" s="128"/>
      <c r="DV32" s="102" t="s">
        <v>130</v>
      </c>
      <c r="DW32" s="105" t="s">
        <v>155</v>
      </c>
      <c r="DX32" s="106" t="s">
        <v>130</v>
      </c>
      <c r="DY32" s="141" t="s">
        <v>41</v>
      </c>
      <c r="DZ32" s="106" t="s">
        <v>51</v>
      </c>
      <c r="EA32" s="129" t="s">
        <v>43</v>
      </c>
      <c r="EB32" s="106" t="s">
        <v>51</v>
      </c>
      <c r="EC32" s="130">
        <v>2012</v>
      </c>
      <c r="ED32" s="105">
        <f t="shared" si="29"/>
        <v>0</v>
      </c>
      <c r="EE32" s="106" t="str">
        <f t="shared" si="30"/>
        <v>- - -</v>
      </c>
      <c r="EF32" s="141" t="s">
        <v>41</v>
      </c>
      <c r="EG32" s="106" t="s">
        <v>51</v>
      </c>
      <c r="EH32" s="129" t="s">
        <v>43</v>
      </c>
      <c r="EI32" s="99" t="s">
        <v>51</v>
      </c>
      <c r="EJ32" s="116">
        <v>2012</v>
      </c>
      <c r="EK32" s="131">
        <v>3.66</v>
      </c>
      <c r="EL32" s="128" t="str">
        <f t="shared" si="31"/>
        <v>- - -</v>
      </c>
      <c r="EM32" s="132" t="str">
        <f t="shared" si="32"/>
        <v>---</v>
      </c>
      <c r="FP32" s="672"/>
      <c r="FQ32" s="672"/>
      <c r="FR32" s="672"/>
      <c r="FS32" s="672"/>
      <c r="FT32" s="672"/>
      <c r="FU32" s="672"/>
      <c r="FV32" s="672"/>
      <c r="FW32" s="672"/>
      <c r="FX32" s="672"/>
      <c r="FY32" s="672"/>
      <c r="FZ32" s="672"/>
      <c r="GA32" s="672"/>
      <c r="GB32" s="672"/>
      <c r="GC32" s="672"/>
      <c r="GD32" s="672"/>
      <c r="GE32" s="672"/>
      <c r="GF32" s="672"/>
      <c r="GG32" s="672"/>
      <c r="GH32" s="672"/>
      <c r="GI32" s="672"/>
      <c r="GJ32" s="672"/>
      <c r="GK32" s="672"/>
      <c r="GL32" s="672"/>
      <c r="GM32" s="672"/>
      <c r="GN32" s="672"/>
      <c r="GO32" s="672"/>
      <c r="GP32" s="672"/>
      <c r="GQ32" s="672"/>
      <c r="GR32" s="672"/>
      <c r="GS32" s="672"/>
      <c r="GT32" s="672"/>
    </row>
    <row r="33" spans="1:202" s="132" customFormat="1" ht="42.75" customHeight="1" x14ac:dyDescent="0.2">
      <c r="A33" s="496">
        <v>166</v>
      </c>
      <c r="B33" s="322">
        <v>17</v>
      </c>
      <c r="C33" s="99" t="s">
        <v>259</v>
      </c>
      <c r="D33" s="99" t="s">
        <v>230</v>
      </c>
      <c r="E33" s="498" t="s">
        <v>277</v>
      </c>
      <c r="F33" s="499" t="s">
        <v>61</v>
      </c>
      <c r="G33" s="500" t="s">
        <v>278</v>
      </c>
      <c r="H33" s="500" t="s">
        <v>51</v>
      </c>
      <c r="I33" s="500" t="s">
        <v>49</v>
      </c>
      <c r="J33" s="98" t="s">
        <v>51</v>
      </c>
      <c r="K33" s="98">
        <v>1969</v>
      </c>
      <c r="L33" s="98" t="s">
        <v>79</v>
      </c>
      <c r="M33" s="98" t="s">
        <v>232</v>
      </c>
      <c r="N33" s="98"/>
      <c r="O33" s="98" t="e">
        <v>#N/A</v>
      </c>
      <c r="P33" s="98"/>
      <c r="Q33" s="498" t="e">
        <v>#N/A</v>
      </c>
      <c r="R33" s="681" t="s">
        <v>172</v>
      </c>
      <c r="S33" s="501" t="s">
        <v>173</v>
      </c>
      <c r="T33" s="502" t="s">
        <v>235</v>
      </c>
      <c r="U33" s="502" t="s">
        <v>236</v>
      </c>
      <c r="V33" s="503" t="s">
        <v>70</v>
      </c>
      <c r="W33" s="504" t="s">
        <v>40</v>
      </c>
      <c r="X33" s="505" t="s">
        <v>11</v>
      </c>
      <c r="Y33" s="506" t="s">
        <v>40</v>
      </c>
      <c r="Z33" s="505" t="s">
        <v>11</v>
      </c>
      <c r="AA33" s="507" t="s">
        <v>237</v>
      </c>
      <c r="AB33" s="508">
        <v>8</v>
      </c>
      <c r="AC33" s="437" t="s">
        <v>51</v>
      </c>
      <c r="AD33" s="51">
        <v>9</v>
      </c>
      <c r="AE33" s="509">
        <v>4.6500000000000004</v>
      </c>
      <c r="AF33" s="510"/>
      <c r="AG33" s="51"/>
      <c r="AH33" s="511" t="s">
        <v>41</v>
      </c>
      <c r="AI33" s="512" t="s">
        <v>51</v>
      </c>
      <c r="AJ33" s="513" t="s">
        <v>47</v>
      </c>
      <c r="AK33" s="671" t="s">
        <v>51</v>
      </c>
      <c r="AL33" s="514">
        <v>2015</v>
      </c>
      <c r="AM33" s="515"/>
      <c r="AN33" s="516"/>
      <c r="AO33" s="517">
        <v>9</v>
      </c>
      <c r="AP33" s="518" t="s">
        <v>51</v>
      </c>
      <c r="AQ33" s="519">
        <v>9</v>
      </c>
      <c r="AR33" s="682">
        <v>4.9800000000000004</v>
      </c>
      <c r="AS33" s="51"/>
      <c r="AT33" s="520" t="s">
        <v>41</v>
      </c>
      <c r="AU33" s="521" t="s">
        <v>51</v>
      </c>
      <c r="AV33" s="522" t="s">
        <v>47</v>
      </c>
      <c r="AW33" s="523" t="s">
        <v>51</v>
      </c>
      <c r="AX33" s="524">
        <v>2018</v>
      </c>
      <c r="AY33" s="527"/>
      <c r="AZ33" s="125">
        <v>5</v>
      </c>
      <c r="BA33" s="107">
        <f t="shared" si="0"/>
        <v>3</v>
      </c>
      <c r="BB33" s="525">
        <f t="shared" si="1"/>
        <v>-24223</v>
      </c>
      <c r="BC33" s="104">
        <f>VLOOKUP(Y33,'[1]- DLiêu Gốc -'!$C$1:$F$60,3,0)</f>
        <v>2.34</v>
      </c>
      <c r="BD33" s="104">
        <f>VLOOKUP(Y33,'[1]- DLiêu Gốc -'!$C$1:$F$60,4,0)</f>
        <v>0.33</v>
      </c>
      <c r="BE33" s="109" t="str">
        <f t="shared" si="2"/>
        <v>PCTN</v>
      </c>
      <c r="BF33" s="110">
        <v>12</v>
      </c>
      <c r="BG33" s="212" t="s">
        <v>39</v>
      </c>
      <c r="BH33" s="112" t="s">
        <v>41</v>
      </c>
      <c r="BI33" s="410" t="s">
        <v>51</v>
      </c>
      <c r="BJ33" s="211">
        <v>5</v>
      </c>
      <c r="BK33" s="410" t="s">
        <v>51</v>
      </c>
      <c r="BL33" s="135">
        <v>2016</v>
      </c>
      <c r="BM33" s="108"/>
      <c r="BN33" s="147"/>
      <c r="BO33" s="111">
        <f>IF(BF33&gt;3,BF33+1,0)</f>
        <v>13</v>
      </c>
      <c r="BP33" s="497" t="s">
        <v>39</v>
      </c>
      <c r="BQ33" s="112" t="s">
        <v>41</v>
      </c>
      <c r="BR33" s="410" t="s">
        <v>51</v>
      </c>
      <c r="BS33" s="211">
        <v>5</v>
      </c>
      <c r="BT33" s="410" t="s">
        <v>51</v>
      </c>
      <c r="BU33" s="135">
        <v>2017</v>
      </c>
      <c r="BV33" s="137"/>
      <c r="BW33" s="116"/>
      <c r="BX33" s="526">
        <f t="shared" si="3"/>
        <v>-24209</v>
      </c>
      <c r="BY33" s="109" t="str">
        <f t="shared" si="4"/>
        <v>- - -</v>
      </c>
      <c r="BZ33" s="100" t="str">
        <f t="shared" si="5"/>
        <v>Chánh Văn phòng Học viện, Trưởng Ban Tổ chức - Cán bộ, Tổng Biên tập Tạp chí Quản lý nhà nước</v>
      </c>
      <c r="CA33" s="113" t="str">
        <f t="shared" si="6"/>
        <v>A</v>
      </c>
      <c r="CB33" s="114" t="str">
        <f t="shared" si="7"/>
        <v>=&gt; s</v>
      </c>
      <c r="CC33" s="103">
        <f t="shared" si="8"/>
        <v>24247</v>
      </c>
      <c r="CD33" s="99" t="str">
        <f t="shared" si="9"/>
        <v>---</v>
      </c>
      <c r="CE33" s="99"/>
      <c r="CF33" s="164"/>
      <c r="CG33" s="99"/>
      <c r="CH33" s="115"/>
      <c r="CI33" s="99" t="str">
        <f t="shared" si="10"/>
        <v>- - -</v>
      </c>
      <c r="CJ33" s="116" t="str">
        <f t="shared" si="11"/>
        <v>- - -</v>
      </c>
      <c r="CK33" s="117"/>
      <c r="CL33" s="118"/>
      <c r="CM33" s="117"/>
      <c r="CN33" s="119"/>
      <c r="CO33" s="116" t="str">
        <f t="shared" si="12"/>
        <v>- - -</v>
      </c>
      <c r="CP33" s="117"/>
      <c r="CQ33" s="118"/>
      <c r="CR33" s="117"/>
      <c r="CS33" s="119"/>
      <c r="CT33" s="120" t="str">
        <f t="shared" si="13"/>
        <v>---</v>
      </c>
      <c r="CU33" s="148" t="str">
        <f t="shared" si="14"/>
        <v>/-/ /-/</v>
      </c>
      <c r="CV33" s="121">
        <f t="shared" si="15"/>
        <v>1</v>
      </c>
      <c r="CW33" s="122">
        <f t="shared" si="16"/>
        <v>2025</v>
      </c>
      <c r="CX33" s="121">
        <f t="shared" si="17"/>
        <v>10</v>
      </c>
      <c r="CY33" s="122">
        <f t="shared" si="18"/>
        <v>2024</v>
      </c>
      <c r="CZ33" s="121">
        <f t="shared" si="19"/>
        <v>7</v>
      </c>
      <c r="DA33" s="122">
        <f t="shared" si="20"/>
        <v>2024</v>
      </c>
      <c r="DB33" s="123" t="str">
        <f t="shared" si="21"/>
        <v>- - -</v>
      </c>
      <c r="DC33" s="124" t="str">
        <f t="shared" si="22"/>
        <v>. .</v>
      </c>
      <c r="DD33" s="124"/>
      <c r="DE33" s="103">
        <f t="shared" si="23"/>
        <v>660</v>
      </c>
      <c r="DF33" s="103">
        <f t="shared" si="24"/>
        <v>-23628</v>
      </c>
      <c r="DG33" s="103">
        <f t="shared" si="25"/>
        <v>-1969</v>
      </c>
      <c r="DH33" s="103" t="str">
        <f t="shared" si="26"/>
        <v>Nữ dưới 30</v>
      </c>
      <c r="DI33" s="103"/>
      <c r="DJ33" s="103"/>
      <c r="DK33" s="109" t="str">
        <f t="shared" si="27"/>
        <v>Đến 30</v>
      </c>
      <c r="DL33" s="117" t="str">
        <f t="shared" si="28"/>
        <v>TD</v>
      </c>
      <c r="DM33" s="101">
        <v>2009</v>
      </c>
      <c r="DN33" s="99"/>
      <c r="DO33" s="136"/>
      <c r="DP33" s="101"/>
      <c r="DQ33" s="119"/>
      <c r="DR33" s="125"/>
      <c r="DS33" s="126"/>
      <c r="DT33" s="127"/>
      <c r="DU33" s="128"/>
      <c r="DV33" s="102" t="s">
        <v>131</v>
      </c>
      <c r="DW33" s="105" t="s">
        <v>157</v>
      </c>
      <c r="DX33" s="106" t="s">
        <v>133</v>
      </c>
      <c r="DY33" s="141" t="s">
        <v>41</v>
      </c>
      <c r="DZ33" s="106" t="s">
        <v>51</v>
      </c>
      <c r="EA33" s="129" t="s">
        <v>43</v>
      </c>
      <c r="EB33" s="106" t="s">
        <v>51</v>
      </c>
      <c r="EC33" s="130">
        <v>2012</v>
      </c>
      <c r="ED33" s="105">
        <f t="shared" si="29"/>
        <v>0</v>
      </c>
      <c r="EE33" s="106" t="str">
        <f t="shared" si="30"/>
        <v>- - -</v>
      </c>
      <c r="EF33" s="141" t="s">
        <v>41</v>
      </c>
      <c r="EG33" s="106" t="s">
        <v>51</v>
      </c>
      <c r="EH33" s="129" t="s">
        <v>43</v>
      </c>
      <c r="EI33" s="99" t="s">
        <v>51</v>
      </c>
      <c r="EJ33" s="116">
        <v>2012</v>
      </c>
      <c r="EK33" s="131"/>
      <c r="EL33" s="128" t="str">
        <f t="shared" si="31"/>
        <v>- - -</v>
      </c>
      <c r="EM33" s="132" t="str">
        <f t="shared" si="32"/>
        <v>---</v>
      </c>
      <c r="FP33" s="672"/>
      <c r="FQ33" s="672"/>
      <c r="FR33" s="672"/>
      <c r="FS33" s="672"/>
      <c r="FT33" s="672"/>
      <c r="FU33" s="672"/>
      <c r="FV33" s="672"/>
      <c r="FW33" s="672"/>
      <c r="FX33" s="672"/>
      <c r="FY33" s="672"/>
      <c r="FZ33" s="672"/>
      <c r="GA33" s="672"/>
      <c r="GB33" s="672"/>
      <c r="GC33" s="672"/>
      <c r="GD33" s="672"/>
      <c r="GE33" s="672"/>
      <c r="GF33" s="672"/>
      <c r="GG33" s="672"/>
      <c r="GH33" s="672"/>
      <c r="GI33" s="672"/>
      <c r="GJ33" s="672"/>
      <c r="GK33" s="672"/>
      <c r="GL33" s="672"/>
      <c r="GM33" s="672"/>
      <c r="GN33" s="672"/>
      <c r="GO33" s="672"/>
      <c r="GP33" s="672"/>
      <c r="GQ33" s="672"/>
      <c r="GR33" s="672"/>
      <c r="GS33" s="672"/>
      <c r="GT33" s="672"/>
    </row>
    <row r="34" spans="1:202" s="132" customFormat="1" ht="42.75" customHeight="1" x14ac:dyDescent="0.2">
      <c r="A34" s="496">
        <v>219</v>
      </c>
      <c r="B34" s="322">
        <v>18</v>
      </c>
      <c r="C34" s="99"/>
      <c r="D34" s="99" t="s">
        <v>230</v>
      </c>
      <c r="E34" s="498" t="s">
        <v>279</v>
      </c>
      <c r="F34" s="499" t="s">
        <v>61</v>
      </c>
      <c r="G34" s="500" t="s">
        <v>156</v>
      </c>
      <c r="H34" s="500" t="s">
        <v>51</v>
      </c>
      <c r="I34" s="500" t="s">
        <v>56</v>
      </c>
      <c r="J34" s="98" t="s">
        <v>51</v>
      </c>
      <c r="K34" s="98" t="s">
        <v>247</v>
      </c>
      <c r="L34" s="98" t="s">
        <v>79</v>
      </c>
      <c r="M34" s="98" t="s">
        <v>232</v>
      </c>
      <c r="N34" s="98"/>
      <c r="O34" s="98" t="s">
        <v>240</v>
      </c>
      <c r="P34" s="98" t="s">
        <v>280</v>
      </c>
      <c r="Q34" s="498" t="s">
        <v>281</v>
      </c>
      <c r="R34" s="681" t="s">
        <v>282</v>
      </c>
      <c r="S34" s="501" t="s">
        <v>173</v>
      </c>
      <c r="T34" s="502" t="s">
        <v>249</v>
      </c>
      <c r="U34" s="502" t="s">
        <v>250</v>
      </c>
      <c r="V34" s="503" t="s">
        <v>70</v>
      </c>
      <c r="W34" s="504" t="s">
        <v>275</v>
      </c>
      <c r="X34" s="505" t="s">
        <v>276</v>
      </c>
      <c r="Y34" s="506" t="s">
        <v>275</v>
      </c>
      <c r="Z34" s="505" t="s">
        <v>276</v>
      </c>
      <c r="AA34" s="507" t="s">
        <v>237</v>
      </c>
      <c r="AB34" s="508">
        <v>2</v>
      </c>
      <c r="AC34" s="437" t="s">
        <v>51</v>
      </c>
      <c r="AD34" s="51">
        <v>8</v>
      </c>
      <c r="AE34" s="509">
        <v>4.74</v>
      </c>
      <c r="AF34" s="510"/>
      <c r="AG34" s="51"/>
      <c r="AH34" s="511" t="s">
        <v>41</v>
      </c>
      <c r="AI34" s="512" t="s">
        <v>51</v>
      </c>
      <c r="AJ34" s="513" t="s">
        <v>47</v>
      </c>
      <c r="AK34" s="671" t="s">
        <v>51</v>
      </c>
      <c r="AL34" s="514">
        <v>2015</v>
      </c>
      <c r="AM34" s="515"/>
      <c r="AN34" s="516"/>
      <c r="AO34" s="517">
        <v>3</v>
      </c>
      <c r="AP34" s="518" t="s">
        <v>51</v>
      </c>
      <c r="AQ34" s="519">
        <v>8</v>
      </c>
      <c r="AR34" s="682">
        <v>5.08</v>
      </c>
      <c r="AS34" s="51"/>
      <c r="AT34" s="520" t="s">
        <v>41</v>
      </c>
      <c r="AU34" s="521" t="s">
        <v>51</v>
      </c>
      <c r="AV34" s="522" t="s">
        <v>47</v>
      </c>
      <c r="AW34" s="523" t="s">
        <v>51</v>
      </c>
      <c r="AX34" s="524">
        <v>2018</v>
      </c>
      <c r="AY34" s="527"/>
      <c r="AZ34" s="125">
        <v>5</v>
      </c>
      <c r="BA34" s="107">
        <f t="shared" si="0"/>
        <v>3</v>
      </c>
      <c r="BB34" s="525">
        <f t="shared" si="1"/>
        <v>-24223</v>
      </c>
      <c r="BC34" s="104">
        <f>VLOOKUP(Y34,'[1]- DLiêu Gốc -'!$C$1:$F$60,3,0)</f>
        <v>4.4000000000000004</v>
      </c>
      <c r="BD34" s="104">
        <f>VLOOKUP(Y34,'[1]- DLiêu Gốc -'!$C$1:$F$60,4,0)</f>
        <v>0.34</v>
      </c>
      <c r="BE34" s="109" t="str">
        <f t="shared" si="2"/>
        <v>PCTN</v>
      </c>
      <c r="BF34" s="110">
        <v>7</v>
      </c>
      <c r="BG34" s="212" t="s">
        <v>39</v>
      </c>
      <c r="BH34" s="112" t="s">
        <v>41</v>
      </c>
      <c r="BI34" s="410" t="s">
        <v>51</v>
      </c>
      <c r="BJ34" s="211" t="s">
        <v>48</v>
      </c>
      <c r="BK34" s="410" t="s">
        <v>51</v>
      </c>
      <c r="BL34" s="135">
        <v>2016</v>
      </c>
      <c r="BM34" s="108"/>
      <c r="BN34" s="147"/>
      <c r="BO34" s="111">
        <f>IF(BF34&gt;3,BF34+1,0)</f>
        <v>8</v>
      </c>
      <c r="BP34" s="497" t="s">
        <v>39</v>
      </c>
      <c r="BQ34" s="112" t="s">
        <v>41</v>
      </c>
      <c r="BR34" s="410"/>
      <c r="BS34" s="211" t="s">
        <v>48</v>
      </c>
      <c r="BT34" s="410"/>
      <c r="BU34" s="135">
        <v>2017</v>
      </c>
      <c r="BV34" s="137"/>
      <c r="BW34" s="116"/>
      <c r="BX34" s="526">
        <f t="shared" si="3"/>
        <v>-24213</v>
      </c>
      <c r="BY34" s="109" t="str">
        <f t="shared" si="4"/>
        <v>- - -</v>
      </c>
      <c r="BZ34" s="100" t="str">
        <f t="shared" si="5"/>
        <v>Chánh Văn phòng Học viện, Trưởng Ban Tổ chức - Cán bộ, Tổng Biên tập Tạp chí Quản lý nhà nước</v>
      </c>
      <c r="CA34" s="113" t="str">
        <f t="shared" si="6"/>
        <v>A</v>
      </c>
      <c r="CB34" s="114" t="str">
        <f t="shared" si="7"/>
        <v>=&gt; s</v>
      </c>
      <c r="CC34" s="103">
        <f t="shared" si="8"/>
        <v>24247</v>
      </c>
      <c r="CD34" s="99" t="str">
        <f t="shared" si="9"/>
        <v>S</v>
      </c>
      <c r="CE34" s="99">
        <v>2012</v>
      </c>
      <c r="CF34" s="164" t="s">
        <v>11</v>
      </c>
      <c r="CG34" s="99"/>
      <c r="CH34" s="115"/>
      <c r="CI34" s="99" t="str">
        <f t="shared" si="10"/>
        <v>- - -</v>
      </c>
      <c r="CJ34" s="116" t="str">
        <f t="shared" si="11"/>
        <v>- - -</v>
      </c>
      <c r="CK34" s="117"/>
      <c r="CL34" s="118"/>
      <c r="CM34" s="117"/>
      <c r="CN34" s="119"/>
      <c r="CO34" s="116" t="str">
        <f t="shared" si="12"/>
        <v>CN</v>
      </c>
      <c r="CP34" s="117">
        <v>6</v>
      </c>
      <c r="CQ34" s="118">
        <v>2013</v>
      </c>
      <c r="CR34" s="117"/>
      <c r="CS34" s="119"/>
      <c r="CT34" s="120" t="str">
        <f t="shared" si="13"/>
        <v>---</v>
      </c>
      <c r="CU34" s="148" t="str">
        <f t="shared" si="14"/>
        <v>/-/ /-/</v>
      </c>
      <c r="CV34" s="121">
        <f t="shared" si="15"/>
        <v>12</v>
      </c>
      <c r="CW34" s="122">
        <f t="shared" si="16"/>
        <v>2029</v>
      </c>
      <c r="CX34" s="121">
        <f t="shared" si="17"/>
        <v>9</v>
      </c>
      <c r="CY34" s="122">
        <f t="shared" si="18"/>
        <v>2029</v>
      </c>
      <c r="CZ34" s="121">
        <f t="shared" si="19"/>
        <v>6</v>
      </c>
      <c r="DA34" s="122">
        <f t="shared" si="20"/>
        <v>2029</v>
      </c>
      <c r="DB34" s="123" t="str">
        <f t="shared" si="21"/>
        <v>- - -</v>
      </c>
      <c r="DC34" s="124" t="str">
        <f t="shared" si="22"/>
        <v>. .</v>
      </c>
      <c r="DD34" s="124"/>
      <c r="DE34" s="103">
        <f t="shared" si="23"/>
        <v>660</v>
      </c>
      <c r="DF34" s="103">
        <f t="shared" si="24"/>
        <v>-23687</v>
      </c>
      <c r="DG34" s="103">
        <f t="shared" si="25"/>
        <v>-1974</v>
      </c>
      <c r="DH34" s="103" t="str">
        <f t="shared" si="26"/>
        <v>Nữ dưới 30</v>
      </c>
      <c r="DI34" s="103"/>
      <c r="DJ34" s="103"/>
      <c r="DK34" s="109" t="str">
        <f t="shared" si="27"/>
        <v>Đến 30</v>
      </c>
      <c r="DL34" s="117" t="str">
        <f t="shared" si="28"/>
        <v>--</v>
      </c>
      <c r="DM34" s="101"/>
      <c r="DN34" s="99" t="s">
        <v>150</v>
      </c>
      <c r="DO34" s="136">
        <v>6</v>
      </c>
      <c r="DP34" s="101">
        <v>2013</v>
      </c>
      <c r="DQ34" s="119"/>
      <c r="DR34" s="125"/>
      <c r="DS34" s="126"/>
      <c r="DT34" s="127"/>
      <c r="DU34" s="128"/>
      <c r="DV34" s="102" t="s">
        <v>158</v>
      </c>
      <c r="DW34" s="105" t="s">
        <v>159</v>
      </c>
      <c r="DX34" s="106" t="s">
        <v>160</v>
      </c>
      <c r="DY34" s="141" t="s">
        <v>41</v>
      </c>
      <c r="DZ34" s="106" t="s">
        <v>51</v>
      </c>
      <c r="EA34" s="129" t="s">
        <v>43</v>
      </c>
      <c r="EB34" s="106" t="s">
        <v>51</v>
      </c>
      <c r="EC34" s="130">
        <v>2012</v>
      </c>
      <c r="ED34" s="105">
        <f t="shared" si="29"/>
        <v>0</v>
      </c>
      <c r="EE34" s="106" t="str">
        <f t="shared" si="30"/>
        <v>- - -</v>
      </c>
      <c r="EF34" s="141" t="s">
        <v>41</v>
      </c>
      <c r="EG34" s="106" t="s">
        <v>51</v>
      </c>
      <c r="EH34" s="129" t="s">
        <v>43</v>
      </c>
      <c r="EI34" s="99" t="s">
        <v>51</v>
      </c>
      <c r="EJ34" s="116">
        <v>2012</v>
      </c>
      <c r="EK34" s="131"/>
      <c r="EL34" s="128" t="str">
        <f t="shared" si="31"/>
        <v>- - -</v>
      </c>
      <c r="EM34" s="132" t="str">
        <f t="shared" si="32"/>
        <v>---</v>
      </c>
      <c r="FP34" s="672"/>
      <c r="FQ34" s="672"/>
      <c r="FR34" s="672"/>
      <c r="FS34" s="672"/>
      <c r="FT34" s="672"/>
      <c r="FU34" s="672"/>
      <c r="FV34" s="672"/>
      <c r="FW34" s="672"/>
      <c r="FX34" s="672"/>
      <c r="FY34" s="672"/>
      <c r="FZ34" s="672"/>
      <c r="GA34" s="672"/>
      <c r="GB34" s="672"/>
      <c r="GC34" s="672"/>
      <c r="GD34" s="672"/>
      <c r="GE34" s="672"/>
      <c r="GF34" s="672"/>
      <c r="GG34" s="672"/>
      <c r="GH34" s="672"/>
      <c r="GI34" s="672"/>
      <c r="GJ34" s="672"/>
      <c r="GK34" s="672"/>
      <c r="GL34" s="672"/>
      <c r="GM34" s="672"/>
      <c r="GN34" s="672"/>
      <c r="GO34" s="672"/>
      <c r="GP34" s="672"/>
      <c r="GQ34" s="672"/>
      <c r="GR34" s="672"/>
      <c r="GS34" s="672"/>
      <c r="GT34" s="672"/>
    </row>
    <row r="35" spans="1:202" s="132" customFormat="1" ht="42.75" customHeight="1" x14ac:dyDescent="0.2">
      <c r="A35" s="496">
        <v>260</v>
      </c>
      <c r="B35" s="322">
        <v>19</v>
      </c>
      <c r="C35" s="99"/>
      <c r="D35" s="99" t="s">
        <v>230</v>
      </c>
      <c r="E35" s="498" t="s">
        <v>283</v>
      </c>
      <c r="F35" s="499" t="s">
        <v>61</v>
      </c>
      <c r="G35" s="500" t="s">
        <v>41</v>
      </c>
      <c r="H35" s="500" t="s">
        <v>51</v>
      </c>
      <c r="I35" s="500" t="s">
        <v>41</v>
      </c>
      <c r="J35" s="98" t="s">
        <v>51</v>
      </c>
      <c r="K35" s="98">
        <v>1981</v>
      </c>
      <c r="L35" s="98" t="s">
        <v>77</v>
      </c>
      <c r="M35" s="98" t="s">
        <v>261</v>
      </c>
      <c r="N35" s="98"/>
      <c r="O35" s="98" t="e">
        <v>#N/A</v>
      </c>
      <c r="P35" s="98"/>
      <c r="Q35" s="498" t="e">
        <v>#N/A</v>
      </c>
      <c r="R35" s="681"/>
      <c r="S35" s="501" t="s">
        <v>136</v>
      </c>
      <c r="T35" s="502" t="s">
        <v>235</v>
      </c>
      <c r="U35" s="502" t="s">
        <v>236</v>
      </c>
      <c r="V35" s="503" t="s">
        <v>69</v>
      </c>
      <c r="W35" s="504" t="s">
        <v>73</v>
      </c>
      <c r="X35" s="505" t="s">
        <v>71</v>
      </c>
      <c r="Y35" s="506" t="s">
        <v>73</v>
      </c>
      <c r="Z35" s="505" t="s">
        <v>71</v>
      </c>
      <c r="AA35" s="507" t="s">
        <v>237</v>
      </c>
      <c r="AB35" s="508">
        <v>4</v>
      </c>
      <c r="AC35" s="437" t="s">
        <v>51</v>
      </c>
      <c r="AD35" s="51">
        <v>9</v>
      </c>
      <c r="AE35" s="509">
        <v>3.33</v>
      </c>
      <c r="AF35" s="510"/>
      <c r="AG35" s="51"/>
      <c r="AH35" s="511" t="s">
        <v>41</v>
      </c>
      <c r="AI35" s="512" t="s">
        <v>51</v>
      </c>
      <c r="AJ35" s="513" t="s">
        <v>47</v>
      </c>
      <c r="AK35" s="671" t="s">
        <v>51</v>
      </c>
      <c r="AL35" s="514">
        <v>2015</v>
      </c>
      <c r="AM35" s="515"/>
      <c r="AN35" s="516"/>
      <c r="AO35" s="517">
        <v>5</v>
      </c>
      <c r="AP35" s="518" t="s">
        <v>51</v>
      </c>
      <c r="AQ35" s="519">
        <v>9</v>
      </c>
      <c r="AR35" s="682">
        <v>3.66</v>
      </c>
      <c r="AS35" s="51"/>
      <c r="AT35" s="520" t="s">
        <v>41</v>
      </c>
      <c r="AU35" s="521" t="s">
        <v>51</v>
      </c>
      <c r="AV35" s="522" t="s">
        <v>47</v>
      </c>
      <c r="AW35" s="523" t="s">
        <v>51</v>
      </c>
      <c r="AX35" s="524">
        <v>2018</v>
      </c>
      <c r="AY35" s="527"/>
      <c r="AZ35" s="125">
        <v>5</v>
      </c>
      <c r="BA35" s="107">
        <f t="shared" si="0"/>
        <v>3</v>
      </c>
      <c r="BB35" s="525">
        <f t="shared" si="1"/>
        <v>-24223</v>
      </c>
      <c r="BC35" s="104">
        <f>VLOOKUP(Y35,'[1]- DLiêu Gốc -'!$C$1:$F$60,3,0)</f>
        <v>2.34</v>
      </c>
      <c r="BD35" s="104">
        <f>VLOOKUP(Y35,'[1]- DLiêu Gốc -'!$C$1:$F$60,4,0)</f>
        <v>0.33</v>
      </c>
      <c r="BE35" s="109" t="str">
        <f t="shared" si="2"/>
        <v>PCTN</v>
      </c>
      <c r="BF35" s="110">
        <v>12</v>
      </c>
      <c r="BG35" s="212" t="s">
        <v>39</v>
      </c>
      <c r="BH35" s="112" t="s">
        <v>41</v>
      </c>
      <c r="BI35" s="410" t="s">
        <v>51</v>
      </c>
      <c r="BJ35" s="211">
        <v>5</v>
      </c>
      <c r="BK35" s="410" t="s">
        <v>51</v>
      </c>
      <c r="BL35" s="135">
        <v>2016</v>
      </c>
      <c r="BM35" s="108"/>
      <c r="BN35" s="147"/>
      <c r="BO35" s="111">
        <f>IF(BF35&gt;3,BF35+1,0)</f>
        <v>13</v>
      </c>
      <c r="BP35" s="497" t="s">
        <v>39</v>
      </c>
      <c r="BQ35" s="112" t="s">
        <v>41</v>
      </c>
      <c r="BR35" s="410" t="s">
        <v>51</v>
      </c>
      <c r="BS35" s="211">
        <v>5</v>
      </c>
      <c r="BT35" s="410" t="s">
        <v>51</v>
      </c>
      <c r="BU35" s="135">
        <v>2017</v>
      </c>
      <c r="BV35" s="137"/>
      <c r="BW35" s="116"/>
      <c r="BX35" s="526">
        <f t="shared" si="3"/>
        <v>-24209</v>
      </c>
      <c r="BY35" s="109" t="str">
        <f t="shared" si="4"/>
        <v>- - -</v>
      </c>
      <c r="BZ35" s="100" t="str">
        <f t="shared" si="5"/>
        <v>Chánh Văn phòng Học viện, Trưởng Ban Tổ chức - Cán bộ, Trưởng Trung tâm Ngoại ngữ - Tin học và Thông tin - Thư viện</v>
      </c>
      <c r="CA35" s="113" t="str">
        <f t="shared" si="6"/>
        <v>A</v>
      </c>
      <c r="CB35" s="114" t="str">
        <f t="shared" si="7"/>
        <v>=&gt; s</v>
      </c>
      <c r="CC35" s="103">
        <f t="shared" si="8"/>
        <v>24247</v>
      </c>
      <c r="CD35" s="99" t="str">
        <f t="shared" si="9"/>
        <v>S</v>
      </c>
      <c r="CE35" s="99">
        <v>2012</v>
      </c>
      <c r="CF35" s="164" t="s">
        <v>71</v>
      </c>
      <c r="CG35" s="99"/>
      <c r="CH35" s="115"/>
      <c r="CI35" s="99" t="str">
        <f t="shared" si="10"/>
        <v>Cùg Ng</v>
      </c>
      <c r="CJ35" s="116" t="str">
        <f t="shared" si="11"/>
        <v>- - -</v>
      </c>
      <c r="CK35" s="117"/>
      <c r="CL35" s="118"/>
      <c r="CM35" s="117"/>
      <c r="CN35" s="119"/>
      <c r="CO35" s="116" t="str">
        <f t="shared" si="12"/>
        <v>- - -</v>
      </c>
      <c r="CP35" s="117"/>
      <c r="CQ35" s="118"/>
      <c r="CR35" s="117"/>
      <c r="CS35" s="119"/>
      <c r="CT35" s="120" t="str">
        <f t="shared" si="13"/>
        <v>---</v>
      </c>
      <c r="CU35" s="148" t="str">
        <f t="shared" si="14"/>
        <v>/-/ /-/</v>
      </c>
      <c r="CV35" s="121">
        <f t="shared" si="15"/>
        <v>2</v>
      </c>
      <c r="CW35" s="122">
        <f t="shared" si="16"/>
        <v>2036</v>
      </c>
      <c r="CX35" s="121">
        <f t="shared" si="17"/>
        <v>11</v>
      </c>
      <c r="CY35" s="122">
        <f t="shared" si="18"/>
        <v>2035</v>
      </c>
      <c r="CZ35" s="121">
        <f t="shared" si="19"/>
        <v>8</v>
      </c>
      <c r="DA35" s="122">
        <f t="shared" si="20"/>
        <v>2035</v>
      </c>
      <c r="DB35" s="123" t="str">
        <f t="shared" si="21"/>
        <v>- - -</v>
      </c>
      <c r="DC35" s="124" t="str">
        <f t="shared" si="22"/>
        <v>. .</v>
      </c>
      <c r="DD35" s="124"/>
      <c r="DE35" s="103">
        <f t="shared" si="23"/>
        <v>660</v>
      </c>
      <c r="DF35" s="103">
        <f t="shared" si="24"/>
        <v>-23761</v>
      </c>
      <c r="DG35" s="103">
        <f t="shared" si="25"/>
        <v>-1981</v>
      </c>
      <c r="DH35" s="103" t="str">
        <f t="shared" si="26"/>
        <v>Nữ dưới 30</v>
      </c>
      <c r="DI35" s="103"/>
      <c r="DJ35" s="103"/>
      <c r="DK35" s="109" t="str">
        <f t="shared" si="27"/>
        <v>Đến 30</v>
      </c>
      <c r="DL35" s="117" t="str">
        <f t="shared" si="28"/>
        <v>--</v>
      </c>
      <c r="DM35" s="101"/>
      <c r="DN35" s="99"/>
      <c r="DO35" s="136"/>
      <c r="DP35" s="101"/>
      <c r="DQ35" s="119"/>
      <c r="DR35" s="125"/>
      <c r="DS35" s="126"/>
      <c r="DT35" s="127"/>
      <c r="DU35" s="128"/>
      <c r="DV35" s="102" t="s">
        <v>162</v>
      </c>
      <c r="DW35" s="105" t="s">
        <v>163</v>
      </c>
      <c r="DX35" s="106" t="s">
        <v>162</v>
      </c>
      <c r="DY35" s="141" t="s">
        <v>41</v>
      </c>
      <c r="DZ35" s="106" t="s">
        <v>51</v>
      </c>
      <c r="EA35" s="129" t="s">
        <v>43</v>
      </c>
      <c r="EB35" s="106" t="s">
        <v>51</v>
      </c>
      <c r="EC35" s="130">
        <v>2012</v>
      </c>
      <c r="ED35" s="105">
        <f t="shared" si="29"/>
        <v>0</v>
      </c>
      <c r="EE35" s="106" t="str">
        <f t="shared" si="30"/>
        <v>- - -</v>
      </c>
      <c r="EF35" s="141" t="s">
        <v>41</v>
      </c>
      <c r="EG35" s="106" t="s">
        <v>51</v>
      </c>
      <c r="EH35" s="129" t="s">
        <v>43</v>
      </c>
      <c r="EI35" s="99" t="s">
        <v>51</v>
      </c>
      <c r="EJ35" s="116">
        <v>2012</v>
      </c>
      <c r="EK35" s="131"/>
      <c r="EL35" s="128" t="str">
        <f t="shared" si="31"/>
        <v>- - -</v>
      </c>
      <c r="EM35" s="132" t="str">
        <f t="shared" si="32"/>
        <v>---</v>
      </c>
      <c r="FP35" s="672"/>
      <c r="FQ35" s="672"/>
      <c r="FR35" s="672"/>
      <c r="FS35" s="672"/>
      <c r="FT35" s="672"/>
      <c r="FU35" s="672"/>
      <c r="FV35" s="672"/>
      <c r="FW35" s="672"/>
      <c r="FX35" s="672"/>
      <c r="FY35" s="672"/>
      <c r="FZ35" s="672"/>
      <c r="GA35" s="672"/>
      <c r="GB35" s="672"/>
      <c r="GC35" s="672"/>
      <c r="GD35" s="672"/>
      <c r="GE35" s="672"/>
      <c r="GF35" s="672"/>
      <c r="GG35" s="672"/>
      <c r="GH35" s="672"/>
      <c r="GI35" s="672"/>
      <c r="GJ35" s="672"/>
      <c r="GK35" s="672"/>
      <c r="GL35" s="672"/>
      <c r="GM35" s="672"/>
      <c r="GN35" s="672"/>
      <c r="GO35" s="672"/>
      <c r="GP35" s="672"/>
      <c r="GQ35" s="672"/>
      <c r="GR35" s="672"/>
      <c r="GS35" s="672"/>
      <c r="GT35" s="672"/>
    </row>
    <row r="36" spans="1:202" s="132" customFormat="1" ht="42.75" customHeight="1" x14ac:dyDescent="0.2">
      <c r="A36" s="496">
        <v>310</v>
      </c>
      <c r="B36" s="322">
        <v>20</v>
      </c>
      <c r="C36" s="99"/>
      <c r="D36" s="99" t="s">
        <v>238</v>
      </c>
      <c r="E36" s="498" t="s">
        <v>284</v>
      </c>
      <c r="F36" s="499" t="s">
        <v>60</v>
      </c>
      <c r="G36" s="500" t="s">
        <v>170</v>
      </c>
      <c r="H36" s="500" t="s">
        <v>51</v>
      </c>
      <c r="I36" s="500" t="s">
        <v>46</v>
      </c>
      <c r="J36" s="98" t="s">
        <v>51</v>
      </c>
      <c r="K36" s="98">
        <v>1984</v>
      </c>
      <c r="L36" s="98" t="s">
        <v>77</v>
      </c>
      <c r="M36" s="98" t="s">
        <v>261</v>
      </c>
      <c r="N36" s="98"/>
      <c r="O36" s="98" t="e">
        <v>#N/A</v>
      </c>
      <c r="P36" s="98"/>
      <c r="Q36" s="498" t="e">
        <v>#N/A</v>
      </c>
      <c r="R36" s="681"/>
      <c r="S36" s="501" t="s">
        <v>136</v>
      </c>
      <c r="T36" s="502" t="s">
        <v>235</v>
      </c>
      <c r="U36" s="502" t="s">
        <v>236</v>
      </c>
      <c r="V36" s="503" t="s">
        <v>70</v>
      </c>
      <c r="W36" s="504" t="s">
        <v>40</v>
      </c>
      <c r="X36" s="505" t="s">
        <v>11</v>
      </c>
      <c r="Y36" s="506" t="s">
        <v>40</v>
      </c>
      <c r="Z36" s="505" t="s">
        <v>11</v>
      </c>
      <c r="AA36" s="507" t="s">
        <v>237</v>
      </c>
      <c r="AB36" s="508">
        <v>3</v>
      </c>
      <c r="AC36" s="437" t="s">
        <v>51</v>
      </c>
      <c r="AD36" s="51">
        <v>9</v>
      </c>
      <c r="AE36" s="509">
        <v>3</v>
      </c>
      <c r="AF36" s="510"/>
      <c r="AG36" s="51"/>
      <c r="AH36" s="511" t="s">
        <v>41</v>
      </c>
      <c r="AI36" s="512" t="s">
        <v>51</v>
      </c>
      <c r="AJ36" s="513" t="s">
        <v>47</v>
      </c>
      <c r="AK36" s="671" t="s">
        <v>51</v>
      </c>
      <c r="AL36" s="514">
        <v>2015</v>
      </c>
      <c r="AM36" s="515"/>
      <c r="AN36" s="516"/>
      <c r="AO36" s="517">
        <v>4</v>
      </c>
      <c r="AP36" s="518" t="s">
        <v>51</v>
      </c>
      <c r="AQ36" s="519">
        <v>9</v>
      </c>
      <c r="AR36" s="682">
        <v>3.33</v>
      </c>
      <c r="AS36" s="51"/>
      <c r="AT36" s="520" t="s">
        <v>41</v>
      </c>
      <c r="AU36" s="521" t="s">
        <v>51</v>
      </c>
      <c r="AV36" s="522" t="s">
        <v>47</v>
      </c>
      <c r="AW36" s="523" t="s">
        <v>51</v>
      </c>
      <c r="AX36" s="524">
        <v>2018</v>
      </c>
      <c r="AY36" s="527"/>
      <c r="AZ36" s="125">
        <v>5</v>
      </c>
      <c r="BA36" s="107">
        <f t="shared" si="0"/>
        <v>3</v>
      </c>
      <c r="BB36" s="525">
        <f t="shared" si="1"/>
        <v>-24223</v>
      </c>
      <c r="BC36" s="104">
        <f>VLOOKUP(Y36,'[1]- DLiêu Gốc -'!$C$1:$F$60,3,0)</f>
        <v>2.34</v>
      </c>
      <c r="BD36" s="104">
        <f>VLOOKUP(Y36,'[1]- DLiêu Gốc -'!$C$1:$F$60,4,0)</f>
        <v>0.33</v>
      </c>
      <c r="BE36" s="109" t="str">
        <f t="shared" si="2"/>
        <v>PCTN</v>
      </c>
      <c r="BF36" s="110">
        <v>12</v>
      </c>
      <c r="BG36" s="212" t="s">
        <v>39</v>
      </c>
      <c r="BH36" s="112" t="s">
        <v>41</v>
      </c>
      <c r="BI36" s="410" t="s">
        <v>51</v>
      </c>
      <c r="BJ36" s="211" t="s">
        <v>41</v>
      </c>
      <c r="BK36" s="410" t="s">
        <v>51</v>
      </c>
      <c r="BL36" s="135">
        <v>2017</v>
      </c>
      <c r="BM36" s="108"/>
      <c r="BN36" s="147"/>
      <c r="BO36" s="111">
        <f>IF(BF36&gt;3,BF36+1,0)</f>
        <v>13</v>
      </c>
      <c r="BP36" s="497" t="s">
        <v>39</v>
      </c>
      <c r="BQ36" s="112" t="s">
        <v>41</v>
      </c>
      <c r="BR36" s="410" t="s">
        <v>51</v>
      </c>
      <c r="BS36" s="211" t="s">
        <v>41</v>
      </c>
      <c r="BT36" s="410" t="s">
        <v>51</v>
      </c>
      <c r="BU36" s="135">
        <v>2018</v>
      </c>
      <c r="BV36" s="137"/>
      <c r="BW36" s="116">
        <v>1</v>
      </c>
      <c r="BX36" s="526">
        <f t="shared" si="3"/>
        <v>-24217</v>
      </c>
      <c r="BY36" s="109" t="str">
        <f t="shared" si="4"/>
        <v>- - -</v>
      </c>
      <c r="BZ36" s="100" t="str">
        <f t="shared" si="5"/>
        <v>Chánh Văn phòng Học viện, Trưởng Ban Tổ chức - Cán bộ, Trưởng Trung tâm Ngoại ngữ - Tin học và Thông tin - Thư viện</v>
      </c>
      <c r="CA36" s="113" t="str">
        <f t="shared" si="6"/>
        <v>A</v>
      </c>
      <c r="CB36" s="114" t="str">
        <f t="shared" si="7"/>
        <v>=&gt; s</v>
      </c>
      <c r="CC36" s="103">
        <f t="shared" si="8"/>
        <v>24247</v>
      </c>
      <c r="CD36" s="99" t="str">
        <f t="shared" si="9"/>
        <v>---</v>
      </c>
      <c r="CE36" s="99"/>
      <c r="CF36" s="164"/>
      <c r="CG36" s="99"/>
      <c r="CH36" s="115"/>
      <c r="CI36" s="99" t="str">
        <f t="shared" si="10"/>
        <v>- - -</v>
      </c>
      <c r="CJ36" s="116" t="str">
        <f t="shared" si="11"/>
        <v>- - -</v>
      </c>
      <c r="CK36" s="117"/>
      <c r="CL36" s="118"/>
      <c r="CM36" s="117"/>
      <c r="CN36" s="119"/>
      <c r="CO36" s="116" t="str">
        <f t="shared" si="12"/>
        <v>- - -</v>
      </c>
      <c r="CP36" s="117"/>
      <c r="CQ36" s="118"/>
      <c r="CR36" s="117"/>
      <c r="CS36" s="119"/>
      <c r="CT36" s="120" t="str">
        <f t="shared" si="13"/>
        <v>---</v>
      </c>
      <c r="CU36" s="148" t="str">
        <f t="shared" si="14"/>
        <v>/-/ /-/</v>
      </c>
      <c r="CV36" s="121">
        <f t="shared" si="15"/>
        <v>4</v>
      </c>
      <c r="CW36" s="122">
        <f t="shared" si="16"/>
        <v>2044</v>
      </c>
      <c r="CX36" s="121">
        <f t="shared" si="17"/>
        <v>1</v>
      </c>
      <c r="CY36" s="122">
        <f t="shared" si="18"/>
        <v>2044</v>
      </c>
      <c r="CZ36" s="121">
        <f t="shared" si="19"/>
        <v>10</v>
      </c>
      <c r="DA36" s="122">
        <f t="shared" si="20"/>
        <v>2043</v>
      </c>
      <c r="DB36" s="123" t="str">
        <f t="shared" si="21"/>
        <v>- - -</v>
      </c>
      <c r="DC36" s="124" t="str">
        <f t="shared" si="22"/>
        <v>. .</v>
      </c>
      <c r="DD36" s="124"/>
      <c r="DE36" s="103">
        <f t="shared" si="23"/>
        <v>720</v>
      </c>
      <c r="DF36" s="103">
        <f t="shared" si="24"/>
        <v>-23799</v>
      </c>
      <c r="DG36" s="103">
        <f t="shared" si="25"/>
        <v>-1984</v>
      </c>
      <c r="DH36" s="103" t="str">
        <f t="shared" si="26"/>
        <v>Nam dưới 35</v>
      </c>
      <c r="DI36" s="103"/>
      <c r="DJ36" s="103"/>
      <c r="DK36" s="109" t="str">
        <f t="shared" si="27"/>
        <v>Đến 30</v>
      </c>
      <c r="DL36" s="117" t="str">
        <f t="shared" si="28"/>
        <v>TD</v>
      </c>
      <c r="DM36" s="101">
        <v>2012</v>
      </c>
      <c r="DN36" s="99"/>
      <c r="DO36" s="136"/>
      <c r="DP36" s="101"/>
      <c r="DQ36" s="119"/>
      <c r="DR36" s="125"/>
      <c r="DS36" s="126"/>
      <c r="DT36" s="127"/>
      <c r="DU36" s="128"/>
      <c r="DV36" s="102" t="s">
        <v>164</v>
      </c>
      <c r="DW36" s="105" t="s">
        <v>165</v>
      </c>
      <c r="DX36" s="106"/>
      <c r="DY36" s="141" t="s">
        <v>41</v>
      </c>
      <c r="DZ36" s="106" t="s">
        <v>51</v>
      </c>
      <c r="EA36" s="129" t="s">
        <v>43</v>
      </c>
      <c r="EB36" s="106" t="s">
        <v>51</v>
      </c>
      <c r="EC36" s="130">
        <v>2012</v>
      </c>
      <c r="ED36" s="105">
        <f t="shared" si="29"/>
        <v>0</v>
      </c>
      <c r="EE36" s="106" t="str">
        <f t="shared" si="30"/>
        <v>- - -</v>
      </c>
      <c r="EF36" s="141" t="s">
        <v>41</v>
      </c>
      <c r="EG36" s="106" t="s">
        <v>51</v>
      </c>
      <c r="EH36" s="129" t="s">
        <v>43</v>
      </c>
      <c r="EI36" s="99" t="s">
        <v>51</v>
      </c>
      <c r="EJ36" s="116">
        <v>2012</v>
      </c>
      <c r="EK36" s="131"/>
      <c r="EL36" s="128" t="str">
        <f t="shared" si="31"/>
        <v>- - -</v>
      </c>
      <c r="EM36" s="132" t="str">
        <f t="shared" si="32"/>
        <v>---</v>
      </c>
      <c r="FP36" s="672"/>
      <c r="FQ36" s="672"/>
      <c r="FR36" s="672"/>
      <c r="FS36" s="672"/>
      <c r="FT36" s="672"/>
      <c r="FU36" s="672"/>
      <c r="FV36" s="672"/>
      <c r="FW36" s="672"/>
      <c r="FX36" s="672"/>
      <c r="FY36" s="672"/>
      <c r="FZ36" s="672"/>
      <c r="GA36" s="672"/>
      <c r="GB36" s="672"/>
      <c r="GC36" s="672"/>
      <c r="GD36" s="672"/>
      <c r="GE36" s="672"/>
      <c r="GF36" s="672"/>
      <c r="GG36" s="672"/>
      <c r="GH36" s="672"/>
      <c r="GI36" s="672"/>
      <c r="GJ36" s="672"/>
      <c r="GK36" s="672"/>
      <c r="GL36" s="672"/>
      <c r="GM36" s="672"/>
      <c r="GN36" s="672"/>
      <c r="GO36" s="672"/>
      <c r="GP36" s="672"/>
      <c r="GQ36" s="672"/>
      <c r="GR36" s="672"/>
      <c r="GS36" s="672"/>
      <c r="GT36" s="672"/>
    </row>
    <row r="37" spans="1:202" s="132" customFormat="1" ht="42.75" customHeight="1" x14ac:dyDescent="0.2">
      <c r="A37" s="496">
        <v>382</v>
      </c>
      <c r="B37" s="322">
        <v>21</v>
      </c>
      <c r="C37" s="99"/>
      <c r="D37" s="99" t="s">
        <v>230</v>
      </c>
      <c r="E37" s="498" t="s">
        <v>285</v>
      </c>
      <c r="F37" s="499" t="s">
        <v>61</v>
      </c>
      <c r="G37" s="500" t="s">
        <v>32</v>
      </c>
      <c r="H37" s="500" t="s">
        <v>51</v>
      </c>
      <c r="I37" s="500" t="s">
        <v>56</v>
      </c>
      <c r="J37" s="98" t="s">
        <v>51</v>
      </c>
      <c r="K37" s="98" t="s">
        <v>137</v>
      </c>
      <c r="L37" s="98" t="s">
        <v>79</v>
      </c>
      <c r="M37" s="98" t="s">
        <v>232</v>
      </c>
      <c r="N37" s="98"/>
      <c r="O37" s="98" t="e">
        <v>#N/A</v>
      </c>
      <c r="P37" s="98"/>
      <c r="Q37" s="498" t="e">
        <v>#N/A</v>
      </c>
      <c r="R37" s="681" t="s">
        <v>286</v>
      </c>
      <c r="S37" s="501" t="s">
        <v>287</v>
      </c>
      <c r="T37" s="502" t="s">
        <v>235</v>
      </c>
      <c r="U37" s="502" t="s">
        <v>236</v>
      </c>
      <c r="V37" s="503" t="s">
        <v>70</v>
      </c>
      <c r="W37" s="504" t="s">
        <v>288</v>
      </c>
      <c r="X37" s="505" t="s">
        <v>289</v>
      </c>
      <c r="Y37" s="506" t="s">
        <v>288</v>
      </c>
      <c r="Z37" s="505" t="s">
        <v>289</v>
      </c>
      <c r="AA37" s="507" t="s">
        <v>237</v>
      </c>
      <c r="AB37" s="508">
        <v>4</v>
      </c>
      <c r="AC37" s="437" t="s">
        <v>51</v>
      </c>
      <c r="AD37" s="51">
        <v>9</v>
      </c>
      <c r="AE37" s="509">
        <v>3.33</v>
      </c>
      <c r="AF37" s="510"/>
      <c r="AG37" s="51"/>
      <c r="AH37" s="511" t="s">
        <v>41</v>
      </c>
      <c r="AI37" s="512" t="s">
        <v>51</v>
      </c>
      <c r="AJ37" s="513" t="s">
        <v>47</v>
      </c>
      <c r="AK37" s="671" t="s">
        <v>51</v>
      </c>
      <c r="AL37" s="514">
        <v>2015</v>
      </c>
      <c r="AM37" s="515"/>
      <c r="AN37" s="516"/>
      <c r="AO37" s="517">
        <v>5</v>
      </c>
      <c r="AP37" s="518" t="s">
        <v>51</v>
      </c>
      <c r="AQ37" s="519">
        <v>9</v>
      </c>
      <c r="AR37" s="682">
        <v>3.66</v>
      </c>
      <c r="AS37" s="51"/>
      <c r="AT37" s="520" t="s">
        <v>41</v>
      </c>
      <c r="AU37" s="521" t="s">
        <v>51</v>
      </c>
      <c r="AV37" s="522" t="s">
        <v>47</v>
      </c>
      <c r="AW37" s="523" t="s">
        <v>51</v>
      </c>
      <c r="AX37" s="524">
        <v>2018</v>
      </c>
      <c r="AY37" s="527"/>
      <c r="AZ37" s="125">
        <v>5</v>
      </c>
      <c r="BA37" s="107">
        <f t="shared" si="0"/>
        <v>3</v>
      </c>
      <c r="BB37" s="525">
        <f t="shared" si="1"/>
        <v>-24223</v>
      </c>
      <c r="BC37" s="104">
        <f>VLOOKUP(Y37,'[1]- DLiêu Gốc -'!$C$1:$F$60,3,0)</f>
        <v>2.34</v>
      </c>
      <c r="BD37" s="104">
        <f>VLOOKUP(Y37,'[1]- DLiêu Gốc -'!$C$1:$F$60,4,0)</f>
        <v>0.33</v>
      </c>
      <c r="BE37" s="109" t="str">
        <f t="shared" si="2"/>
        <v>o-o-o</v>
      </c>
      <c r="BF37" s="110"/>
      <c r="BG37" s="212"/>
      <c r="BH37" s="112"/>
      <c r="BI37" s="410"/>
      <c r="BJ37" s="211"/>
      <c r="BK37" s="410"/>
      <c r="BL37" s="135"/>
      <c r="BM37" s="108"/>
      <c r="BN37" s="147"/>
      <c r="BO37" s="111"/>
      <c r="BP37" s="497"/>
      <c r="BQ37" s="112"/>
      <c r="BR37" s="410"/>
      <c r="BS37" s="211"/>
      <c r="BT37" s="410"/>
      <c r="BU37" s="135"/>
      <c r="BV37" s="137"/>
      <c r="BW37" s="116"/>
      <c r="BX37" s="526" t="str">
        <f t="shared" si="3"/>
        <v>- - -</v>
      </c>
      <c r="BY37" s="109" t="str">
        <f t="shared" si="4"/>
        <v>- - -</v>
      </c>
      <c r="BZ37" s="100" t="str">
        <f t="shared" si="5"/>
        <v>Chánh Văn phòng Học viện, Trưởng Ban Tổ chức - Cán bộ</v>
      </c>
      <c r="CA37" s="113" t="str">
        <f t="shared" si="6"/>
        <v>A</v>
      </c>
      <c r="CB37" s="114" t="str">
        <f t="shared" si="7"/>
        <v>=&gt; s</v>
      </c>
      <c r="CC37" s="103">
        <f t="shared" si="8"/>
        <v>24247</v>
      </c>
      <c r="CD37" s="99" t="str">
        <f t="shared" si="9"/>
        <v>---</v>
      </c>
      <c r="CE37" s="99"/>
      <c r="CF37" s="164"/>
      <c r="CG37" s="99"/>
      <c r="CH37" s="115"/>
      <c r="CI37" s="99" t="str">
        <f t="shared" si="10"/>
        <v>- - -</v>
      </c>
      <c r="CJ37" s="116" t="str">
        <f t="shared" si="11"/>
        <v>- - -</v>
      </c>
      <c r="CK37" s="117"/>
      <c r="CL37" s="118"/>
      <c r="CM37" s="117"/>
      <c r="CN37" s="119"/>
      <c r="CO37" s="116" t="str">
        <f t="shared" si="12"/>
        <v>- - -</v>
      </c>
      <c r="CP37" s="117"/>
      <c r="CQ37" s="118"/>
      <c r="CR37" s="117"/>
      <c r="CS37" s="119"/>
      <c r="CT37" s="120" t="str">
        <f t="shared" si="13"/>
        <v>---</v>
      </c>
      <c r="CU37" s="148" t="str">
        <f t="shared" si="14"/>
        <v>/-/ /-/</v>
      </c>
      <c r="CV37" s="121">
        <f t="shared" si="15"/>
        <v>12</v>
      </c>
      <c r="CW37" s="122">
        <f t="shared" si="16"/>
        <v>2032</v>
      </c>
      <c r="CX37" s="121">
        <f t="shared" si="17"/>
        <v>9</v>
      </c>
      <c r="CY37" s="122">
        <f t="shared" si="18"/>
        <v>2032</v>
      </c>
      <c r="CZ37" s="121">
        <f t="shared" si="19"/>
        <v>6</v>
      </c>
      <c r="DA37" s="122">
        <f t="shared" si="20"/>
        <v>2032</v>
      </c>
      <c r="DB37" s="123" t="str">
        <f t="shared" si="21"/>
        <v>- - -</v>
      </c>
      <c r="DC37" s="124" t="str">
        <f t="shared" si="22"/>
        <v>. .</v>
      </c>
      <c r="DD37" s="124"/>
      <c r="DE37" s="103">
        <f t="shared" si="23"/>
        <v>660</v>
      </c>
      <c r="DF37" s="103">
        <f t="shared" si="24"/>
        <v>-23723</v>
      </c>
      <c r="DG37" s="103">
        <f t="shared" si="25"/>
        <v>-1977</v>
      </c>
      <c r="DH37" s="103" t="str">
        <f t="shared" si="26"/>
        <v>Nữ dưới 30</v>
      </c>
      <c r="DI37" s="103" t="s">
        <v>168</v>
      </c>
      <c r="DJ37" s="103" t="e">
        <f>#REF!+#REF!</f>
        <v>#REF!</v>
      </c>
      <c r="DK37" s="109" t="str">
        <f t="shared" si="27"/>
        <v>Đến 30</v>
      </c>
      <c r="DL37" s="117" t="str">
        <f t="shared" si="28"/>
        <v>--</v>
      </c>
      <c r="DM37" s="101"/>
      <c r="DN37" s="99"/>
      <c r="DO37" s="136"/>
      <c r="DP37" s="101"/>
      <c r="DQ37" s="119"/>
      <c r="DR37" s="125"/>
      <c r="DS37" s="126"/>
      <c r="DT37" s="127"/>
      <c r="DU37" s="128"/>
      <c r="DV37" s="102" t="s">
        <v>166</v>
      </c>
      <c r="DW37" s="105" t="s">
        <v>169</v>
      </c>
      <c r="DX37" s="106" t="s">
        <v>166</v>
      </c>
      <c r="DY37" s="141" t="s">
        <v>41</v>
      </c>
      <c r="DZ37" s="106" t="s">
        <v>51</v>
      </c>
      <c r="EA37" s="129" t="s">
        <v>43</v>
      </c>
      <c r="EB37" s="106" t="s">
        <v>51</v>
      </c>
      <c r="EC37" s="130">
        <v>2012</v>
      </c>
      <c r="ED37" s="105">
        <f t="shared" si="29"/>
        <v>0</v>
      </c>
      <c r="EE37" s="106" t="str">
        <f t="shared" si="30"/>
        <v>- - -</v>
      </c>
      <c r="EF37" s="141" t="s">
        <v>41</v>
      </c>
      <c r="EG37" s="106" t="s">
        <v>51</v>
      </c>
      <c r="EH37" s="129" t="s">
        <v>43</v>
      </c>
      <c r="EI37" s="99" t="s">
        <v>51</v>
      </c>
      <c r="EJ37" s="116">
        <v>2012</v>
      </c>
      <c r="EK37" s="131"/>
      <c r="EL37" s="128" t="str">
        <f t="shared" si="31"/>
        <v>- - -</v>
      </c>
      <c r="EM37" s="132" t="str">
        <f t="shared" si="32"/>
        <v>---</v>
      </c>
      <c r="FP37" s="672"/>
      <c r="FQ37" s="672"/>
      <c r="FR37" s="672"/>
      <c r="FS37" s="672"/>
      <c r="FT37" s="672"/>
      <c r="FU37" s="672"/>
      <c r="FV37" s="672"/>
      <c r="FW37" s="672"/>
      <c r="FX37" s="672"/>
      <c r="FY37" s="672"/>
      <c r="FZ37" s="672"/>
      <c r="GA37" s="672"/>
      <c r="GB37" s="672"/>
      <c r="GC37" s="672"/>
      <c r="GD37" s="672"/>
      <c r="GE37" s="672"/>
      <c r="GF37" s="672"/>
      <c r="GG37" s="672"/>
      <c r="GH37" s="672"/>
      <c r="GI37" s="672"/>
      <c r="GJ37" s="672"/>
      <c r="GK37" s="672"/>
      <c r="GL37" s="672"/>
      <c r="GM37" s="672"/>
      <c r="GN37" s="672"/>
      <c r="GO37" s="672"/>
      <c r="GP37" s="672"/>
      <c r="GQ37" s="672"/>
      <c r="GR37" s="672"/>
      <c r="GS37" s="672"/>
      <c r="GT37" s="672"/>
    </row>
    <row r="38" spans="1:202" s="132" customFormat="1" ht="42.75" customHeight="1" x14ac:dyDescent="0.2">
      <c r="A38" s="496">
        <v>421</v>
      </c>
      <c r="B38" s="322">
        <v>22</v>
      </c>
      <c r="C38" s="99"/>
      <c r="D38" s="99" t="s">
        <v>230</v>
      </c>
      <c r="E38" s="498" t="s">
        <v>193</v>
      </c>
      <c r="F38" s="499" t="s">
        <v>61</v>
      </c>
      <c r="G38" s="500" t="s">
        <v>50</v>
      </c>
      <c r="H38" s="500" t="s">
        <v>51</v>
      </c>
      <c r="I38" s="500" t="s">
        <v>47</v>
      </c>
      <c r="J38" s="98" t="s">
        <v>51</v>
      </c>
      <c r="K38" s="98">
        <v>1972</v>
      </c>
      <c r="L38" s="98" t="s">
        <v>79</v>
      </c>
      <c r="M38" s="98" t="s">
        <v>232</v>
      </c>
      <c r="N38" s="98"/>
      <c r="O38" s="98" t="e">
        <v>#N/A</v>
      </c>
      <c r="P38" s="98"/>
      <c r="Q38" s="498" t="e">
        <v>#N/A</v>
      </c>
      <c r="R38" s="681" t="s">
        <v>54</v>
      </c>
      <c r="S38" s="501" t="s">
        <v>287</v>
      </c>
      <c r="T38" s="502" t="s">
        <v>235</v>
      </c>
      <c r="U38" s="502" t="s">
        <v>236</v>
      </c>
      <c r="V38" s="503" t="s">
        <v>70</v>
      </c>
      <c r="W38" s="504" t="s">
        <v>290</v>
      </c>
      <c r="X38" s="505" t="s">
        <v>291</v>
      </c>
      <c r="Y38" s="506" t="s">
        <v>290</v>
      </c>
      <c r="Z38" s="505" t="s">
        <v>291</v>
      </c>
      <c r="AA38" s="507" t="s">
        <v>237</v>
      </c>
      <c r="AB38" s="508">
        <v>7</v>
      </c>
      <c r="AC38" s="437" t="s">
        <v>51</v>
      </c>
      <c r="AD38" s="51">
        <v>9</v>
      </c>
      <c r="AE38" s="509">
        <v>4.32</v>
      </c>
      <c r="AF38" s="510"/>
      <c r="AG38" s="51"/>
      <c r="AH38" s="511" t="s">
        <v>41</v>
      </c>
      <c r="AI38" s="512" t="s">
        <v>51</v>
      </c>
      <c r="AJ38" s="513" t="s">
        <v>47</v>
      </c>
      <c r="AK38" s="671" t="s">
        <v>51</v>
      </c>
      <c r="AL38" s="514">
        <v>2015</v>
      </c>
      <c r="AM38" s="515"/>
      <c r="AN38" s="516"/>
      <c r="AO38" s="517">
        <v>8</v>
      </c>
      <c r="AP38" s="518" t="s">
        <v>51</v>
      </c>
      <c r="AQ38" s="519">
        <v>9</v>
      </c>
      <c r="AR38" s="682">
        <v>4.6500000000000004</v>
      </c>
      <c r="AS38" s="51"/>
      <c r="AT38" s="520" t="s">
        <v>41</v>
      </c>
      <c r="AU38" s="521" t="s">
        <v>51</v>
      </c>
      <c r="AV38" s="522" t="s">
        <v>47</v>
      </c>
      <c r="AW38" s="523" t="s">
        <v>51</v>
      </c>
      <c r="AX38" s="524">
        <v>2018</v>
      </c>
      <c r="AY38" s="527"/>
      <c r="AZ38" s="125">
        <v>5</v>
      </c>
      <c r="BA38" s="107">
        <f t="shared" si="0"/>
        <v>3</v>
      </c>
      <c r="BB38" s="525">
        <f t="shared" si="1"/>
        <v>-24223</v>
      </c>
      <c r="BC38" s="104">
        <f>VLOOKUP(Y38,'[1]- DLiêu Gốc -'!$C$1:$F$60,3,0)</f>
        <v>2.34</v>
      </c>
      <c r="BD38" s="104">
        <f>VLOOKUP(Y38,'[1]- DLiêu Gốc -'!$C$1:$F$60,4,0)</f>
        <v>0.33</v>
      </c>
      <c r="BE38" s="109" t="str">
        <f t="shared" si="2"/>
        <v>o-o-o</v>
      </c>
      <c r="BF38" s="110"/>
      <c r="BG38" s="212"/>
      <c r="BH38" s="112"/>
      <c r="BI38" s="410"/>
      <c r="BJ38" s="211"/>
      <c r="BK38" s="410"/>
      <c r="BL38" s="135"/>
      <c r="BM38" s="108"/>
      <c r="BN38" s="147"/>
      <c r="BO38" s="111"/>
      <c r="BP38" s="497"/>
      <c r="BQ38" s="112"/>
      <c r="BR38" s="410"/>
      <c r="BS38" s="211"/>
      <c r="BT38" s="410"/>
      <c r="BU38" s="135"/>
      <c r="BV38" s="137"/>
      <c r="BW38" s="116"/>
      <c r="BX38" s="526" t="str">
        <f t="shared" si="3"/>
        <v>- - -</v>
      </c>
      <c r="BY38" s="109" t="str">
        <f t="shared" si="4"/>
        <v>- - -</v>
      </c>
      <c r="BZ38" s="100" t="str">
        <f t="shared" si="5"/>
        <v>Chánh Văn phòng Học viện, Trưởng Ban Tổ chức - Cán bộ</v>
      </c>
      <c r="CA38" s="113" t="str">
        <f t="shared" si="6"/>
        <v>A</v>
      </c>
      <c r="CB38" s="114" t="str">
        <f t="shared" si="7"/>
        <v>=&gt; s</v>
      </c>
      <c r="CC38" s="103">
        <f t="shared" si="8"/>
        <v>24247</v>
      </c>
      <c r="CD38" s="99" t="str">
        <f t="shared" si="9"/>
        <v>S</v>
      </c>
      <c r="CE38" s="99">
        <v>2012</v>
      </c>
      <c r="CF38" s="164" t="s">
        <v>174</v>
      </c>
      <c r="CG38" s="99"/>
      <c r="CH38" s="115"/>
      <c r="CI38" s="99" t="str">
        <f t="shared" si="10"/>
        <v>- - -</v>
      </c>
      <c r="CJ38" s="116" t="str">
        <f t="shared" si="11"/>
        <v>- - -</v>
      </c>
      <c r="CK38" s="117"/>
      <c r="CL38" s="118"/>
      <c r="CM38" s="117"/>
      <c r="CN38" s="119"/>
      <c r="CO38" s="116" t="str">
        <f t="shared" si="12"/>
        <v>- - -</v>
      </c>
      <c r="CP38" s="117"/>
      <c r="CQ38" s="118"/>
      <c r="CR38" s="117"/>
      <c r="CS38" s="119"/>
      <c r="CT38" s="120" t="str">
        <f t="shared" si="13"/>
        <v>---</v>
      </c>
      <c r="CU38" s="148" t="str">
        <f t="shared" si="14"/>
        <v>/-/ /-/</v>
      </c>
      <c r="CV38" s="121">
        <f t="shared" si="15"/>
        <v>8</v>
      </c>
      <c r="CW38" s="122">
        <f t="shared" si="16"/>
        <v>2027</v>
      </c>
      <c r="CX38" s="121">
        <f t="shared" si="17"/>
        <v>5</v>
      </c>
      <c r="CY38" s="122">
        <f t="shared" si="18"/>
        <v>2027</v>
      </c>
      <c r="CZ38" s="121">
        <f t="shared" si="19"/>
        <v>2</v>
      </c>
      <c r="DA38" s="122">
        <f t="shared" si="20"/>
        <v>2027</v>
      </c>
      <c r="DB38" s="123" t="str">
        <f t="shared" si="21"/>
        <v>- - -</v>
      </c>
      <c r="DC38" s="124" t="str">
        <f t="shared" si="22"/>
        <v>. .</v>
      </c>
      <c r="DD38" s="124"/>
      <c r="DE38" s="103">
        <f t="shared" si="23"/>
        <v>660</v>
      </c>
      <c r="DF38" s="103">
        <f t="shared" si="24"/>
        <v>-23659</v>
      </c>
      <c r="DG38" s="103">
        <f t="shared" si="25"/>
        <v>-1972</v>
      </c>
      <c r="DH38" s="103" t="str">
        <f t="shared" si="26"/>
        <v>Nữ dưới 30</v>
      </c>
      <c r="DI38" s="103"/>
      <c r="DJ38" s="103"/>
      <c r="DK38" s="109" t="str">
        <f t="shared" si="27"/>
        <v>Đến 30</v>
      </c>
      <c r="DL38" s="117" t="str">
        <f t="shared" si="28"/>
        <v>--</v>
      </c>
      <c r="DM38" s="101"/>
      <c r="DN38" s="99"/>
      <c r="DO38" s="136"/>
      <c r="DP38" s="101"/>
      <c r="DQ38" s="119"/>
      <c r="DR38" s="125"/>
      <c r="DS38" s="126"/>
      <c r="DT38" s="127"/>
      <c r="DU38" s="128"/>
      <c r="DV38" s="102" t="s">
        <v>172</v>
      </c>
      <c r="DW38" s="105" t="s">
        <v>173</v>
      </c>
      <c r="DX38" s="106" t="s">
        <v>172</v>
      </c>
      <c r="DY38" s="141" t="s">
        <v>41</v>
      </c>
      <c r="DZ38" s="106" t="s">
        <v>51</v>
      </c>
      <c r="EA38" s="129" t="s">
        <v>43</v>
      </c>
      <c r="EB38" s="106" t="s">
        <v>51</v>
      </c>
      <c r="EC38" s="130">
        <v>2012</v>
      </c>
      <c r="ED38" s="105">
        <f t="shared" si="29"/>
        <v>0</v>
      </c>
      <c r="EE38" s="106" t="str">
        <f t="shared" si="30"/>
        <v>- - -</v>
      </c>
      <c r="EF38" s="141" t="s">
        <v>41</v>
      </c>
      <c r="EG38" s="106" t="s">
        <v>51</v>
      </c>
      <c r="EH38" s="129" t="s">
        <v>43</v>
      </c>
      <c r="EI38" s="99" t="s">
        <v>51</v>
      </c>
      <c r="EJ38" s="116">
        <v>2012</v>
      </c>
      <c r="EK38" s="131"/>
      <c r="EL38" s="128" t="str">
        <f t="shared" si="31"/>
        <v>- - -</v>
      </c>
      <c r="EM38" s="132" t="str">
        <f t="shared" si="32"/>
        <v>---</v>
      </c>
      <c r="FP38" s="672"/>
      <c r="FQ38" s="672"/>
      <c r="FR38" s="672"/>
      <c r="FS38" s="672"/>
      <c r="FT38" s="672"/>
      <c r="FU38" s="672"/>
      <c r="FV38" s="672"/>
      <c r="FW38" s="672"/>
      <c r="FX38" s="672"/>
      <c r="FY38" s="672"/>
      <c r="FZ38" s="672"/>
      <c r="GA38" s="672"/>
      <c r="GB38" s="672"/>
      <c r="GC38" s="672"/>
      <c r="GD38" s="672"/>
      <c r="GE38" s="672"/>
      <c r="GF38" s="672"/>
      <c r="GG38" s="672"/>
      <c r="GH38" s="672"/>
      <c r="GI38" s="672"/>
      <c r="GJ38" s="672"/>
      <c r="GK38" s="672"/>
      <c r="GL38" s="672"/>
      <c r="GM38" s="672"/>
      <c r="GN38" s="672"/>
      <c r="GO38" s="672"/>
      <c r="GP38" s="672"/>
      <c r="GQ38" s="672"/>
      <c r="GR38" s="672"/>
      <c r="GS38" s="672"/>
      <c r="GT38" s="672"/>
    </row>
    <row r="39" spans="1:202" s="132" customFormat="1" ht="42.75" customHeight="1" x14ac:dyDescent="0.2">
      <c r="A39" s="496">
        <v>566</v>
      </c>
      <c r="B39" s="322">
        <v>23</v>
      </c>
      <c r="C39" s="99"/>
      <c r="D39" s="99" t="s">
        <v>238</v>
      </c>
      <c r="E39" s="498" t="s">
        <v>292</v>
      </c>
      <c r="F39" s="499" t="s">
        <v>60</v>
      </c>
      <c r="G39" s="500" t="s">
        <v>178</v>
      </c>
      <c r="H39" s="500" t="s">
        <v>51</v>
      </c>
      <c r="I39" s="500" t="s">
        <v>56</v>
      </c>
      <c r="J39" s="98" t="s">
        <v>51</v>
      </c>
      <c r="K39" s="98">
        <v>1959</v>
      </c>
      <c r="L39" s="98" t="s">
        <v>79</v>
      </c>
      <c r="M39" s="98" t="s">
        <v>232</v>
      </c>
      <c r="N39" s="98"/>
      <c r="O39" s="98" t="s">
        <v>240</v>
      </c>
      <c r="P39" s="98" t="s">
        <v>293</v>
      </c>
      <c r="Q39" s="498" t="s">
        <v>281</v>
      </c>
      <c r="R39" s="681" t="s">
        <v>294</v>
      </c>
      <c r="S39" s="501" t="s">
        <v>139</v>
      </c>
      <c r="T39" s="502" t="s">
        <v>241</v>
      </c>
      <c r="U39" s="502" t="s">
        <v>242</v>
      </c>
      <c r="V39" s="503" t="s">
        <v>70</v>
      </c>
      <c r="W39" s="504" t="s">
        <v>243</v>
      </c>
      <c r="X39" s="505" t="s">
        <v>244</v>
      </c>
      <c r="Y39" s="506" t="s">
        <v>243</v>
      </c>
      <c r="Z39" s="505" t="s">
        <v>244</v>
      </c>
      <c r="AA39" s="507" t="s">
        <v>237</v>
      </c>
      <c r="AB39" s="508">
        <v>2</v>
      </c>
      <c r="AC39" s="437" t="s">
        <v>51</v>
      </c>
      <c r="AD39" s="51">
        <v>6</v>
      </c>
      <c r="AE39" s="509">
        <v>6.5600000000000005</v>
      </c>
      <c r="AF39" s="510"/>
      <c r="AG39" s="51"/>
      <c r="AH39" s="511" t="s">
        <v>41</v>
      </c>
      <c r="AI39" s="512" t="s">
        <v>51</v>
      </c>
      <c r="AJ39" s="513" t="s">
        <v>47</v>
      </c>
      <c r="AK39" s="671" t="s">
        <v>51</v>
      </c>
      <c r="AL39" s="514">
        <v>2015</v>
      </c>
      <c r="AM39" s="515"/>
      <c r="AN39" s="516"/>
      <c r="AO39" s="517">
        <v>3</v>
      </c>
      <c r="AP39" s="518" t="s">
        <v>51</v>
      </c>
      <c r="AQ39" s="519">
        <v>6</v>
      </c>
      <c r="AR39" s="682">
        <v>6.9200000000000008</v>
      </c>
      <c r="AS39" s="51"/>
      <c r="AT39" s="520" t="s">
        <v>41</v>
      </c>
      <c r="AU39" s="521" t="s">
        <v>51</v>
      </c>
      <c r="AV39" s="522" t="s">
        <v>47</v>
      </c>
      <c r="AW39" s="523" t="s">
        <v>51</v>
      </c>
      <c r="AX39" s="524">
        <v>2018</v>
      </c>
      <c r="AY39" s="527"/>
      <c r="AZ39" s="125">
        <v>5</v>
      </c>
      <c r="BA39" s="107">
        <f t="shared" si="0"/>
        <v>3</v>
      </c>
      <c r="BB39" s="525">
        <f t="shared" si="1"/>
        <v>-24223</v>
      </c>
      <c r="BC39" s="104">
        <f>VLOOKUP(Y39,'[1]- DLiêu Gốc -'!$C$1:$F$60,3,0)</f>
        <v>6.2</v>
      </c>
      <c r="BD39" s="104">
        <f>VLOOKUP(Y39,'[1]- DLiêu Gốc -'!$C$1:$F$60,4,0)</f>
        <v>0.36</v>
      </c>
      <c r="BE39" s="109" t="str">
        <f t="shared" si="2"/>
        <v>o-o-o</v>
      </c>
      <c r="BF39" s="110"/>
      <c r="BG39" s="212"/>
      <c r="BH39" s="112"/>
      <c r="BI39" s="410"/>
      <c r="BJ39" s="211"/>
      <c r="BK39" s="410"/>
      <c r="BL39" s="135"/>
      <c r="BM39" s="108"/>
      <c r="BN39" s="147"/>
      <c r="BO39" s="111"/>
      <c r="BP39" s="497"/>
      <c r="BQ39" s="112"/>
      <c r="BR39" s="410"/>
      <c r="BS39" s="211"/>
      <c r="BT39" s="410"/>
      <c r="BU39" s="135"/>
      <c r="BV39" s="137"/>
      <c r="BW39" s="116"/>
      <c r="BX39" s="526" t="str">
        <f t="shared" si="3"/>
        <v>- - -</v>
      </c>
      <c r="BY39" s="109" t="str">
        <f t="shared" si="4"/>
        <v>- - -</v>
      </c>
      <c r="BZ39" s="100" t="str">
        <f t="shared" si="5"/>
        <v>Chánh Văn phòng Học viện, Trưởng Ban Tổ chức - Cán bộ, Trưởng Phân viện Học viện Hành chính Quốc gia tại thành phố Huế</v>
      </c>
      <c r="CA39" s="113" t="str">
        <f t="shared" si="6"/>
        <v>A</v>
      </c>
      <c r="CB39" s="114" t="str">
        <f t="shared" si="7"/>
        <v>=&gt; s</v>
      </c>
      <c r="CC39" s="103">
        <f t="shared" si="8"/>
        <v>24247</v>
      </c>
      <c r="CD39" s="99" t="str">
        <f t="shared" si="9"/>
        <v>---</v>
      </c>
      <c r="CE39" s="99"/>
      <c r="CF39" s="164"/>
      <c r="CG39" s="99"/>
      <c r="CH39" s="115"/>
      <c r="CI39" s="99" t="str">
        <f t="shared" si="10"/>
        <v>- - -</v>
      </c>
      <c r="CJ39" s="116" t="str">
        <f t="shared" si="11"/>
        <v>- - -</v>
      </c>
      <c r="CK39" s="117"/>
      <c r="CL39" s="118"/>
      <c r="CM39" s="117"/>
      <c r="CN39" s="119"/>
      <c r="CO39" s="116" t="str">
        <f t="shared" si="12"/>
        <v>- - -</v>
      </c>
      <c r="CP39" s="117"/>
      <c r="CQ39" s="118"/>
      <c r="CR39" s="117"/>
      <c r="CS39" s="119"/>
      <c r="CT39" s="120" t="str">
        <f t="shared" si="13"/>
        <v>---</v>
      </c>
      <c r="CU39" s="148" t="str">
        <f t="shared" si="14"/>
        <v>/-/ /-/</v>
      </c>
      <c r="CV39" s="121">
        <f t="shared" si="15"/>
        <v>12</v>
      </c>
      <c r="CW39" s="122">
        <f t="shared" si="16"/>
        <v>2019</v>
      </c>
      <c r="CX39" s="121">
        <f t="shared" si="17"/>
        <v>9</v>
      </c>
      <c r="CY39" s="122">
        <f t="shared" si="18"/>
        <v>2019</v>
      </c>
      <c r="CZ39" s="121">
        <f t="shared" si="19"/>
        <v>6</v>
      </c>
      <c r="DA39" s="122">
        <f t="shared" si="20"/>
        <v>2019</v>
      </c>
      <c r="DB39" s="123" t="str">
        <f t="shared" si="21"/>
        <v>- - -</v>
      </c>
      <c r="DC39" s="124" t="str">
        <f t="shared" si="22"/>
        <v>. .</v>
      </c>
      <c r="DD39" s="124"/>
      <c r="DE39" s="103">
        <f t="shared" si="23"/>
        <v>720</v>
      </c>
      <c r="DF39" s="103">
        <f t="shared" si="24"/>
        <v>-23507</v>
      </c>
      <c r="DG39" s="103">
        <f t="shared" si="25"/>
        <v>-1959</v>
      </c>
      <c r="DH39" s="103" t="str">
        <f t="shared" si="26"/>
        <v>Nam dưới 35</v>
      </c>
      <c r="DI39" s="103"/>
      <c r="DJ39" s="103"/>
      <c r="DK39" s="109" t="str">
        <f t="shared" si="27"/>
        <v>Đến 30</v>
      </c>
      <c r="DL39" s="117" t="str">
        <f t="shared" si="28"/>
        <v>--</v>
      </c>
      <c r="DM39" s="101"/>
      <c r="DN39" s="99"/>
      <c r="DO39" s="136"/>
      <c r="DP39" s="101"/>
      <c r="DQ39" s="119"/>
      <c r="DR39" s="125"/>
      <c r="DS39" s="126"/>
      <c r="DT39" s="127"/>
      <c r="DU39" s="128"/>
      <c r="DV39" s="102" t="s">
        <v>175</v>
      </c>
      <c r="DW39" s="105" t="s">
        <v>176</v>
      </c>
      <c r="DX39" s="106" t="s">
        <v>177</v>
      </c>
      <c r="DY39" s="141" t="s">
        <v>41</v>
      </c>
      <c r="DZ39" s="106" t="s">
        <v>51</v>
      </c>
      <c r="EA39" s="129" t="s">
        <v>43</v>
      </c>
      <c r="EB39" s="106" t="s">
        <v>51</v>
      </c>
      <c r="EC39" s="130">
        <v>2012</v>
      </c>
      <c r="ED39" s="105">
        <f t="shared" si="29"/>
        <v>0</v>
      </c>
      <c r="EE39" s="106" t="str">
        <f t="shared" si="30"/>
        <v>- - -</v>
      </c>
      <c r="EF39" s="141" t="s">
        <v>41</v>
      </c>
      <c r="EG39" s="106" t="s">
        <v>51</v>
      </c>
      <c r="EH39" s="129" t="s">
        <v>43</v>
      </c>
      <c r="EI39" s="99" t="s">
        <v>51</v>
      </c>
      <c r="EJ39" s="116">
        <v>2012</v>
      </c>
      <c r="EK39" s="131"/>
      <c r="EL39" s="128" t="str">
        <f t="shared" si="31"/>
        <v>- - -</v>
      </c>
      <c r="EM39" s="132" t="str">
        <f t="shared" si="32"/>
        <v>---</v>
      </c>
      <c r="FP39" s="672"/>
      <c r="FQ39" s="672"/>
      <c r="FR39" s="672"/>
      <c r="FS39" s="672"/>
      <c r="FT39" s="672"/>
      <c r="FU39" s="672"/>
      <c r="FV39" s="672"/>
      <c r="FW39" s="672"/>
      <c r="FX39" s="672"/>
      <c r="FY39" s="672"/>
      <c r="FZ39" s="672"/>
      <c r="GA39" s="672"/>
      <c r="GB39" s="672"/>
      <c r="GC39" s="672"/>
      <c r="GD39" s="672"/>
      <c r="GE39" s="672"/>
      <c r="GF39" s="672"/>
      <c r="GG39" s="672"/>
      <c r="GH39" s="672"/>
      <c r="GI39" s="672"/>
      <c r="GJ39" s="672"/>
      <c r="GK39" s="672"/>
      <c r="GL39" s="672"/>
      <c r="GM39" s="672"/>
      <c r="GN39" s="672"/>
      <c r="GO39" s="672"/>
      <c r="GP39" s="672"/>
      <c r="GQ39" s="672"/>
      <c r="GR39" s="672"/>
      <c r="GS39" s="672"/>
      <c r="GT39" s="672"/>
    </row>
    <row r="40" spans="1:202" s="132" customFormat="1" ht="42.75" customHeight="1" x14ac:dyDescent="0.2">
      <c r="A40" s="496">
        <v>611</v>
      </c>
      <c r="B40" s="322">
        <v>24</v>
      </c>
      <c r="C40" s="99"/>
      <c r="D40" s="99" t="s">
        <v>230</v>
      </c>
      <c r="E40" s="498" t="s">
        <v>295</v>
      </c>
      <c r="F40" s="499" t="s">
        <v>61</v>
      </c>
      <c r="G40" s="500" t="s">
        <v>42</v>
      </c>
      <c r="H40" s="500" t="s">
        <v>51</v>
      </c>
      <c r="I40" s="500" t="s">
        <v>42</v>
      </c>
      <c r="J40" s="98" t="s">
        <v>51</v>
      </c>
      <c r="K40" s="98">
        <v>1967</v>
      </c>
      <c r="L40" s="98" t="s">
        <v>77</v>
      </c>
      <c r="M40" s="98" t="s">
        <v>261</v>
      </c>
      <c r="N40" s="98" t="s">
        <v>189</v>
      </c>
      <c r="O40" s="98" t="s">
        <v>296</v>
      </c>
      <c r="P40" s="98"/>
      <c r="Q40" s="498">
        <v>0</v>
      </c>
      <c r="R40" s="681" t="s">
        <v>54</v>
      </c>
      <c r="S40" s="501" t="s">
        <v>139</v>
      </c>
      <c r="T40" s="502" t="s">
        <v>297</v>
      </c>
      <c r="U40" s="502" t="s">
        <v>298</v>
      </c>
      <c r="V40" s="503" t="s">
        <v>70</v>
      </c>
      <c r="W40" s="504" t="s">
        <v>298</v>
      </c>
      <c r="X40" s="505" t="s">
        <v>299</v>
      </c>
      <c r="Y40" s="506" t="s">
        <v>300</v>
      </c>
      <c r="Z40" s="505" t="s">
        <v>301</v>
      </c>
      <c r="AA40" s="507" t="s">
        <v>237</v>
      </c>
      <c r="AB40" s="508">
        <v>7</v>
      </c>
      <c r="AC40" s="437" t="s">
        <v>51</v>
      </c>
      <c r="AD40" s="51">
        <v>12</v>
      </c>
      <c r="AE40" s="509">
        <v>2.08</v>
      </c>
      <c r="AF40" s="510"/>
      <c r="AG40" s="51"/>
      <c r="AH40" s="511" t="s">
        <v>41</v>
      </c>
      <c r="AI40" s="512" t="s">
        <v>51</v>
      </c>
      <c r="AJ40" s="513" t="s">
        <v>47</v>
      </c>
      <c r="AK40" s="671" t="s">
        <v>51</v>
      </c>
      <c r="AL40" s="514">
        <v>2016</v>
      </c>
      <c r="AM40" s="515"/>
      <c r="AN40" s="516"/>
      <c r="AO40" s="517">
        <v>8</v>
      </c>
      <c r="AP40" s="518" t="s">
        <v>51</v>
      </c>
      <c r="AQ40" s="519">
        <v>12</v>
      </c>
      <c r="AR40" s="682">
        <v>2.2600000000000002</v>
      </c>
      <c r="AS40" s="51"/>
      <c r="AT40" s="520" t="s">
        <v>41</v>
      </c>
      <c r="AU40" s="521" t="s">
        <v>51</v>
      </c>
      <c r="AV40" s="522" t="s">
        <v>47</v>
      </c>
      <c r="AW40" s="523" t="s">
        <v>51</v>
      </c>
      <c r="AX40" s="524">
        <v>2018</v>
      </c>
      <c r="AY40" s="527"/>
      <c r="AZ40" s="125">
        <v>5</v>
      </c>
      <c r="BA40" s="107">
        <f t="shared" si="0"/>
        <v>2</v>
      </c>
      <c r="BB40" s="525">
        <f t="shared" si="1"/>
        <v>-24223</v>
      </c>
      <c r="BC40" s="104">
        <f>VLOOKUP(Y40,'[2]- DLiêu Gốc -'!$B$1:$E$54,3,0)</f>
        <v>1</v>
      </c>
      <c r="BD40" s="104">
        <f>VLOOKUP(Y40,'[2]- DLiêu Gốc -'!$B$1:$E$54,4,0)</f>
        <v>0.18</v>
      </c>
      <c r="BE40" s="109" t="str">
        <f t="shared" si="2"/>
        <v>o-o-o</v>
      </c>
      <c r="BF40" s="110"/>
      <c r="BG40" s="212"/>
      <c r="BH40" s="112"/>
      <c r="BI40" s="410"/>
      <c r="BJ40" s="211"/>
      <c r="BK40" s="410"/>
      <c r="BL40" s="135"/>
      <c r="BM40" s="108"/>
      <c r="BN40" s="147"/>
      <c r="BO40" s="111"/>
      <c r="BP40" s="497"/>
      <c r="BQ40" s="112"/>
      <c r="BR40" s="410"/>
      <c r="BS40" s="211"/>
      <c r="BT40" s="410"/>
      <c r="BU40" s="135"/>
      <c r="BV40" s="137" t="s">
        <v>178</v>
      </c>
      <c r="BW40" s="116"/>
      <c r="BX40" s="526" t="str">
        <f t="shared" si="3"/>
        <v>- - -</v>
      </c>
      <c r="BY40" s="109" t="str">
        <f t="shared" si="4"/>
        <v>- - -</v>
      </c>
      <c r="BZ40" s="100" t="str">
        <f t="shared" si="5"/>
        <v>Chánh Văn phòng Học viện, Trưởng Ban Tổ chức - Cán bộ, Trưởng Phân viện Học viện Hành chính Quốc gia tại thành phố Huế</v>
      </c>
      <c r="CA40" s="113" t="str">
        <f t="shared" si="6"/>
        <v>A</v>
      </c>
      <c r="CB40" s="114" t="str">
        <f t="shared" si="7"/>
        <v>=&gt; s</v>
      </c>
      <c r="CC40" s="103">
        <f t="shared" si="8"/>
        <v>24235</v>
      </c>
      <c r="CD40" s="99" t="str">
        <f t="shared" si="9"/>
        <v>---</v>
      </c>
      <c r="CE40" s="99"/>
      <c r="CF40" s="164"/>
      <c r="CG40" s="99"/>
      <c r="CH40" s="115"/>
      <c r="CI40" s="99" t="str">
        <f t="shared" si="10"/>
        <v>- - -</v>
      </c>
      <c r="CJ40" s="116" t="str">
        <f t="shared" si="11"/>
        <v>- - -</v>
      </c>
      <c r="CK40" s="117"/>
      <c r="CL40" s="118"/>
      <c r="CM40" s="117"/>
      <c r="CN40" s="119"/>
      <c r="CO40" s="116" t="str">
        <f t="shared" si="12"/>
        <v>- - -</v>
      </c>
      <c r="CP40" s="117"/>
      <c r="CQ40" s="118"/>
      <c r="CR40" s="117"/>
      <c r="CS40" s="119"/>
      <c r="CT40" s="120" t="str">
        <f>IF(AND(CU40="Hưu",AB40&lt;(AD40-1),DB40&gt;0,DB40&lt;18,OR(BF40&lt;4,AND(BF40&gt;3,OR(BY40&lt;3,BY40&gt;5)))),"Lg Sớm",IF(AND(CU40="Hưu",AB40&gt;(AD40-2),OR(BD40=0.33,BD40=0.34),OR(BF40&lt;4,AND(BF40&gt;3,OR(BY40&lt;3,BY40&gt;5)))),"Nâng Ngạch??",IF(AND(CU40="Hưu",BA40=1,DB40&gt;2,DB40&lt;6,OR(BF40&lt;4,AND(BF40&gt;3,OR(BY40&lt;3,BY40&gt;5)))),"Nâng PcVK cùng QĐ",IF(AND(CU40="Hưu",BF40&gt;3,BY40&gt;2,BY40&lt;6,AB40&lt;(AD40-1),DB40&gt;17,OR(BA40&gt;1,AND(BA40=1,OR(DB40&lt;3,DB40&gt;5)))),"Nâng PcNG cùng QĐ",IF(AND(CU40="Hưu",AB40&lt;(AD40-1),DB40&gt;0,DB40&lt;18,BF40&gt;3,BY40&gt;2,BY40&lt;6),"Nâng Lg Sớm +(PcNG cùng QĐ)",IF(AND(CU40="Hưu",AB40&gt;(AD40-2),OR(BD40=0.33,BD40=0.34),BF40&gt;3,BY40&gt;2,BY40&lt;6),"Nâng Ngạch?? +(PcNG cùng QĐ)",IF(AND(CU40="Hưu",BA40=1,DB40&gt;2,DB40&lt;6,BF40&gt;3,BY40&gt;2,BY40&lt;6),"Nâng (PcVK +PcNG) cùng QĐ",("---"))))))))</f>
        <v>---</v>
      </c>
      <c r="CU40" s="148" t="str">
        <f t="shared" si="14"/>
        <v>/-/ /-/</v>
      </c>
      <c r="CV40" s="121">
        <f t="shared" si="15"/>
        <v>3</v>
      </c>
      <c r="CW40" s="122">
        <f t="shared" si="16"/>
        <v>2022</v>
      </c>
      <c r="CX40" s="121">
        <f t="shared" si="17"/>
        <v>12</v>
      </c>
      <c r="CY40" s="122">
        <f t="shared" si="18"/>
        <v>2021</v>
      </c>
      <c r="CZ40" s="121">
        <f t="shared" si="19"/>
        <v>9</v>
      </c>
      <c r="DA40" s="122">
        <f t="shared" si="20"/>
        <v>2021</v>
      </c>
      <c r="DB40" s="123" t="str">
        <f t="shared" si="21"/>
        <v>- - -</v>
      </c>
      <c r="DC40" s="124" t="str">
        <f t="shared" si="22"/>
        <v>. .</v>
      </c>
      <c r="DD40" s="124"/>
      <c r="DE40" s="103">
        <f t="shared" si="23"/>
        <v>660</v>
      </c>
      <c r="DF40" s="103">
        <f t="shared" si="24"/>
        <v>-23594</v>
      </c>
      <c r="DG40" s="103">
        <f t="shared" si="25"/>
        <v>-1967</v>
      </c>
      <c r="DH40" s="103" t="str">
        <f t="shared" si="26"/>
        <v>Nữ dưới 30</v>
      </c>
      <c r="DI40" s="103"/>
      <c r="DJ40" s="103"/>
      <c r="DK40" s="109" t="str">
        <f t="shared" si="27"/>
        <v>Đến 30</v>
      </c>
      <c r="DL40" s="117" t="str">
        <f t="shared" si="28"/>
        <v>--</v>
      </c>
      <c r="DM40" s="101"/>
      <c r="DN40" s="99"/>
      <c r="DO40" s="136"/>
      <c r="DP40" s="101"/>
      <c r="DQ40" s="119"/>
      <c r="DR40" s="125"/>
      <c r="DS40" s="126"/>
      <c r="DT40" s="127"/>
      <c r="DU40" s="128"/>
      <c r="DV40" s="102" t="s">
        <v>54</v>
      </c>
      <c r="DW40" s="105" t="s">
        <v>179</v>
      </c>
      <c r="DX40" s="106" t="s">
        <v>54</v>
      </c>
      <c r="DY40" s="141" t="s">
        <v>41</v>
      </c>
      <c r="DZ40" s="106" t="s">
        <v>51</v>
      </c>
      <c r="EA40" s="129" t="s">
        <v>43</v>
      </c>
      <c r="EB40" s="106" t="s">
        <v>51</v>
      </c>
      <c r="EC40" s="130">
        <v>2012</v>
      </c>
      <c r="ED40" s="105">
        <f t="shared" si="29"/>
        <v>0</v>
      </c>
      <c r="EE40" s="106" t="str">
        <f t="shared" si="30"/>
        <v>- - -</v>
      </c>
      <c r="EF40" s="141" t="s">
        <v>41</v>
      </c>
      <c r="EG40" s="106" t="s">
        <v>51</v>
      </c>
      <c r="EH40" s="129" t="s">
        <v>43</v>
      </c>
      <c r="EI40" s="99" t="s">
        <v>51</v>
      </c>
      <c r="EJ40" s="116">
        <v>2012</v>
      </c>
      <c r="EK40" s="131"/>
      <c r="EL40" s="128" t="str">
        <f t="shared" si="31"/>
        <v>- - -</v>
      </c>
      <c r="EM40" s="132" t="str">
        <f t="shared" si="32"/>
        <v>---</v>
      </c>
      <c r="FP40" s="672"/>
      <c r="FQ40" s="672"/>
      <c r="FR40" s="672"/>
      <c r="FS40" s="672"/>
      <c r="FT40" s="672"/>
      <c r="FU40" s="672"/>
      <c r="FV40" s="672"/>
      <c r="FW40" s="672"/>
      <c r="FX40" s="672"/>
      <c r="FY40" s="672"/>
      <c r="FZ40" s="672"/>
      <c r="GA40" s="672"/>
      <c r="GB40" s="672"/>
      <c r="GC40" s="672"/>
      <c r="GD40" s="672"/>
      <c r="GE40" s="672"/>
      <c r="GF40" s="672"/>
      <c r="GG40" s="672"/>
      <c r="GH40" s="672"/>
      <c r="GI40" s="672"/>
      <c r="GJ40" s="672"/>
      <c r="GK40" s="672"/>
      <c r="GL40" s="672"/>
      <c r="GM40" s="672"/>
      <c r="GN40" s="672"/>
      <c r="GO40" s="672"/>
      <c r="GP40" s="672"/>
      <c r="GQ40" s="672"/>
      <c r="GR40" s="672"/>
      <c r="GS40" s="672"/>
      <c r="GT40" s="672"/>
    </row>
    <row r="41" spans="1:202" s="132" customFormat="1" ht="42.75" customHeight="1" x14ac:dyDescent="0.2">
      <c r="A41" s="496">
        <v>634</v>
      </c>
      <c r="B41" s="322">
        <v>25</v>
      </c>
      <c r="C41" s="99"/>
      <c r="D41" s="99" t="s">
        <v>230</v>
      </c>
      <c r="E41" s="498" t="s">
        <v>302</v>
      </c>
      <c r="F41" s="499" t="s">
        <v>61</v>
      </c>
      <c r="G41" s="500" t="s">
        <v>170</v>
      </c>
      <c r="H41" s="500" t="s">
        <v>51</v>
      </c>
      <c r="I41" s="500" t="s">
        <v>45</v>
      </c>
      <c r="J41" s="98" t="s">
        <v>51</v>
      </c>
      <c r="K41" s="98">
        <v>1987</v>
      </c>
      <c r="L41" s="98" t="s">
        <v>77</v>
      </c>
      <c r="M41" s="98" t="s">
        <v>261</v>
      </c>
      <c r="N41" s="98"/>
      <c r="O41" s="98" t="s">
        <v>296</v>
      </c>
      <c r="P41" s="98"/>
      <c r="Q41" s="498">
        <v>0</v>
      </c>
      <c r="R41" s="681" t="s">
        <v>54</v>
      </c>
      <c r="S41" s="501" t="s">
        <v>139</v>
      </c>
      <c r="T41" s="502" t="s">
        <v>297</v>
      </c>
      <c r="U41" s="502" t="s">
        <v>298</v>
      </c>
      <c r="V41" s="503" t="s">
        <v>70</v>
      </c>
      <c r="W41" s="504" t="s">
        <v>298</v>
      </c>
      <c r="X41" s="505" t="s">
        <v>299</v>
      </c>
      <c r="Y41" s="506" t="s">
        <v>187</v>
      </c>
      <c r="Z41" s="505" t="s">
        <v>303</v>
      </c>
      <c r="AA41" s="507" t="s">
        <v>237</v>
      </c>
      <c r="AB41" s="508">
        <v>2</v>
      </c>
      <c r="AC41" s="437" t="s">
        <v>51</v>
      </c>
      <c r="AD41" s="51">
        <v>12</v>
      </c>
      <c r="AE41" s="509">
        <v>1.8299999999999998</v>
      </c>
      <c r="AF41" s="510"/>
      <c r="AG41" s="51"/>
      <c r="AH41" s="511" t="s">
        <v>41</v>
      </c>
      <c r="AI41" s="512" t="s">
        <v>51</v>
      </c>
      <c r="AJ41" s="513" t="s">
        <v>47</v>
      </c>
      <c r="AK41" s="671" t="s">
        <v>51</v>
      </c>
      <c r="AL41" s="514">
        <v>2016</v>
      </c>
      <c r="AM41" s="515"/>
      <c r="AN41" s="516"/>
      <c r="AO41" s="517">
        <v>3</v>
      </c>
      <c r="AP41" s="518" t="s">
        <v>51</v>
      </c>
      <c r="AQ41" s="519">
        <v>12</v>
      </c>
      <c r="AR41" s="682">
        <v>2.0099999999999998</v>
      </c>
      <c r="AS41" s="51"/>
      <c r="AT41" s="520" t="s">
        <v>41</v>
      </c>
      <c r="AU41" s="521" t="s">
        <v>51</v>
      </c>
      <c r="AV41" s="522" t="s">
        <v>47</v>
      </c>
      <c r="AW41" s="523" t="s">
        <v>51</v>
      </c>
      <c r="AX41" s="524">
        <v>2018</v>
      </c>
      <c r="AY41" s="527"/>
      <c r="AZ41" s="125">
        <v>5</v>
      </c>
      <c r="BA41" s="107">
        <f t="shared" si="0"/>
        <v>2</v>
      </c>
      <c r="BB41" s="525">
        <f t="shared" si="1"/>
        <v>-24223</v>
      </c>
      <c r="BC41" s="104">
        <f>VLOOKUP(Y41,'[1]- DLiêu Gốc -'!$C$1:$F$60,3,0)</f>
        <v>1.65</v>
      </c>
      <c r="BD41" s="104">
        <f>VLOOKUP(Y41,'[1]- DLiêu Gốc -'!$C$1:$F$60,4,0)</f>
        <v>0.18</v>
      </c>
      <c r="BE41" s="109" t="str">
        <f t="shared" si="2"/>
        <v>o-o-o</v>
      </c>
      <c r="BF41" s="110"/>
      <c r="BG41" s="212"/>
      <c r="BH41" s="112"/>
      <c r="BI41" s="410"/>
      <c r="BJ41" s="211"/>
      <c r="BK41" s="410"/>
      <c r="BL41" s="135"/>
      <c r="BM41" s="108"/>
      <c r="BN41" s="147"/>
      <c r="BO41" s="111"/>
      <c r="BP41" s="497"/>
      <c r="BQ41" s="112"/>
      <c r="BR41" s="410"/>
      <c r="BS41" s="211"/>
      <c r="BT41" s="410"/>
      <c r="BU41" s="135"/>
      <c r="BV41" s="137"/>
      <c r="BW41" s="116"/>
      <c r="BX41" s="526" t="str">
        <f t="shared" si="3"/>
        <v>- - -</v>
      </c>
      <c r="BY41" s="109" t="str">
        <f>IF(BG41&gt;3,(($BF$2-BV41)*12+($BF$4-BT41)-BN41),"- - -")</f>
        <v>- - -</v>
      </c>
      <c r="BZ41" s="100" t="str">
        <f t="shared" si="5"/>
        <v>Chánh Văn phòng Học viện, Trưởng Ban Tổ chức - Cán bộ, Trưởng Phân viện Học viện Hành chính Quốc gia tại thành phố Huế</v>
      </c>
      <c r="CA41" s="113" t="str">
        <f t="shared" si="6"/>
        <v>A</v>
      </c>
      <c r="CB41" s="114" t="str">
        <f t="shared" si="7"/>
        <v>=&gt; s</v>
      </c>
      <c r="CC41" s="103">
        <f t="shared" si="8"/>
        <v>24235</v>
      </c>
      <c r="CD41" s="99" t="str">
        <f t="shared" si="9"/>
        <v>---</v>
      </c>
      <c r="CE41" s="99"/>
      <c r="CF41" s="164"/>
      <c r="CG41" s="99"/>
      <c r="CH41" s="115"/>
      <c r="CI41" s="99" t="str">
        <f t="shared" si="10"/>
        <v>- - -</v>
      </c>
      <c r="CJ41" s="116" t="str">
        <f t="shared" si="11"/>
        <v>- - -</v>
      </c>
      <c r="CK41" s="117"/>
      <c r="CL41" s="118"/>
      <c r="CM41" s="117"/>
      <c r="CN41" s="119"/>
      <c r="CO41" s="116" t="str">
        <f t="shared" si="12"/>
        <v>CN</v>
      </c>
      <c r="CP41" s="117">
        <v>6</v>
      </c>
      <c r="CQ41" s="118">
        <v>2013</v>
      </c>
      <c r="CR41" s="117"/>
      <c r="CS41" s="119"/>
      <c r="CT41" s="120" t="str">
        <f>IF(AND(CU41="Hưu",AB41&lt;(AD41-1),DB41&gt;0,DB41&lt;18,OR(BF41&lt;4,AND(BF41&gt;3,OR(BY41&lt;3,BY41&gt;5)))),"Lg Sớm",IF(AND(CU41="Hưu",AB41&gt;(AD41-2),OR(BD41=0.33,BD41=0.34),OR(BF41&lt;4,AND(BF41&gt;3,OR(BY41&lt;3,BY41&gt;5)))),"Nâng Ngạch",IF(AND(CU41="Hưu",BA41=1,DB41&gt;2,DB41&lt;6,OR(BF41&lt;4,AND(BF41&gt;3,OR(BY41&lt;3,BY41&gt;5)))),"Nâng PcVK cùng QĐ",IF(AND(CU41="Hưu",BF41&gt;3,BY41&gt;2,BY41&lt;6,AB41&lt;(AD41-1),DB41&gt;17,OR(BA41&gt;1,AND(BA41=1,OR(DB41&lt;3,DB41&gt;5)))),"Nâng PcNG cùng QĐ",IF(AND(CU41="Hưu",AB41&lt;(AD41-1),DB41&gt;0,DB41&lt;18,BF41&gt;3,BY41&gt;2,BY41&lt;6),"Nâng Lg Sớm +(PcNG cùng QĐ)",IF(AND(CU41="Hưu",AB41&gt;(AD41-2),OR(BD41=0.33,BD41=0.34),BF41&gt;3,BY41&gt;2,BY41&lt;6),"Nâng Ngạch +(PcNG cùng QĐ)",IF(AND(CU41="Hưu",BA41=1,DB41&gt;2,DB41&lt;6,BF41&gt;3,BY41&gt;2,BY41&lt;6),"Nâng (PcVK +PcNG) cùng QĐ",("---"))))))))</f>
        <v>---</v>
      </c>
      <c r="CU41" s="148" t="str">
        <f t="shared" si="14"/>
        <v>/-/ /-/</v>
      </c>
      <c r="CV41" s="121">
        <f t="shared" si="15"/>
        <v>9</v>
      </c>
      <c r="CW41" s="122">
        <f t="shared" si="16"/>
        <v>2042</v>
      </c>
      <c r="CX41" s="121">
        <f t="shared" si="17"/>
        <v>6</v>
      </c>
      <c r="CY41" s="122">
        <f t="shared" si="18"/>
        <v>2042</v>
      </c>
      <c r="CZ41" s="121">
        <f t="shared" si="19"/>
        <v>3</v>
      </c>
      <c r="DA41" s="122">
        <f t="shared" si="20"/>
        <v>2042</v>
      </c>
      <c r="DB41" s="123" t="str">
        <f t="shared" si="21"/>
        <v>- - -</v>
      </c>
      <c r="DC41" s="124" t="str">
        <f t="shared" si="22"/>
        <v>. .</v>
      </c>
      <c r="DD41" s="124"/>
      <c r="DE41" s="103">
        <f t="shared" si="23"/>
        <v>660</v>
      </c>
      <c r="DF41" s="103">
        <f t="shared" si="24"/>
        <v>-23840</v>
      </c>
      <c r="DG41" s="103">
        <f t="shared" si="25"/>
        <v>-1987</v>
      </c>
      <c r="DH41" s="103" t="str">
        <f t="shared" si="26"/>
        <v>Nữ dưới 30</v>
      </c>
      <c r="DI41" s="103"/>
      <c r="DJ41" s="103"/>
      <c r="DK41" s="109" t="str">
        <f t="shared" si="27"/>
        <v>Đến 30</v>
      </c>
      <c r="DL41" s="117" t="str">
        <f t="shared" si="28"/>
        <v>TD</v>
      </c>
      <c r="DM41" s="101">
        <v>2012</v>
      </c>
      <c r="DN41" s="99" t="s">
        <v>150</v>
      </c>
      <c r="DO41" s="136">
        <v>6</v>
      </c>
      <c r="DP41" s="101">
        <v>2013</v>
      </c>
      <c r="DQ41" s="119"/>
      <c r="DR41" s="125"/>
      <c r="DS41" s="126"/>
      <c r="DT41" s="127"/>
      <c r="DU41" s="128"/>
      <c r="DV41" s="102" t="s">
        <v>180</v>
      </c>
      <c r="DW41" s="105" t="s">
        <v>181</v>
      </c>
      <c r="DX41" s="106" t="s">
        <v>180</v>
      </c>
      <c r="DY41" s="141" t="s">
        <v>42</v>
      </c>
      <c r="DZ41" s="106" t="s">
        <v>51</v>
      </c>
      <c r="EA41" s="129" t="s">
        <v>43</v>
      </c>
      <c r="EB41" s="106" t="s">
        <v>51</v>
      </c>
      <c r="EC41" s="130" t="s">
        <v>59</v>
      </c>
      <c r="ED41" s="105">
        <f t="shared" si="29"/>
        <v>1</v>
      </c>
      <c r="EE41" s="106" t="str">
        <f t="shared" si="30"/>
        <v>Sửa</v>
      </c>
      <c r="EF41" s="141" t="s">
        <v>41</v>
      </c>
      <c r="EG41" s="106" t="s">
        <v>51</v>
      </c>
      <c r="EH41" s="129" t="s">
        <v>43</v>
      </c>
      <c r="EI41" s="99" t="s">
        <v>51</v>
      </c>
      <c r="EJ41" s="116" t="s">
        <v>59</v>
      </c>
      <c r="EK41" s="131"/>
      <c r="EL41" s="128" t="str">
        <f t="shared" si="31"/>
        <v>- - -</v>
      </c>
      <c r="EM41" s="132" t="str">
        <f t="shared" si="32"/>
        <v>---</v>
      </c>
      <c r="FP41" s="672"/>
      <c r="FQ41" s="672"/>
      <c r="FR41" s="672"/>
      <c r="FS41" s="672"/>
      <c r="FT41" s="672"/>
      <c r="FU41" s="672"/>
      <c r="FV41" s="672"/>
      <c r="FW41" s="672"/>
      <c r="FX41" s="672"/>
      <c r="FY41" s="672"/>
      <c r="FZ41" s="672"/>
      <c r="GA41" s="672"/>
      <c r="GB41" s="672"/>
      <c r="GC41" s="672"/>
      <c r="GD41" s="672"/>
      <c r="GE41" s="672"/>
      <c r="GF41" s="672"/>
      <c r="GG41" s="672"/>
      <c r="GH41" s="672"/>
      <c r="GI41" s="672"/>
      <c r="GJ41" s="672"/>
      <c r="GK41" s="672"/>
      <c r="GL41" s="672"/>
      <c r="GM41" s="672"/>
      <c r="GN41" s="672"/>
      <c r="GO41" s="672"/>
      <c r="GP41" s="672"/>
      <c r="GQ41" s="672"/>
      <c r="GR41" s="672"/>
      <c r="GS41" s="672"/>
      <c r="GT41" s="672"/>
    </row>
    <row r="42" spans="1:202" s="132" customFormat="1" ht="42.75" customHeight="1" x14ac:dyDescent="0.2">
      <c r="A42" s="496">
        <v>647</v>
      </c>
      <c r="B42" s="322">
        <v>26</v>
      </c>
      <c r="C42" s="99"/>
      <c r="D42" s="99" t="s">
        <v>238</v>
      </c>
      <c r="E42" s="498" t="s">
        <v>304</v>
      </c>
      <c r="F42" s="499" t="s">
        <v>60</v>
      </c>
      <c r="G42" s="500" t="s">
        <v>156</v>
      </c>
      <c r="H42" s="500" t="s">
        <v>51</v>
      </c>
      <c r="I42" s="500" t="s">
        <v>55</v>
      </c>
      <c r="J42" s="98" t="s">
        <v>51</v>
      </c>
      <c r="K42" s="98">
        <v>1976</v>
      </c>
      <c r="L42" s="98" t="s">
        <v>77</v>
      </c>
      <c r="M42" s="98" t="s">
        <v>261</v>
      </c>
      <c r="N42" s="98"/>
      <c r="O42" s="98" t="e">
        <v>#N/A</v>
      </c>
      <c r="P42" s="98"/>
      <c r="Q42" s="498" t="e">
        <v>#N/A</v>
      </c>
      <c r="R42" s="681" t="s">
        <v>54</v>
      </c>
      <c r="S42" s="501" t="s">
        <v>140</v>
      </c>
      <c r="T42" s="502" t="s">
        <v>297</v>
      </c>
      <c r="U42" s="502" t="s">
        <v>298</v>
      </c>
      <c r="V42" s="503" t="s">
        <v>70</v>
      </c>
      <c r="W42" s="504" t="s">
        <v>298</v>
      </c>
      <c r="X42" s="505" t="s">
        <v>299</v>
      </c>
      <c r="Y42" s="506" t="s">
        <v>305</v>
      </c>
      <c r="Z42" s="505" t="s">
        <v>306</v>
      </c>
      <c r="AA42" s="507" t="s">
        <v>237</v>
      </c>
      <c r="AB42" s="508">
        <v>10</v>
      </c>
      <c r="AC42" s="437" t="s">
        <v>51</v>
      </c>
      <c r="AD42" s="51">
        <v>12</v>
      </c>
      <c r="AE42" s="509">
        <v>3.12</v>
      </c>
      <c r="AF42" s="510"/>
      <c r="AG42" s="51"/>
      <c r="AH42" s="511" t="s">
        <v>41</v>
      </c>
      <c r="AI42" s="512" t="s">
        <v>51</v>
      </c>
      <c r="AJ42" s="513" t="s">
        <v>47</v>
      </c>
      <c r="AK42" s="671" t="s">
        <v>51</v>
      </c>
      <c r="AL42" s="514">
        <v>2016</v>
      </c>
      <c r="AM42" s="515"/>
      <c r="AN42" s="516"/>
      <c r="AO42" s="517">
        <v>11</v>
      </c>
      <c r="AP42" s="518" t="s">
        <v>51</v>
      </c>
      <c r="AQ42" s="519">
        <v>12</v>
      </c>
      <c r="AR42" s="682">
        <v>3.3000000000000003</v>
      </c>
      <c r="AS42" s="51"/>
      <c r="AT42" s="520" t="s">
        <v>41</v>
      </c>
      <c r="AU42" s="521" t="s">
        <v>51</v>
      </c>
      <c r="AV42" s="522" t="s">
        <v>47</v>
      </c>
      <c r="AW42" s="523" t="s">
        <v>51</v>
      </c>
      <c r="AX42" s="524">
        <v>2018</v>
      </c>
      <c r="AY42" s="527"/>
      <c r="AZ42" s="125">
        <v>5</v>
      </c>
      <c r="BA42" s="107">
        <f t="shared" si="0"/>
        <v>2</v>
      </c>
      <c r="BB42" s="525">
        <f t="shared" si="1"/>
        <v>-24223</v>
      </c>
      <c r="BC42" s="104">
        <f>VLOOKUP(Y42,'[1]- DLiêu Gốc -'!$C$1:$F$60,3,0)</f>
        <v>1.5</v>
      </c>
      <c r="BD42" s="104">
        <f>VLOOKUP(Y42,'[1]- DLiêu Gốc -'!$C$1:$F$60,4,0)</f>
        <v>0.18</v>
      </c>
      <c r="BE42" s="109" t="str">
        <f t="shared" si="2"/>
        <v>o-o-o</v>
      </c>
      <c r="BF42" s="110"/>
      <c r="BG42" s="212"/>
      <c r="BH42" s="112"/>
      <c r="BI42" s="410"/>
      <c r="BJ42" s="211"/>
      <c r="BK42" s="410"/>
      <c r="BL42" s="135"/>
      <c r="BM42" s="108"/>
      <c r="BN42" s="147"/>
      <c r="BO42" s="111"/>
      <c r="BP42" s="497"/>
      <c r="BQ42" s="112"/>
      <c r="BR42" s="410"/>
      <c r="BS42" s="211"/>
      <c r="BT42" s="410"/>
      <c r="BU42" s="135"/>
      <c r="BV42" s="137"/>
      <c r="BW42" s="116"/>
      <c r="BX42" s="526" t="str">
        <f t="shared" si="3"/>
        <v>- - -</v>
      </c>
      <c r="BY42" s="109" t="str">
        <f>IF(BG42&gt;3,(($BF$2-BV42)*12+($BF$4-BT42)-BN42),"- - -")</f>
        <v>- - -</v>
      </c>
      <c r="BZ42" s="100" t="str">
        <f t="shared" si="5"/>
        <v>Chánh Văn phòng Học viện, Trưởng Ban Tổ chức - Cán bộ, Trưởng Phân viện Học viện Hành chính Quốc gia khu vực Tây Nguyên</v>
      </c>
      <c r="CA42" s="113" t="str">
        <f t="shared" si="6"/>
        <v>A</v>
      </c>
      <c r="CB42" s="114" t="str">
        <f t="shared" si="7"/>
        <v>=&gt; s</v>
      </c>
      <c r="CC42" s="103">
        <f t="shared" si="8"/>
        <v>24235</v>
      </c>
      <c r="CD42" s="99" t="str">
        <f t="shared" si="9"/>
        <v>---</v>
      </c>
      <c r="CE42" s="99"/>
      <c r="CF42" s="164"/>
      <c r="CG42" s="99"/>
      <c r="CH42" s="115"/>
      <c r="CI42" s="99" t="str">
        <f t="shared" si="10"/>
        <v>- - -</v>
      </c>
      <c r="CJ42" s="116" t="str">
        <f t="shared" si="11"/>
        <v>- - -</v>
      </c>
      <c r="CK42" s="117"/>
      <c r="CL42" s="118"/>
      <c r="CM42" s="117"/>
      <c r="CN42" s="119"/>
      <c r="CO42" s="116" t="str">
        <f t="shared" si="12"/>
        <v>- - -</v>
      </c>
      <c r="CP42" s="117"/>
      <c r="CQ42" s="118"/>
      <c r="CR42" s="117"/>
      <c r="CS42" s="119"/>
      <c r="CT42" s="120" t="str">
        <f>IF(AND(CU42="Hưu",AB42&lt;(AD42-1),DB42&gt;0,DB42&lt;18,OR(BF42&lt;4,AND(BF42&gt;3,OR(BY42&lt;3,BY42&gt;5)))),"Lg Sớm",IF(AND(CU42="Hưu",AB42&gt;(AD42-2),OR(BD42=0.33,BD42=0.34),OR(BF42&lt;4,AND(BF42&gt;3,OR(BY42&lt;3,BY42&gt;5)))),"Nâng Ngạch",IF(AND(CU42="Hưu",BA42=1,DB42&gt;2,DB42&lt;6,OR(BF42&lt;4,AND(BF42&gt;3,OR(BY42&lt;3,BY42&gt;5)))),"Nâng PcVK cùng QĐ",IF(AND(CU42="Hưu",BF42&gt;3,BY42&gt;2,BY42&lt;6,AB42&lt;(AD42-1),DB42&gt;17,OR(BA42&gt;1,AND(BA42=1,OR(DB42&lt;3,DB42&gt;5)))),"Nâng PcNG cùng QĐ",IF(AND(CU42="Hưu",AB42&lt;(AD42-1),DB42&gt;0,DB42&lt;18,BF42&gt;3,BY42&gt;2,BY42&lt;6),"Nâng Lg Sớm +(PcNG cùng QĐ)",IF(AND(CU42="Hưu",AB42&gt;(AD42-2),OR(BD42=0.33,BD42=0.34),BF42&gt;3,BY42&gt;2,BY42&lt;6),"Nâng Ngạch +(PcNG cùng QĐ)",IF(AND(CU42="Hưu",BA42=1,DB42&gt;2,DB42&lt;6,BF42&gt;3,BY42&gt;2,BY42&lt;6),"Nâng (PcVK +PcNG) cùng QĐ",("---"))))))))</f>
        <v>---</v>
      </c>
      <c r="CU42" s="148" t="str">
        <f t="shared" si="14"/>
        <v>/-/ /-/</v>
      </c>
      <c r="CV42" s="121">
        <f t="shared" si="15"/>
        <v>11</v>
      </c>
      <c r="CW42" s="122">
        <f t="shared" si="16"/>
        <v>2036</v>
      </c>
      <c r="CX42" s="121">
        <f t="shared" si="17"/>
        <v>8</v>
      </c>
      <c r="CY42" s="122">
        <f t="shared" si="18"/>
        <v>2036</v>
      </c>
      <c r="CZ42" s="121">
        <f t="shared" si="19"/>
        <v>5</v>
      </c>
      <c r="DA42" s="122">
        <f t="shared" si="20"/>
        <v>2036</v>
      </c>
      <c r="DB42" s="123" t="str">
        <f t="shared" si="21"/>
        <v>- - -</v>
      </c>
      <c r="DC42" s="124" t="str">
        <f t="shared" si="22"/>
        <v>. .</v>
      </c>
      <c r="DD42" s="124"/>
      <c r="DE42" s="103">
        <f t="shared" si="23"/>
        <v>720</v>
      </c>
      <c r="DF42" s="103">
        <f t="shared" si="24"/>
        <v>-23710</v>
      </c>
      <c r="DG42" s="103">
        <f t="shared" si="25"/>
        <v>-1976</v>
      </c>
      <c r="DH42" s="103" t="str">
        <f t="shared" si="26"/>
        <v>Nam dưới 35</v>
      </c>
      <c r="DI42" s="103"/>
      <c r="DJ42" s="103"/>
      <c r="DK42" s="109" t="str">
        <f t="shared" si="27"/>
        <v>Đến 30</v>
      </c>
      <c r="DL42" s="117" t="str">
        <f t="shared" si="28"/>
        <v>--</v>
      </c>
      <c r="DM42" s="101"/>
      <c r="DN42" s="99"/>
      <c r="DO42" s="136"/>
      <c r="DP42" s="101"/>
      <c r="DQ42" s="119"/>
      <c r="DR42" s="125"/>
      <c r="DS42" s="126"/>
      <c r="DT42" s="127"/>
      <c r="DU42" s="128"/>
      <c r="DV42" s="102" t="s">
        <v>54</v>
      </c>
      <c r="DW42" s="105" t="s">
        <v>181</v>
      </c>
      <c r="DX42" s="106" t="s">
        <v>54</v>
      </c>
      <c r="DY42" s="141" t="s">
        <v>41</v>
      </c>
      <c r="DZ42" s="106" t="s">
        <v>51</v>
      </c>
      <c r="EA42" s="129" t="s">
        <v>43</v>
      </c>
      <c r="EB42" s="106" t="s">
        <v>51</v>
      </c>
      <c r="EC42" s="130">
        <v>2012</v>
      </c>
      <c r="ED42" s="105">
        <f t="shared" si="29"/>
        <v>0</v>
      </c>
      <c r="EE42" s="106" t="str">
        <f t="shared" si="30"/>
        <v>- - -</v>
      </c>
      <c r="EF42" s="141" t="s">
        <v>41</v>
      </c>
      <c r="EG42" s="106" t="s">
        <v>51</v>
      </c>
      <c r="EH42" s="129" t="s">
        <v>43</v>
      </c>
      <c r="EI42" s="99" t="s">
        <v>51</v>
      </c>
      <c r="EJ42" s="116">
        <v>2012</v>
      </c>
      <c r="EK42" s="131"/>
      <c r="EL42" s="128" t="str">
        <f t="shared" si="31"/>
        <v>- - -</v>
      </c>
      <c r="EM42" s="132" t="str">
        <f t="shared" si="32"/>
        <v>---</v>
      </c>
      <c r="FP42" s="672"/>
      <c r="FQ42" s="672"/>
      <c r="FR42" s="672"/>
      <c r="FS42" s="672"/>
      <c r="FT42" s="672"/>
      <c r="FU42" s="672"/>
      <c r="FV42" s="672"/>
      <c r="FW42" s="672"/>
      <c r="FX42" s="672"/>
      <c r="FY42" s="672"/>
      <c r="FZ42" s="672"/>
      <c r="GA42" s="672"/>
      <c r="GB42" s="672"/>
      <c r="GC42" s="672"/>
      <c r="GD42" s="672"/>
      <c r="GE42" s="672"/>
      <c r="GF42" s="672"/>
      <c r="GG42" s="672"/>
      <c r="GH42" s="672"/>
      <c r="GI42" s="672"/>
      <c r="GJ42" s="672"/>
      <c r="GK42" s="672"/>
      <c r="GL42" s="672"/>
      <c r="GM42" s="672"/>
      <c r="GN42" s="672"/>
      <c r="GO42" s="672"/>
      <c r="GP42" s="672"/>
      <c r="GQ42" s="672"/>
      <c r="GR42" s="672"/>
      <c r="GS42" s="672"/>
      <c r="GT42" s="672"/>
    </row>
    <row r="43" spans="1:202" s="132" customFormat="1" ht="42.75" customHeight="1" x14ac:dyDescent="0.2">
      <c r="A43" s="496">
        <v>699</v>
      </c>
      <c r="B43" s="322">
        <v>27</v>
      </c>
      <c r="C43" s="99"/>
      <c r="D43" s="99" t="s">
        <v>230</v>
      </c>
      <c r="E43" s="498" t="s">
        <v>307</v>
      </c>
      <c r="F43" s="499" t="s">
        <v>61</v>
      </c>
      <c r="G43" s="500" t="s">
        <v>308</v>
      </c>
      <c r="H43" s="500" t="s">
        <v>51</v>
      </c>
      <c r="I43" s="500" t="s">
        <v>49</v>
      </c>
      <c r="J43" s="98" t="s">
        <v>51</v>
      </c>
      <c r="K43" s="98">
        <v>1976</v>
      </c>
      <c r="L43" s="98" t="s">
        <v>79</v>
      </c>
      <c r="M43" s="98" t="s">
        <v>232</v>
      </c>
      <c r="N43" s="98"/>
      <c r="O43" s="98" t="s">
        <v>240</v>
      </c>
      <c r="P43" s="98" t="s">
        <v>29</v>
      </c>
      <c r="Q43" s="498">
        <v>0.4</v>
      </c>
      <c r="R43" s="681" t="s">
        <v>200</v>
      </c>
      <c r="S43" s="501" t="s">
        <v>143</v>
      </c>
      <c r="T43" s="502" t="s">
        <v>249</v>
      </c>
      <c r="U43" s="502" t="s">
        <v>250</v>
      </c>
      <c r="V43" s="503" t="s">
        <v>69</v>
      </c>
      <c r="W43" s="504" t="s">
        <v>74</v>
      </c>
      <c r="X43" s="505" t="s">
        <v>207</v>
      </c>
      <c r="Y43" s="506" t="s">
        <v>74</v>
      </c>
      <c r="Z43" s="505" t="s">
        <v>207</v>
      </c>
      <c r="AA43" s="507" t="s">
        <v>237</v>
      </c>
      <c r="AB43" s="508">
        <v>2</v>
      </c>
      <c r="AC43" s="437" t="s">
        <v>51</v>
      </c>
      <c r="AD43" s="51">
        <v>8</v>
      </c>
      <c r="AE43" s="509">
        <v>4.74</v>
      </c>
      <c r="AF43" s="510"/>
      <c r="AG43" s="51"/>
      <c r="AH43" s="511" t="s">
        <v>41</v>
      </c>
      <c r="AI43" s="512" t="s">
        <v>51</v>
      </c>
      <c r="AJ43" s="513" t="s">
        <v>47</v>
      </c>
      <c r="AK43" s="671" t="s">
        <v>51</v>
      </c>
      <c r="AL43" s="514">
        <v>2015</v>
      </c>
      <c r="AM43" s="515"/>
      <c r="AN43" s="516"/>
      <c r="AO43" s="517">
        <v>3</v>
      </c>
      <c r="AP43" s="518" t="s">
        <v>51</v>
      </c>
      <c r="AQ43" s="519">
        <v>8</v>
      </c>
      <c r="AR43" s="682">
        <v>5.08</v>
      </c>
      <c r="AS43" s="51"/>
      <c r="AT43" s="520" t="s">
        <v>41</v>
      </c>
      <c r="AU43" s="521" t="s">
        <v>51</v>
      </c>
      <c r="AV43" s="522" t="s">
        <v>47</v>
      </c>
      <c r="AW43" s="523" t="s">
        <v>51</v>
      </c>
      <c r="AX43" s="524">
        <v>2018</v>
      </c>
      <c r="AY43" s="527"/>
      <c r="AZ43" s="125">
        <v>5</v>
      </c>
      <c r="BA43" s="107">
        <f t="shared" si="0"/>
        <v>3</v>
      </c>
      <c r="BB43" s="525">
        <f t="shared" si="1"/>
        <v>-24223</v>
      </c>
      <c r="BC43" s="104">
        <f>VLOOKUP(Y43,'[1]- DLiêu Gốc -'!$C$1:$F$60,3,0)</f>
        <v>4.4000000000000004</v>
      </c>
      <c r="BD43" s="104">
        <f>VLOOKUP(Y43,'[1]- DLiêu Gốc -'!$C$1:$F$60,4,0)</f>
        <v>0.34</v>
      </c>
      <c r="BE43" s="109" t="str">
        <f t="shared" si="2"/>
        <v>o-o-o</v>
      </c>
      <c r="BF43" s="110"/>
      <c r="BG43" s="212"/>
      <c r="BH43" s="112"/>
      <c r="BI43" s="410"/>
      <c r="BJ43" s="211"/>
      <c r="BK43" s="410"/>
      <c r="BL43" s="135"/>
      <c r="BM43" s="108"/>
      <c r="BN43" s="147"/>
      <c r="BO43" s="111"/>
      <c r="BP43" s="497"/>
      <c r="BQ43" s="112"/>
      <c r="BR43" s="410"/>
      <c r="BS43" s="211"/>
      <c r="BT43" s="410"/>
      <c r="BU43" s="135"/>
      <c r="BV43" s="137"/>
      <c r="BW43" s="116"/>
      <c r="BX43" s="526" t="str">
        <f t="shared" si="3"/>
        <v>- - -</v>
      </c>
      <c r="BY43" s="109" t="str">
        <f>IF(BG43&gt;3,(($BF$2-BV43)*12+($BF$4-BT43)-BN43),"- - -")</f>
        <v>- - -</v>
      </c>
      <c r="BZ43" s="100" t="str">
        <f t="shared" si="5"/>
        <v>Chánh Văn phòng Học viện, Trưởng Ban Tổ chức - Cán bộ, Trưởng Phân viện Học viện Hành chính Quốc gia tại Thành phố Hồ Chí Minh</v>
      </c>
      <c r="CA43" s="113" t="str">
        <f t="shared" si="6"/>
        <v>A</v>
      </c>
      <c r="CB43" s="114" t="str">
        <f t="shared" si="7"/>
        <v>=&gt; s</v>
      </c>
      <c r="CC43" s="103">
        <f t="shared" si="8"/>
        <v>24247</v>
      </c>
      <c r="CD43" s="99" t="str">
        <f t="shared" si="9"/>
        <v>---</v>
      </c>
      <c r="CE43" s="99"/>
      <c r="CF43" s="164"/>
      <c r="CG43" s="99"/>
      <c r="CH43" s="115"/>
      <c r="CI43" s="99" t="str">
        <f t="shared" si="10"/>
        <v>- - -</v>
      </c>
      <c r="CJ43" s="116" t="str">
        <f t="shared" si="11"/>
        <v>- - -</v>
      </c>
      <c r="CK43" s="117"/>
      <c r="CL43" s="118"/>
      <c r="CM43" s="117"/>
      <c r="CN43" s="119"/>
      <c r="CO43" s="116" t="str">
        <f t="shared" si="12"/>
        <v>- - -</v>
      </c>
      <c r="CP43" s="117"/>
      <c r="CQ43" s="118"/>
      <c r="CR43" s="117"/>
      <c r="CS43" s="119"/>
      <c r="CT43" s="120" t="str">
        <f>IF(AND(CU43="Hưu",AB43&lt;(AD43-1),DB43&gt;0,DB43&lt;18,OR(BF43&lt;4,AND(BF43&gt;3,OR(BY43&lt;3,BY43&gt;5)))),"Lg Sớm",IF(AND(CU43="Hưu",AB43&gt;(AD43-2),OR(BD43=0.33,BD43=0.34),OR(BF43&lt;4,AND(BF43&gt;3,OR(BY43&lt;3,BY43&gt;5)))),"Nâng Ngạch",IF(AND(CU43="Hưu",BA43=1,DB43&gt;2,DB43&lt;6,OR(BF43&lt;4,AND(BF43&gt;3,OR(BY43&lt;3,BY43&gt;5)))),"Nâng PcVK cùng QĐ",IF(AND(CU43="Hưu",BF43&gt;3,BY43&gt;2,BY43&lt;6,AB43&lt;(AD43-1),DB43&gt;17,OR(BA43&gt;1,AND(BA43=1,OR(DB43&lt;3,DB43&gt;5)))),"Nâng PcNG cùng QĐ",IF(AND(CU43="Hưu",AB43&lt;(AD43-1),DB43&gt;0,DB43&lt;18,BF43&gt;3,BY43&gt;2,BY43&lt;6),"Nâng Lg Sớm +(PcNG cùng QĐ)",IF(AND(CU43="Hưu",AB43&gt;(AD43-2),OR(BD43=0.33,BD43=0.34),BF43&gt;3,BY43&gt;2,BY43&lt;6),"Nâng Ngạch +(PcNG cùng QĐ)",IF(AND(CU43="Hưu",BA43=1,DB43&gt;2,DB43&lt;6,BF43&gt;3,BY43&gt;2,BY43&lt;6),"Nâng (PcVK +PcNG) cùng QĐ",("---"))))))))</f>
        <v>---</v>
      </c>
      <c r="CU43" s="148" t="str">
        <f t="shared" si="14"/>
        <v>/-/ /-/</v>
      </c>
      <c r="CV43" s="121">
        <f t="shared" si="15"/>
        <v>1</v>
      </c>
      <c r="CW43" s="122">
        <f t="shared" si="16"/>
        <v>2032</v>
      </c>
      <c r="CX43" s="121">
        <f t="shared" si="17"/>
        <v>10</v>
      </c>
      <c r="CY43" s="122">
        <f t="shared" si="18"/>
        <v>2031</v>
      </c>
      <c r="CZ43" s="121">
        <f t="shared" si="19"/>
        <v>7</v>
      </c>
      <c r="DA43" s="122">
        <f t="shared" si="20"/>
        <v>2031</v>
      </c>
      <c r="DB43" s="123" t="str">
        <f t="shared" si="21"/>
        <v>- - -</v>
      </c>
      <c r="DC43" s="124" t="str">
        <f t="shared" si="22"/>
        <v>. .</v>
      </c>
      <c r="DD43" s="124"/>
      <c r="DE43" s="103">
        <f t="shared" si="23"/>
        <v>660</v>
      </c>
      <c r="DF43" s="103">
        <f t="shared" si="24"/>
        <v>-23712</v>
      </c>
      <c r="DG43" s="103">
        <f t="shared" si="25"/>
        <v>-1976</v>
      </c>
      <c r="DH43" s="103" t="str">
        <f t="shared" si="26"/>
        <v>Nữ dưới 30</v>
      </c>
      <c r="DI43" s="103"/>
      <c r="DJ43" s="103"/>
      <c r="DK43" s="109" t="str">
        <f t="shared" si="27"/>
        <v>Đến 30</v>
      </c>
      <c r="DL43" s="117" t="str">
        <f t="shared" si="28"/>
        <v>--</v>
      </c>
      <c r="DM43" s="101"/>
      <c r="DN43" s="99"/>
      <c r="DO43" s="136"/>
      <c r="DP43" s="101"/>
      <c r="DQ43" s="119"/>
      <c r="DR43" s="125"/>
      <c r="DS43" s="126"/>
      <c r="DT43" s="127"/>
      <c r="DU43" s="128"/>
      <c r="DV43" s="102" t="s">
        <v>183</v>
      </c>
      <c r="DW43" s="105" t="s">
        <v>184</v>
      </c>
      <c r="DX43" s="106" t="s">
        <v>183</v>
      </c>
      <c r="DY43" s="141" t="s">
        <v>50</v>
      </c>
      <c r="DZ43" s="106" t="s">
        <v>51</v>
      </c>
      <c r="EA43" s="129" t="s">
        <v>43</v>
      </c>
      <c r="EB43" s="106" t="s">
        <v>51</v>
      </c>
      <c r="EC43" s="130">
        <v>2012</v>
      </c>
      <c r="ED43" s="105">
        <f t="shared" si="29"/>
        <v>14</v>
      </c>
      <c r="EE43" s="106" t="str">
        <f t="shared" si="30"/>
        <v>Sửa</v>
      </c>
      <c r="EF43" s="141" t="s">
        <v>41</v>
      </c>
      <c r="EG43" s="106" t="s">
        <v>51</v>
      </c>
      <c r="EH43" s="129" t="s">
        <v>43</v>
      </c>
      <c r="EI43" s="99" t="s">
        <v>51</v>
      </c>
      <c r="EJ43" s="116">
        <v>2012</v>
      </c>
      <c r="EK43" s="131"/>
      <c r="EL43" s="128" t="str">
        <f t="shared" si="31"/>
        <v>- - -</v>
      </c>
      <c r="EM43" s="132" t="str">
        <f t="shared" si="32"/>
        <v>---</v>
      </c>
      <c r="FP43" s="672"/>
      <c r="FQ43" s="672"/>
      <c r="FR43" s="672"/>
      <c r="FS43" s="672"/>
      <c r="FT43" s="672"/>
      <c r="FU43" s="672"/>
      <c r="FV43" s="672"/>
      <c r="FW43" s="672"/>
      <c r="FX43" s="672"/>
      <c r="FY43" s="672"/>
      <c r="FZ43" s="672"/>
      <c r="GA43" s="672"/>
      <c r="GB43" s="672"/>
      <c r="GC43" s="672"/>
      <c r="GD43" s="672"/>
      <c r="GE43" s="672"/>
      <c r="GF43" s="672"/>
      <c r="GG43" s="672"/>
      <c r="GH43" s="672"/>
      <c r="GI43" s="672"/>
      <c r="GJ43" s="672"/>
      <c r="GK43" s="672"/>
      <c r="GL43" s="672"/>
      <c r="GM43" s="672"/>
      <c r="GN43" s="672"/>
      <c r="GO43" s="672"/>
      <c r="GP43" s="672"/>
      <c r="GQ43" s="672"/>
      <c r="GR43" s="672"/>
      <c r="GS43" s="672"/>
      <c r="GT43" s="672"/>
    </row>
    <row r="44" spans="1:202" s="132" customFormat="1" ht="42.75" customHeight="1" x14ac:dyDescent="0.2">
      <c r="A44" s="496">
        <v>754</v>
      </c>
      <c r="B44" s="322">
        <v>28</v>
      </c>
      <c r="C44" s="99"/>
      <c r="D44" s="99" t="s">
        <v>230</v>
      </c>
      <c r="E44" s="498" t="s">
        <v>309</v>
      </c>
      <c r="F44" s="499" t="s">
        <v>61</v>
      </c>
      <c r="G44" s="500" t="s">
        <v>141</v>
      </c>
      <c r="H44" s="500" t="s">
        <v>51</v>
      </c>
      <c r="I44" s="500" t="s">
        <v>55</v>
      </c>
      <c r="J44" s="98" t="s">
        <v>51</v>
      </c>
      <c r="K44" s="98">
        <v>1975</v>
      </c>
      <c r="L44" s="98" t="s">
        <v>79</v>
      </c>
      <c r="M44" s="98" t="s">
        <v>232</v>
      </c>
      <c r="N44" s="98"/>
      <c r="O44" s="98" t="s">
        <v>240</v>
      </c>
      <c r="P44" s="98" t="s">
        <v>29</v>
      </c>
      <c r="Q44" s="498" t="s">
        <v>274</v>
      </c>
      <c r="R44" s="681" t="s">
        <v>144</v>
      </c>
      <c r="S44" s="501" t="s">
        <v>143</v>
      </c>
      <c r="T44" s="502" t="s">
        <v>249</v>
      </c>
      <c r="U44" s="502" t="s">
        <v>250</v>
      </c>
      <c r="V44" s="503" t="s">
        <v>69</v>
      </c>
      <c r="W44" s="504" t="s">
        <v>74</v>
      </c>
      <c r="X44" s="505" t="s">
        <v>207</v>
      </c>
      <c r="Y44" s="506" t="s">
        <v>74</v>
      </c>
      <c r="Z44" s="505" t="s">
        <v>207</v>
      </c>
      <c r="AA44" s="507" t="s">
        <v>237</v>
      </c>
      <c r="AB44" s="508">
        <v>2</v>
      </c>
      <c r="AC44" s="437" t="s">
        <v>51</v>
      </c>
      <c r="AD44" s="51">
        <v>8</v>
      </c>
      <c r="AE44" s="509">
        <v>4.74</v>
      </c>
      <c r="AF44" s="510"/>
      <c r="AG44" s="51"/>
      <c r="AH44" s="511" t="s">
        <v>41</v>
      </c>
      <c r="AI44" s="512" t="s">
        <v>51</v>
      </c>
      <c r="AJ44" s="513" t="s">
        <v>47</v>
      </c>
      <c r="AK44" s="671" t="s">
        <v>51</v>
      </c>
      <c r="AL44" s="514">
        <v>2015</v>
      </c>
      <c r="AM44" s="515"/>
      <c r="AN44" s="516"/>
      <c r="AO44" s="517">
        <v>3</v>
      </c>
      <c r="AP44" s="518" t="s">
        <v>51</v>
      </c>
      <c r="AQ44" s="519">
        <v>8</v>
      </c>
      <c r="AR44" s="682">
        <v>5.08</v>
      </c>
      <c r="AS44" s="51"/>
      <c r="AT44" s="520" t="s">
        <v>41</v>
      </c>
      <c r="AU44" s="521" t="s">
        <v>51</v>
      </c>
      <c r="AV44" s="522" t="s">
        <v>47</v>
      </c>
      <c r="AW44" s="523" t="s">
        <v>51</v>
      </c>
      <c r="AX44" s="524">
        <v>2018</v>
      </c>
      <c r="AY44" s="527"/>
      <c r="AZ44" s="125">
        <v>5</v>
      </c>
      <c r="BA44" s="107">
        <f t="shared" si="0"/>
        <v>3</v>
      </c>
      <c r="BB44" s="525">
        <f t="shared" si="1"/>
        <v>-24223</v>
      </c>
      <c r="BC44" s="104">
        <f>VLOOKUP(Y44,'[1]- DLiêu Gốc -'!$C$1:$F$60,3,0)</f>
        <v>4.4000000000000004</v>
      </c>
      <c r="BD44" s="104">
        <f>VLOOKUP(Y44,'[1]- DLiêu Gốc -'!$C$1:$F$60,4,0)</f>
        <v>0.34</v>
      </c>
      <c r="BE44" s="109" t="str">
        <f t="shared" si="2"/>
        <v>o-o-o</v>
      </c>
      <c r="BF44" s="110"/>
      <c r="BG44" s="212"/>
      <c r="BH44" s="112"/>
      <c r="BI44" s="410"/>
      <c r="BJ44" s="211"/>
      <c r="BK44" s="410"/>
      <c r="BL44" s="135"/>
      <c r="BM44" s="108"/>
      <c r="BN44" s="147"/>
      <c r="BO44" s="111"/>
      <c r="BP44" s="497"/>
      <c r="BQ44" s="112"/>
      <c r="BR44" s="410"/>
      <c r="BS44" s="211"/>
      <c r="BT44" s="410"/>
      <c r="BU44" s="135"/>
      <c r="BV44" s="137"/>
      <c r="BW44" s="116"/>
      <c r="BX44" s="526" t="str">
        <f t="shared" si="3"/>
        <v>- - -</v>
      </c>
      <c r="BY44" s="109" t="str">
        <f>IF(AND(CU44="Hưu",BF44&gt;3),12-(12*(DA44-BU44)+(CZ44-BS44))-BM44,"- - -")</f>
        <v>- - -</v>
      </c>
      <c r="BZ44" s="100" t="str">
        <f t="shared" si="5"/>
        <v>Chánh Văn phòng Học viện, Trưởng Ban Tổ chức - Cán bộ, Trưởng Phân viện Học viện Hành chính Quốc gia tại Thành phố Hồ Chí Minh</v>
      </c>
      <c r="CA44" s="113" t="str">
        <f t="shared" si="6"/>
        <v>A</v>
      </c>
      <c r="CB44" s="114" t="str">
        <f t="shared" si="7"/>
        <v>=&gt; s</v>
      </c>
      <c r="CC44" s="103">
        <f t="shared" si="8"/>
        <v>24247</v>
      </c>
      <c r="CD44" s="99" t="str">
        <f t="shared" si="9"/>
        <v>---</v>
      </c>
      <c r="CE44" s="99"/>
      <c r="CF44" s="164"/>
      <c r="CG44" s="99"/>
      <c r="CH44" s="115"/>
      <c r="CI44" s="99" t="str">
        <f t="shared" si="10"/>
        <v>- - -</v>
      </c>
      <c r="CJ44" s="116" t="str">
        <f t="shared" si="11"/>
        <v>- - -</v>
      </c>
      <c r="CK44" s="117"/>
      <c r="CL44" s="118"/>
      <c r="CM44" s="117"/>
      <c r="CN44" s="119"/>
      <c r="CO44" s="116" t="str">
        <f t="shared" si="12"/>
        <v>CN</v>
      </c>
      <c r="CP44" s="117">
        <v>10</v>
      </c>
      <c r="CQ44" s="118">
        <v>2013</v>
      </c>
      <c r="CR44" s="117"/>
      <c r="CS44" s="119"/>
      <c r="CT44" s="120" t="str">
        <f>IF(AND(CU44="Hưu",AB44&lt;(AD44-1),DB44&gt;0,DB44&lt;18,OR(BF44&lt;4,AND(BF44&gt;3,OR(BY44&lt;3,BY44&gt;5)))),"Lg Sớm",IF(AND(CU44="Hưu",AB44&gt;(AD44-2),OR(BD44=0.33,BD44=0.34),OR(BF44&lt;4,AND(BF44&gt;3,OR(BY44&lt;3,BY44&gt;5)))),"Nâng Ngạch",IF(AND(CU44="Hưu",BA44=1,DB44&gt;2,DB44&lt;6,OR(BF44&lt;4,AND(BF44&gt;3,OR(BY44&lt;3,BY44&gt;5)))),"Nâng PcVK cùng QĐ",IF(AND(CU44="Hưu",BF44&gt;3,BY44&gt;2,BY44&lt;6,AB44&lt;(AD44-1),DB44&gt;17,OR(BA44&gt;1,AND(BA44=1,OR(DB44&lt;3,DB44&gt;5)))),"Nâng PcNG cùng QĐ",IF(AND(CU44="Hưu",AB44&lt;(AD44-1),DB44&gt;0,DB44&lt;18,BF44&gt;3,BY44&gt;2,BY44&lt;6),"Nâng Lg Sớm +(PcNG cùng QĐ)",IF(AND(CU44="Hưu",AB44&gt;(AD44-2),OR(BD44=0.33,BD44=0.34),BF44&gt;3,BY44&gt;2,BY44&lt;6),"Nâng Ngạch +(PcNG cùng QĐ)",IF(AND(CU44="Hưu",BA44=1,DB44&gt;2,DB44&lt;6,BF44&gt;3,BY44&gt;2,BY44&lt;6),"Nâng (PcVK +PcNG) cùng QĐ",("---"))))))))</f>
        <v>---</v>
      </c>
      <c r="CU44" s="148" t="str">
        <f t="shared" si="14"/>
        <v>/-/ /-/</v>
      </c>
      <c r="CV44" s="121">
        <f t="shared" si="15"/>
        <v>11</v>
      </c>
      <c r="CW44" s="122">
        <f t="shared" si="16"/>
        <v>2030</v>
      </c>
      <c r="CX44" s="121">
        <f t="shared" si="17"/>
        <v>8</v>
      </c>
      <c r="CY44" s="122">
        <f t="shared" si="18"/>
        <v>2030</v>
      </c>
      <c r="CZ44" s="121">
        <f t="shared" si="19"/>
        <v>5</v>
      </c>
      <c r="DA44" s="122">
        <f t="shared" si="20"/>
        <v>2030</v>
      </c>
      <c r="DB44" s="123" t="str">
        <f t="shared" si="21"/>
        <v>- - -</v>
      </c>
      <c r="DC44" s="124" t="str">
        <f t="shared" si="22"/>
        <v>. .</v>
      </c>
      <c r="DD44" s="124"/>
      <c r="DE44" s="103">
        <f t="shared" si="23"/>
        <v>660</v>
      </c>
      <c r="DF44" s="103">
        <f t="shared" si="24"/>
        <v>-23698</v>
      </c>
      <c r="DG44" s="103">
        <f t="shared" si="25"/>
        <v>-1975</v>
      </c>
      <c r="DH44" s="103" t="str">
        <f t="shared" si="26"/>
        <v>Nữ dưới 30</v>
      </c>
      <c r="DI44" s="103"/>
      <c r="DJ44" s="103"/>
      <c r="DK44" s="109" t="str">
        <f t="shared" si="27"/>
        <v>Đến 30</v>
      </c>
      <c r="DL44" s="117" t="str">
        <f t="shared" si="28"/>
        <v>--</v>
      </c>
      <c r="DM44" s="101"/>
      <c r="DN44" s="99"/>
      <c r="DO44" s="136"/>
      <c r="DP44" s="101"/>
      <c r="DQ44" s="119"/>
      <c r="DR44" s="125"/>
      <c r="DS44" s="126"/>
      <c r="DT44" s="127"/>
      <c r="DU44" s="128"/>
      <c r="DV44" s="102" t="s">
        <v>142</v>
      </c>
      <c r="DW44" s="105" t="s">
        <v>184</v>
      </c>
      <c r="DX44" s="106" t="s">
        <v>142</v>
      </c>
      <c r="DY44" s="141" t="s">
        <v>41</v>
      </c>
      <c r="DZ44" s="106" t="s">
        <v>51</v>
      </c>
      <c r="EA44" s="129" t="s">
        <v>43</v>
      </c>
      <c r="EB44" s="106" t="s">
        <v>51</v>
      </c>
      <c r="EC44" s="130">
        <v>2012</v>
      </c>
      <c r="ED44" s="105">
        <f t="shared" si="29"/>
        <v>0</v>
      </c>
      <c r="EE44" s="106" t="str">
        <f t="shared" si="30"/>
        <v>- - -</v>
      </c>
      <c r="EF44" s="141" t="s">
        <v>41</v>
      </c>
      <c r="EG44" s="106" t="s">
        <v>51</v>
      </c>
      <c r="EH44" s="129" t="s">
        <v>43</v>
      </c>
      <c r="EI44" s="99" t="s">
        <v>51</v>
      </c>
      <c r="EJ44" s="116">
        <v>2012</v>
      </c>
      <c r="EK44" s="131"/>
      <c r="EL44" s="128" t="str">
        <f t="shared" si="31"/>
        <v>- - -</v>
      </c>
      <c r="EM44" s="132" t="str">
        <f t="shared" si="32"/>
        <v>---</v>
      </c>
      <c r="FP44" s="672"/>
      <c r="FQ44" s="672"/>
      <c r="FR44" s="672"/>
      <c r="FS44" s="672"/>
      <c r="FT44" s="672"/>
      <c r="FU44" s="672"/>
      <c r="FV44" s="672"/>
      <c r="FW44" s="672"/>
      <c r="FX44" s="672"/>
      <c r="FY44" s="672"/>
      <c r="FZ44" s="672"/>
      <c r="GA44" s="672"/>
      <c r="GB44" s="672"/>
      <c r="GC44" s="672"/>
      <c r="GD44" s="672"/>
      <c r="GE44" s="672"/>
      <c r="GF44" s="672"/>
      <c r="GG44" s="672"/>
      <c r="GH44" s="672"/>
      <c r="GI44" s="672"/>
      <c r="GJ44" s="672"/>
      <c r="GK44" s="672"/>
      <c r="GL44" s="672"/>
      <c r="GM44" s="672"/>
      <c r="GN44" s="672"/>
      <c r="GO44" s="672"/>
      <c r="GP44" s="672"/>
      <c r="GQ44" s="672"/>
      <c r="GR44" s="672"/>
      <c r="GS44" s="672"/>
      <c r="GT44" s="672"/>
    </row>
    <row r="45" spans="1:202" s="132" customFormat="1" ht="42.75" customHeight="1" x14ac:dyDescent="0.2">
      <c r="A45" s="496">
        <v>767</v>
      </c>
      <c r="B45" s="322">
        <v>29</v>
      </c>
      <c r="C45" s="99"/>
      <c r="D45" s="99" t="s">
        <v>238</v>
      </c>
      <c r="E45" s="498" t="s">
        <v>310</v>
      </c>
      <c r="F45" s="499" t="s">
        <v>60</v>
      </c>
      <c r="G45" s="500" t="s">
        <v>311</v>
      </c>
      <c r="H45" s="500" t="s">
        <v>51</v>
      </c>
      <c r="I45" s="500">
        <v>9</v>
      </c>
      <c r="J45" s="98" t="s">
        <v>51</v>
      </c>
      <c r="K45" s="98">
        <v>1975</v>
      </c>
      <c r="L45" s="98" t="s">
        <v>79</v>
      </c>
      <c r="M45" s="98" t="s">
        <v>232</v>
      </c>
      <c r="N45" s="98"/>
      <c r="O45" s="98" t="e">
        <v>#N/A</v>
      </c>
      <c r="P45" s="98"/>
      <c r="Q45" s="498" t="e">
        <v>#N/A</v>
      </c>
      <c r="R45" s="681" t="s">
        <v>312</v>
      </c>
      <c r="S45" s="501" t="s">
        <v>143</v>
      </c>
      <c r="T45" s="502" t="s">
        <v>235</v>
      </c>
      <c r="U45" s="502" t="s">
        <v>236</v>
      </c>
      <c r="V45" s="503" t="s">
        <v>70</v>
      </c>
      <c r="W45" s="504" t="s">
        <v>40</v>
      </c>
      <c r="X45" s="505" t="s">
        <v>11</v>
      </c>
      <c r="Y45" s="506" t="s">
        <v>40</v>
      </c>
      <c r="Z45" s="505" t="s">
        <v>11</v>
      </c>
      <c r="AA45" s="507" t="s">
        <v>237</v>
      </c>
      <c r="AB45" s="508">
        <v>4</v>
      </c>
      <c r="AC45" s="437" t="s">
        <v>51</v>
      </c>
      <c r="AD45" s="51">
        <v>9</v>
      </c>
      <c r="AE45" s="509">
        <v>3.33</v>
      </c>
      <c r="AF45" s="510"/>
      <c r="AG45" s="51"/>
      <c r="AH45" s="511" t="s">
        <v>41</v>
      </c>
      <c r="AI45" s="512" t="s">
        <v>51</v>
      </c>
      <c r="AJ45" s="513" t="s">
        <v>47</v>
      </c>
      <c r="AK45" s="671" t="s">
        <v>51</v>
      </c>
      <c r="AL45" s="514">
        <v>2015</v>
      </c>
      <c r="AM45" s="515"/>
      <c r="AN45" s="516"/>
      <c r="AO45" s="517">
        <v>5</v>
      </c>
      <c r="AP45" s="518" t="s">
        <v>51</v>
      </c>
      <c r="AQ45" s="519">
        <v>9</v>
      </c>
      <c r="AR45" s="682">
        <v>3.66</v>
      </c>
      <c r="AS45" s="51"/>
      <c r="AT45" s="520" t="s">
        <v>41</v>
      </c>
      <c r="AU45" s="521" t="s">
        <v>51</v>
      </c>
      <c r="AV45" s="522" t="s">
        <v>47</v>
      </c>
      <c r="AW45" s="523" t="s">
        <v>51</v>
      </c>
      <c r="AX45" s="524">
        <v>2018</v>
      </c>
      <c r="AY45" s="527"/>
      <c r="AZ45" s="125">
        <v>5</v>
      </c>
      <c r="BA45" s="107">
        <f t="shared" si="0"/>
        <v>3</v>
      </c>
      <c r="BB45" s="525">
        <f t="shared" si="1"/>
        <v>-24223</v>
      </c>
      <c r="BC45" s="104">
        <f>VLOOKUP(Y45,'[1]- DLiêu Gốc -'!$C$1:$F$60,3,0)</f>
        <v>2.34</v>
      </c>
      <c r="BD45" s="104">
        <f>VLOOKUP(Y45,'[1]- DLiêu Gốc -'!$C$1:$F$60,4,0)</f>
        <v>0.33</v>
      </c>
      <c r="BE45" s="109" t="str">
        <f t="shared" si="2"/>
        <v>o-o-o</v>
      </c>
      <c r="BF45" s="110"/>
      <c r="BG45" s="212"/>
      <c r="BH45" s="112"/>
      <c r="BI45" s="410"/>
      <c r="BJ45" s="211"/>
      <c r="BK45" s="410"/>
      <c r="BL45" s="135"/>
      <c r="BM45" s="108"/>
      <c r="BN45" s="147"/>
      <c r="BO45" s="111"/>
      <c r="BP45" s="497"/>
      <c r="BQ45" s="112"/>
      <c r="BR45" s="410"/>
      <c r="BS45" s="211"/>
      <c r="BT45" s="410"/>
      <c r="BU45" s="135"/>
      <c r="BV45" s="137"/>
      <c r="BW45" s="116"/>
      <c r="BX45" s="526" t="str">
        <f t="shared" si="3"/>
        <v>- - -</v>
      </c>
      <c r="BY45" s="109" t="str">
        <f>IF(BG45&gt;3,(($BF$2-BV45)*12+($BF$4-BT45)-BN45),"- - -")</f>
        <v>- - -</v>
      </c>
      <c r="BZ45" s="100" t="str">
        <f t="shared" si="5"/>
        <v>Chánh Văn phòng Học viện, Trưởng Ban Tổ chức - Cán bộ, Trưởng Phân viện Học viện Hành chính Quốc gia tại Thành phố Hồ Chí Minh</v>
      </c>
      <c r="CA45" s="113" t="str">
        <f t="shared" si="6"/>
        <v>A</v>
      </c>
      <c r="CB45" s="114" t="str">
        <f t="shared" si="7"/>
        <v>=&gt; s</v>
      </c>
      <c r="CC45" s="103">
        <f t="shared" si="8"/>
        <v>24247</v>
      </c>
      <c r="CD45" s="99" t="str">
        <f t="shared" si="9"/>
        <v>---</v>
      </c>
      <c r="CE45" s="99"/>
      <c r="CF45" s="164"/>
      <c r="CG45" s="99"/>
      <c r="CH45" s="115"/>
      <c r="CI45" s="99" t="str">
        <f t="shared" si="10"/>
        <v>- - -</v>
      </c>
      <c r="CJ45" s="116" t="str">
        <f t="shared" si="11"/>
        <v>- - -</v>
      </c>
      <c r="CK45" s="117"/>
      <c r="CL45" s="118"/>
      <c r="CM45" s="117"/>
      <c r="CN45" s="119"/>
      <c r="CO45" s="116" t="str">
        <f t="shared" si="12"/>
        <v>- - -</v>
      </c>
      <c r="CP45" s="117"/>
      <c r="CQ45" s="118"/>
      <c r="CR45" s="117"/>
      <c r="CS45" s="119"/>
      <c r="CT45" s="120" t="str">
        <f>IF(AND(CU45="Hưu",AB45&lt;(AD45-1),DB45&gt;0,DB45&lt;18,OR(BF45&lt;4,AND(BF45&gt;3,OR(BY45&lt;3,BY45&gt;5)))),"Lg Sớm",IF(AND(CU45="Hưu",AB45&gt;(AD45-2),OR(BD45=0.33,BD45=0.34),OR(BF45&lt;4,AND(BF45&gt;3,OR(BY45&lt;3,BY45&gt;5)))),"Nâng Ngạch",IF(AND(CU45="Hưu",BA45=1,DB45&gt;2,DB45&lt;6,OR(BF45&lt;4,AND(BF45&gt;3,OR(BY45&lt;3,BY45&gt;5)))),"Nâng PcVK cùng QĐ",IF(AND(CU45="Hưu",BF45&gt;3,BY45&gt;2,BY45&lt;6,AB45&lt;(AD45-1),DB45&gt;17,OR(BA45&gt;1,AND(BA45=1,OR(DB45&lt;3,DB45&gt;5)))),"Nâng PcNG cùng QĐ",IF(AND(CU45="Hưu",AB45&lt;(AD45-1),DB45&gt;0,DB45&lt;18,BF45&gt;3,BY45&gt;2,BY45&lt;6),"Nâng Lg Sớm +(PcNG cùng QĐ)",IF(AND(CU45="Hưu",AB45&gt;(AD45-2),OR(BD45=0.33,BD45=0.34),BF45&gt;3,BY45&gt;2,BY45&lt;6),"Nâng Ngạch +(PcNG cùng QĐ)",IF(AND(CU45="Hưu",BA45=1,DB45&gt;2,DB45&lt;6,BF45&gt;3,BY45&gt;2,BY45&lt;6),"Nâng (PcVK +PcNG) cùng QĐ",("---"))))))))</f>
        <v>---</v>
      </c>
      <c r="CU45" s="148" t="str">
        <f t="shared" si="14"/>
        <v>/-/ /-/</v>
      </c>
      <c r="CV45" s="121">
        <f t="shared" si="15"/>
        <v>10</v>
      </c>
      <c r="CW45" s="122">
        <f t="shared" si="16"/>
        <v>2035</v>
      </c>
      <c r="CX45" s="121">
        <f t="shared" si="17"/>
        <v>7</v>
      </c>
      <c r="CY45" s="122">
        <f t="shared" si="18"/>
        <v>2035</v>
      </c>
      <c r="CZ45" s="121">
        <f t="shared" si="19"/>
        <v>4</v>
      </c>
      <c r="DA45" s="122">
        <f t="shared" si="20"/>
        <v>2035</v>
      </c>
      <c r="DB45" s="123" t="str">
        <f t="shared" si="21"/>
        <v>- - -</v>
      </c>
      <c r="DC45" s="124" t="str">
        <f t="shared" si="22"/>
        <v>. .</v>
      </c>
      <c r="DD45" s="124"/>
      <c r="DE45" s="103">
        <f t="shared" si="23"/>
        <v>720</v>
      </c>
      <c r="DF45" s="103">
        <f t="shared" si="24"/>
        <v>-23697</v>
      </c>
      <c r="DG45" s="103">
        <f t="shared" si="25"/>
        <v>-1975</v>
      </c>
      <c r="DH45" s="103" t="str">
        <f t="shared" si="26"/>
        <v>Nam dưới 35</v>
      </c>
      <c r="DI45" s="103"/>
      <c r="DJ45" s="103"/>
      <c r="DK45" s="109" t="str">
        <f t="shared" si="27"/>
        <v>Đến 30</v>
      </c>
      <c r="DL45" s="117" t="str">
        <f t="shared" si="28"/>
        <v>TD</v>
      </c>
      <c r="DM45" s="101">
        <v>2012</v>
      </c>
      <c r="DN45" s="99"/>
      <c r="DO45" s="136"/>
      <c r="DP45" s="101"/>
      <c r="DQ45" s="119"/>
      <c r="DR45" s="125"/>
      <c r="DS45" s="126"/>
      <c r="DT45" s="127"/>
      <c r="DU45" s="128"/>
      <c r="DV45" s="102" t="s">
        <v>185</v>
      </c>
      <c r="DW45" s="105" t="s">
        <v>181</v>
      </c>
      <c r="DX45" s="106" t="s">
        <v>185</v>
      </c>
      <c r="DY45" s="141" t="s">
        <v>42</v>
      </c>
      <c r="DZ45" s="106" t="s">
        <v>51</v>
      </c>
      <c r="EA45" s="129" t="s">
        <v>43</v>
      </c>
      <c r="EB45" s="106" t="s">
        <v>51</v>
      </c>
      <c r="EC45" s="130" t="s">
        <v>59</v>
      </c>
      <c r="ED45" s="105">
        <f t="shared" si="29"/>
        <v>1</v>
      </c>
      <c r="EE45" s="106" t="str">
        <f t="shared" si="30"/>
        <v>Sửa</v>
      </c>
      <c r="EF45" s="141" t="s">
        <v>41</v>
      </c>
      <c r="EG45" s="106" t="s">
        <v>51</v>
      </c>
      <c r="EH45" s="129" t="s">
        <v>43</v>
      </c>
      <c r="EI45" s="99" t="s">
        <v>51</v>
      </c>
      <c r="EJ45" s="116" t="s">
        <v>59</v>
      </c>
      <c r="EK45" s="131"/>
      <c r="EL45" s="128" t="str">
        <f t="shared" si="31"/>
        <v>- - -</v>
      </c>
      <c r="EM45" s="132" t="str">
        <f t="shared" si="32"/>
        <v>---</v>
      </c>
      <c r="FP45" s="672"/>
      <c r="FQ45" s="672"/>
      <c r="FR45" s="672"/>
      <c r="FS45" s="672"/>
      <c r="FT45" s="672"/>
      <c r="FU45" s="672"/>
      <c r="FV45" s="672"/>
      <c r="FW45" s="672"/>
      <c r="FX45" s="672"/>
      <c r="FY45" s="672"/>
      <c r="FZ45" s="672"/>
      <c r="GA45" s="672"/>
      <c r="GB45" s="672"/>
      <c r="GC45" s="672"/>
      <c r="GD45" s="672"/>
      <c r="GE45" s="672"/>
      <c r="GF45" s="672"/>
      <c r="GG45" s="672"/>
      <c r="GH45" s="672"/>
      <c r="GI45" s="672"/>
      <c r="GJ45" s="672"/>
      <c r="GK45" s="672"/>
      <c r="GL45" s="672"/>
      <c r="GM45" s="672"/>
      <c r="GN45" s="672"/>
      <c r="GO45" s="672"/>
      <c r="GP45" s="672"/>
      <c r="GQ45" s="672"/>
      <c r="GR45" s="672"/>
      <c r="GS45" s="672"/>
      <c r="GT45" s="672"/>
    </row>
    <row r="46" spans="1:202" s="308" customFormat="1" ht="42.75" customHeight="1" x14ac:dyDescent="0.2">
      <c r="A46" s="284"/>
      <c r="B46" s="322">
        <v>30</v>
      </c>
      <c r="C46" s="99"/>
      <c r="D46" s="99" t="s">
        <v>238</v>
      </c>
      <c r="E46" s="498" t="s">
        <v>313</v>
      </c>
      <c r="F46" s="499" t="s">
        <v>60</v>
      </c>
      <c r="G46" s="500" t="s">
        <v>199</v>
      </c>
      <c r="H46" s="500" t="s">
        <v>51</v>
      </c>
      <c r="I46" s="500" t="s">
        <v>44</v>
      </c>
      <c r="J46" s="98" t="s">
        <v>51</v>
      </c>
      <c r="K46" s="98">
        <v>1973</v>
      </c>
      <c r="L46" s="98" t="s">
        <v>77</v>
      </c>
      <c r="M46" s="98" t="s">
        <v>261</v>
      </c>
      <c r="N46" s="98"/>
      <c r="O46" s="98" t="e">
        <v>#N/A</v>
      </c>
      <c r="P46" s="98"/>
      <c r="Q46" s="498" t="e">
        <v>#N/A</v>
      </c>
      <c r="R46" s="681" t="s">
        <v>54</v>
      </c>
      <c r="S46" s="501" t="s">
        <v>143</v>
      </c>
      <c r="T46" s="502" t="s">
        <v>235</v>
      </c>
      <c r="U46" s="502" t="s">
        <v>236</v>
      </c>
      <c r="V46" s="503" t="s">
        <v>70</v>
      </c>
      <c r="W46" s="504" t="s">
        <v>40</v>
      </c>
      <c r="X46" s="505" t="s">
        <v>11</v>
      </c>
      <c r="Y46" s="506" t="s">
        <v>40</v>
      </c>
      <c r="Z46" s="505" t="s">
        <v>11</v>
      </c>
      <c r="AA46" s="507" t="s">
        <v>237</v>
      </c>
      <c r="AB46" s="508">
        <v>1</v>
      </c>
      <c r="AC46" s="437" t="s">
        <v>51</v>
      </c>
      <c r="AD46" s="51">
        <v>9</v>
      </c>
      <c r="AE46" s="509">
        <v>2.34</v>
      </c>
      <c r="AF46" s="510"/>
      <c r="AG46" s="51"/>
      <c r="AH46" s="511" t="s">
        <v>41</v>
      </c>
      <c r="AI46" s="512"/>
      <c r="AJ46" s="513" t="s">
        <v>47</v>
      </c>
      <c r="AK46" s="671" t="s">
        <v>51</v>
      </c>
      <c r="AL46" s="514">
        <v>2015</v>
      </c>
      <c r="AM46" s="515"/>
      <c r="AN46" s="516"/>
      <c r="AO46" s="517">
        <v>2</v>
      </c>
      <c r="AP46" s="518" t="s">
        <v>51</v>
      </c>
      <c r="AQ46" s="519">
        <v>9</v>
      </c>
      <c r="AR46" s="682">
        <v>2.67</v>
      </c>
      <c r="AS46" s="51"/>
      <c r="AT46" s="520" t="s">
        <v>41</v>
      </c>
      <c r="AU46" s="521"/>
      <c r="AV46" s="522" t="s">
        <v>47</v>
      </c>
      <c r="AW46" s="523" t="s">
        <v>51</v>
      </c>
      <c r="AX46" s="524">
        <v>2018</v>
      </c>
      <c r="AY46" s="527"/>
      <c r="AZ46" s="295"/>
      <c r="BA46" s="296"/>
      <c r="BB46" s="296"/>
      <c r="BC46" s="289"/>
      <c r="BD46" s="297"/>
      <c r="BE46" s="298"/>
      <c r="BF46" s="298"/>
      <c r="BG46" s="285"/>
      <c r="BH46" s="420"/>
      <c r="BI46" s="420"/>
      <c r="BJ46" s="298"/>
      <c r="BK46" s="299"/>
      <c r="BL46" s="294"/>
      <c r="BM46" s="300"/>
      <c r="BN46" s="301"/>
      <c r="BO46" s="301"/>
      <c r="BP46" s="301"/>
      <c r="BQ46" s="301"/>
      <c r="BR46" s="301"/>
      <c r="BS46" s="298"/>
      <c r="BT46" s="302"/>
      <c r="BU46" s="303"/>
      <c r="BV46" s="298"/>
      <c r="BW46" s="285"/>
      <c r="BX46" s="289"/>
      <c r="BY46" s="304"/>
      <c r="BZ46" s="305"/>
      <c r="CA46" s="284"/>
      <c r="CB46" s="306"/>
      <c r="CC46" s="306"/>
      <c r="CD46" s="284"/>
      <c r="CE46" s="307"/>
      <c r="CF46" s="284"/>
      <c r="CG46" s="284"/>
      <c r="CX46" s="309"/>
      <c r="CY46" s="310"/>
      <c r="CZ46" s="311"/>
      <c r="DA46" s="284"/>
      <c r="DB46" s="312"/>
      <c r="DC46" s="312"/>
      <c r="DD46" s="312"/>
      <c r="DE46" s="312"/>
      <c r="DF46" s="313"/>
      <c r="DG46" s="314"/>
      <c r="DH46" s="314"/>
      <c r="DI46" s="312"/>
      <c r="DJ46" s="315"/>
      <c r="DK46" s="314"/>
      <c r="DL46" s="316"/>
      <c r="DM46" s="316"/>
    </row>
    <row r="47" spans="1:202" s="658" customFormat="1" ht="42.75" customHeight="1" x14ac:dyDescent="0.2">
      <c r="A47" s="636">
        <v>701</v>
      </c>
      <c r="B47" s="322">
        <v>31</v>
      </c>
      <c r="C47" s="99"/>
      <c r="D47" s="99" t="s">
        <v>230</v>
      </c>
      <c r="E47" s="498" t="s">
        <v>314</v>
      </c>
      <c r="F47" s="499" t="s">
        <v>61</v>
      </c>
      <c r="G47" s="500" t="s">
        <v>315</v>
      </c>
      <c r="H47" s="500" t="s">
        <v>51</v>
      </c>
      <c r="I47" s="500" t="s">
        <v>48</v>
      </c>
      <c r="J47" s="98" t="s">
        <v>51</v>
      </c>
      <c r="K47" s="98">
        <v>1980</v>
      </c>
      <c r="L47" s="98" t="s">
        <v>79</v>
      </c>
      <c r="M47" s="98" t="s">
        <v>232</v>
      </c>
      <c r="N47" s="98"/>
      <c r="O47" s="98" t="e">
        <v>#N/A</v>
      </c>
      <c r="P47" s="98"/>
      <c r="Q47" s="498" t="e">
        <v>#N/A</v>
      </c>
      <c r="R47" s="681" t="s">
        <v>190</v>
      </c>
      <c r="S47" s="501" t="s">
        <v>143</v>
      </c>
      <c r="T47" s="502" t="s">
        <v>235</v>
      </c>
      <c r="U47" s="502" t="s">
        <v>236</v>
      </c>
      <c r="V47" s="503" t="s">
        <v>70</v>
      </c>
      <c r="W47" s="504" t="s">
        <v>40</v>
      </c>
      <c r="X47" s="505" t="s">
        <v>11</v>
      </c>
      <c r="Y47" s="506" t="s">
        <v>40</v>
      </c>
      <c r="Z47" s="505" t="s">
        <v>11</v>
      </c>
      <c r="AA47" s="507" t="s">
        <v>237</v>
      </c>
      <c r="AB47" s="508">
        <v>4</v>
      </c>
      <c r="AC47" s="437" t="s">
        <v>51</v>
      </c>
      <c r="AD47" s="51">
        <v>9</v>
      </c>
      <c r="AE47" s="509">
        <v>3.33</v>
      </c>
      <c r="AF47" s="510"/>
      <c r="AG47" s="51"/>
      <c r="AH47" s="511" t="s">
        <v>41</v>
      </c>
      <c r="AI47" s="512" t="s">
        <v>51</v>
      </c>
      <c r="AJ47" s="513" t="s">
        <v>47</v>
      </c>
      <c r="AK47" s="671" t="s">
        <v>51</v>
      </c>
      <c r="AL47" s="514">
        <v>2015</v>
      </c>
      <c r="AM47" s="515"/>
      <c r="AN47" s="516"/>
      <c r="AO47" s="517">
        <v>5</v>
      </c>
      <c r="AP47" s="518" t="s">
        <v>51</v>
      </c>
      <c r="AQ47" s="519">
        <v>9</v>
      </c>
      <c r="AR47" s="682">
        <v>3.66</v>
      </c>
      <c r="AS47" s="51"/>
      <c r="AT47" s="520" t="s">
        <v>41</v>
      </c>
      <c r="AU47" s="521" t="s">
        <v>51</v>
      </c>
      <c r="AV47" s="522" t="s">
        <v>47</v>
      </c>
      <c r="AW47" s="523" t="s">
        <v>51</v>
      </c>
      <c r="AX47" s="524">
        <v>2018</v>
      </c>
      <c r="AY47" s="527"/>
      <c r="AZ47" s="665">
        <v>5</v>
      </c>
      <c r="BA47" s="637">
        <f>IF(AND(AD47&gt;AB47,OR(BD47=0.18,BD47=0.2)),2,IF(AND(AD47&gt;AB47,OR(BD47=0.31,BD47=0.33,BD47=0.34,BD47=0.36)),3,IF(AD47=AB47,1)))</f>
        <v>3</v>
      </c>
      <c r="BB47" s="639">
        <f>12*($AA$2-AX47)+($AA$3-AV47)-AM47</f>
        <v>-24223</v>
      </c>
      <c r="BC47" s="640">
        <f>VLOOKUP(Y47,'[1]- DLiêu Gốc -'!$C$1:$F$60,3,0)</f>
        <v>2.34</v>
      </c>
      <c r="BD47" s="641">
        <f>VLOOKUP(Y47,'[1]- DLiêu Gốc -'!$C$1:$F$60,4,0)</f>
        <v>0.33</v>
      </c>
      <c r="BE47" s="642" t="str">
        <f>IF(AND(BF47&gt;3,BX47=12),"Đến %",IF(AND(BF47&gt;3,BX47&gt;12,BX47&lt;120),"Dừng %",IF(AND(BF47&gt;3,BX47&lt;12),"PCTN","o-o-o")))</f>
        <v>PCTN</v>
      </c>
      <c r="BF47" s="643">
        <v>42</v>
      </c>
      <c r="BG47" s="644" t="s">
        <v>39</v>
      </c>
      <c r="BH47" s="641" t="s">
        <v>41</v>
      </c>
      <c r="BI47" s="645" t="s">
        <v>51</v>
      </c>
      <c r="BJ47" s="646">
        <v>4</v>
      </c>
      <c r="BK47" s="647" t="s">
        <v>51</v>
      </c>
      <c r="BL47" s="647">
        <v>2017</v>
      </c>
      <c r="BM47" s="647"/>
      <c r="BN47" s="647"/>
      <c r="BO47" s="647">
        <f>IF(BF47&gt;3,BF47+1,0)</f>
        <v>43</v>
      </c>
      <c r="BP47" s="647" t="s">
        <v>39</v>
      </c>
      <c r="BQ47" s="648" t="s">
        <v>41</v>
      </c>
      <c r="BR47" s="649" t="s">
        <v>51</v>
      </c>
      <c r="BS47" s="650">
        <v>4</v>
      </c>
      <c r="BT47" s="651" t="s">
        <v>51</v>
      </c>
      <c r="BU47" s="652">
        <v>2018</v>
      </c>
      <c r="BV47" s="641"/>
      <c r="BW47" s="322">
        <v>4</v>
      </c>
      <c r="BX47" s="637">
        <f>IF(BF47&gt;3,(($BE$2-BU47)*12+($BE$3-BS47)-BM47),"- - -")</f>
        <v>-24220</v>
      </c>
      <c r="BY47" s="653" t="str">
        <f>IF(AND(CU47="Hưu",BF47&gt;3),12-(12*(DA47-BU47)+(CZ47-BS47))-BM47,"- - -")</f>
        <v>- - -</v>
      </c>
      <c r="BZ47" s="654" t="str">
        <f>IF(OR(S47="Ban Tổ chức - Cán bộ",S47="Văn phòng Học viện",S47="Phó Giám đốc Thường trực Học viện",S47="Phó Giám đốc Học viện"),"Chánh Văn phòng Học viện, Trưởng Ban Tổ chức - Cán bộ",IF(OR(S47="Trung tâm Ngoại ngữ",S47="Trung tâm Tin học hành chính và Công nghệ thông tin",S47="Trung tâm Tin học - Thư viện",S47="Phân viện khu vực Tây Nguyên"),"Chánh Văn phòng Học viện, Trưởng Ban Tổ chức - Cán bộ, "&amp;CONCATENATE("Giám đốc ",S47),IF(S47="Tạp chí Quản lý nhà nước","Chánh Văn phòng Học viện, Trưởng Ban Tổ chức - Cán bộ, "&amp;CONCATENATE("Tổng Biên tập ",S47),IF(S47="Văn phòng Đảng uỷ Học viện","Chánh Văn phòng Học viện, Trưởng Ban Tổ chức - Cán bộ, "&amp;CONCATENATE("Chánh",S47),IF(S47="Viện Nghiên cứu Khoa học hành chính","Chánh Văn phòng Học viện, Trưởng Ban Tổ chức - Cán bộ, "&amp;CONCATENATE("Viện Trưởng ",S47),IF(OR(S47="Cơ sở Học viện Hành chính Quốc gia khu vực miền Trung",S47="Cơ sở Học viện Hành chính Quốc gia tại Thành phố Hồ Chí Minh"),"Chánh Văn phòng Học viện, Trưởng Ban Tổ chức - Cán bộ, "&amp;CONCATENATE("Thủ trưởng ",S47),"Chánh Văn phòng Học viện, Trưởng Ban Tổ chức - Cán bộ, "&amp;CONCATENATE("Trưởng ",S47)))))))</f>
        <v>Chánh Văn phòng Học viện, Trưởng Ban Tổ chức - Cán bộ, Trưởng Phân viện Học viện Hành chính Quốc gia tại Thành phố Hồ Chí Minh</v>
      </c>
      <c r="CA47" s="636" t="str">
        <f>IF(S47="Cơ sở Học viện Hành chính khu vực miền Trung","B",IF(S47="Phân viện Khu vực Tây Nguyên","C",IF(S47="Cơ sở Học viện Hành chính tại thành phố Hồ Chí Minh","D","A")))</f>
        <v>A</v>
      </c>
      <c r="CB47" s="655" t="str">
        <f>IF(AND(AO47&gt;0,AB47&lt;(AD47-1),CC47&gt;0,CC47&lt;13,OR(AND(CI47="Cùg Ng",($CB$2-CE47)&gt;BA47),CI47="- - -")),"Sớm TT","=&gt; s")</f>
        <v>=&gt; s</v>
      </c>
      <c r="CC47" s="655">
        <f>IF(BA47=3,36-(12*($CB$2-AX47)+(12-AV47)-AM47),IF(BA47=2,24-(12*($CB$2-AX47)+(12-AV47)-AM47),"---"))</f>
        <v>24247</v>
      </c>
      <c r="CD47" s="656" t="str">
        <f>IF(CE47&gt;1,"S","---")</f>
        <v>---</v>
      </c>
      <c r="CE47" s="657"/>
      <c r="CF47" s="637"/>
      <c r="CG47" s="637"/>
      <c r="CI47" s="658" t="str">
        <f>IF(X47=CF47,"Cùg Ng","- - -")</f>
        <v>- - -</v>
      </c>
      <c r="CJ47" s="658" t="str">
        <f>IF(CL47&gt;2000,"NN","- - -")</f>
        <v>NN</v>
      </c>
      <c r="CK47" s="658">
        <v>5</v>
      </c>
      <c r="CL47" s="658">
        <v>2012</v>
      </c>
      <c r="CO47" s="658" t="str">
        <f>IF(CQ47&gt;2000,"CN","- - -")</f>
        <v>- - -</v>
      </c>
      <c r="CT47" s="658" t="str">
        <f>IF(AND(CU47="Hưu",AB47&lt;(AD47-1),DB47&gt;0,DB47&lt;18,OR(BF47&lt;4,AND(BF47&gt;3,OR(BY47&lt;3,BY47&gt;5)))),"Lg Sớm",IF(AND(CU47="Hưu",AB47&gt;(AD47-2),OR(BD47=0.33,BD47=0.34),OR(BF47&lt;4,AND(BF47&gt;3,OR(BY47&lt;3,BY47&gt;5)))),"Nâng Ngạch",IF(AND(CU47="Hưu",BA47=1,DB47&gt;2,DB47&lt;6,OR(BF47&lt;4,AND(BF47&gt;3,OR(BY47&lt;3,BY47&gt;5)))),"Nâng PcVK cùng QĐ",IF(AND(CU47="Hưu",BF47&gt;3,BY47&gt;2,BY47&lt;6,AB47&lt;(AD47-1),DB47&gt;17,OR(BA47&gt;1,AND(BA47=1,OR(DB47&lt;3,DB47&gt;5)))),"Nâng PcNG cùng QĐ",IF(AND(CU47="Hưu",AB47&lt;(AD47-1),DB47&gt;0,DB47&lt;18,BF47&gt;3,BY47&gt;2,BY47&lt;6),"Nâng Lg Sớm +(PcNG cùng QĐ)",IF(AND(CU47="Hưu",AB47&gt;(AD47-2),OR(BD47=0.33,BD47=0.34),BF47&gt;3,BY47&gt;2,BY47&lt;6),"Nâng Ngạch +(PcNG cùng QĐ)",IF(AND(CU47="Hưu",BA47=1,DB47&gt;2,DB47&lt;6,BF47&gt;3,BY47&gt;2,BY47&lt;6),"Nâng (PcVK +PcNG) cùng QĐ",("---"))))))))</f>
        <v>---</v>
      </c>
      <c r="CU47" s="658" t="str">
        <f>IF(AND(DF47&gt;DE47,DF47&lt;(DE47+13)),"Hưu",IF(AND(DF47&gt;(DE47+12),DF47&lt;1000),"Quá","/-/ /-/"))</f>
        <v>/-/ /-/</v>
      </c>
      <c r="CV47" s="658">
        <f>IF((I47+0)&lt;12,(I47+0)+1,IF((I47+0)=12,1,IF((I47+0)&gt;12,(I47+0)-12)))</f>
        <v>10</v>
      </c>
      <c r="CW47" s="658">
        <f>IF(OR((I47+0)=12,(I47+0)&gt;12),K47+DE47/12+1,IF(AND((I47+0)&gt;0,(I47+0)&lt;12),K47+DE47/12,"---"))</f>
        <v>2040</v>
      </c>
      <c r="CX47" s="659">
        <f>IF(AND(CV47&gt;3,CV47&lt;13),CV47-3,IF(CV47&lt;4,CV47-3+12))</f>
        <v>7</v>
      </c>
      <c r="CY47" s="660">
        <f>IF(CX47&lt;CV47,CW47,IF(CX47&gt;CV47,CW47-1))</f>
        <v>2040</v>
      </c>
      <c r="CZ47" s="638">
        <f>IF(CV47&gt;6,CV47-6,IF(CV47=6,12,IF(CV47&lt;6,CV47+6)))</f>
        <v>4</v>
      </c>
      <c r="DA47" s="661">
        <f>IF(CV47&gt;6,CW47,IF(CV47&lt;7,CW47-1))</f>
        <v>2040</v>
      </c>
      <c r="DB47" s="639" t="str">
        <f>IF(AND(CU47="Hưu",BA47=3),36+AM47-(12*(DA47-AX47)+(CZ47-AV47)),IF(AND(CU47="Hưu",BA47=2),24+AM47-(12*(DA47-AX47)+(CZ47-AV47)),IF(AND(CU47="Hưu",BA47=1),12+AM47-(12*(DA47-AX47)+(CZ47-AV47)),"- - -")))</f>
        <v>- - -</v>
      </c>
      <c r="DC47" s="640" t="str">
        <f>IF(DD47&gt;0,"K.Dài",". .")</f>
        <v>K.Dài</v>
      </c>
      <c r="DD47" s="641">
        <v>5</v>
      </c>
      <c r="DE47" s="642">
        <f>IF(F47="Nam",(60+DD47)*12,IF(F47="Nữ",(55+DD47)*12,))</f>
        <v>720</v>
      </c>
      <c r="DF47" s="643">
        <f>12*($CU$4-K47)+(12-I47)</f>
        <v>-23757</v>
      </c>
      <c r="DG47" s="324">
        <f>$DK$4-K47</f>
        <v>-1980</v>
      </c>
      <c r="DH47" s="324" t="str">
        <f>IF(AND(DG47&lt;35,F47="Nam"),"Nam dưới 35",IF(AND(DG47&lt;30,F47="Nữ"),"Nữ dưới 30",IF(AND(DG47&gt;34,DG47&lt;46,F47="Nam"),"Nam từ 35 - 45",IF(AND(DG47&gt;29,DG47&lt;41,F47="Nữ"),"Nữ từ 30 - 40",IF(AND(DG47&gt;45,DG47&lt;56,F47="Nam"),"Nam trên 45 - 55",IF(AND(DG47&gt;40,DG47&lt;51,F47="Nữ"),"Nữ trên 40 - 50",IF(AND(DG47&gt;55,F47="Nam"),"Nam trên 55","Nữ trên 50")))))))</f>
        <v>Nữ dưới 30</v>
      </c>
      <c r="DI47" s="641"/>
      <c r="DJ47" s="662"/>
      <c r="DK47" s="663" t="str">
        <f>IF(DG47&lt;31,"Đến 30",IF(AND(DG47&gt;30,DG47&lt;46),"31 - 45",IF(AND(DG47&gt;45,DG47&lt;70),"Trên 45")))</f>
        <v>Đến 30</v>
      </c>
      <c r="DL47" s="647" t="str">
        <f>IF(DM47&gt;0,"TD","--")</f>
        <v>--</v>
      </c>
      <c r="DM47" s="647"/>
      <c r="DV47" s="658" t="s">
        <v>149</v>
      </c>
      <c r="DW47" s="658" t="s">
        <v>184</v>
      </c>
      <c r="DX47" s="658" t="s">
        <v>149</v>
      </c>
      <c r="DY47" s="658" t="s">
        <v>41</v>
      </c>
      <c r="DZ47" s="658" t="s">
        <v>51</v>
      </c>
      <c r="EA47" s="658" t="s">
        <v>43</v>
      </c>
      <c r="EB47" s="658" t="s">
        <v>51</v>
      </c>
      <c r="EC47" s="658">
        <v>2012</v>
      </c>
      <c r="ED47" s="658">
        <f>(DY47+0)-(EF47+0)</f>
        <v>0</v>
      </c>
      <c r="EE47" s="658" t="str">
        <f>IF(ED47&gt;0,"Sửa","- - -")</f>
        <v>- - -</v>
      </c>
      <c r="EF47" s="658" t="s">
        <v>41</v>
      </c>
      <c r="EG47" s="658" t="s">
        <v>51</v>
      </c>
      <c r="EH47" s="658" t="s">
        <v>43</v>
      </c>
      <c r="EI47" s="658" t="s">
        <v>51</v>
      </c>
      <c r="EJ47" s="658">
        <v>2012</v>
      </c>
      <c r="EK47" s="658">
        <v>7.3902000000000001</v>
      </c>
      <c r="EL47" s="658" t="str">
        <f>IF(AND(BD47&gt;0.34,AO47=1,OR(BC47=6.2,BC47=5.75)),((BC47-EK47)-2*0.34),IF(AND(BD47&gt;0.33,AO47=1,OR(BC47=4.4,BC47=4)),((BC47-EK47)-2*0.33),"- - -"))</f>
        <v>- - -</v>
      </c>
      <c r="EM47" s="658" t="str">
        <f>IF(CU47="Hưu",12*(DA47-AX47)+(CZ47-AV47),"---")</f>
        <v>---</v>
      </c>
    </row>
    <row r="48" spans="1:202" s="658" customFormat="1" ht="42.75" customHeight="1" x14ac:dyDescent="0.2">
      <c r="A48" s="636">
        <v>800</v>
      </c>
      <c r="B48" s="322">
        <v>32</v>
      </c>
      <c r="C48" s="99"/>
      <c r="D48" s="99" t="s">
        <v>238</v>
      </c>
      <c r="E48" s="498" t="s">
        <v>316</v>
      </c>
      <c r="F48" s="499" t="s">
        <v>60</v>
      </c>
      <c r="G48" s="500" t="s">
        <v>55</v>
      </c>
      <c r="H48" s="500" t="s">
        <v>51</v>
      </c>
      <c r="I48" s="500" t="s">
        <v>43</v>
      </c>
      <c r="J48" s="98" t="s">
        <v>51</v>
      </c>
      <c r="K48" s="98">
        <v>1977</v>
      </c>
      <c r="L48" s="98" t="s">
        <v>77</v>
      </c>
      <c r="M48" s="98" t="s">
        <v>261</v>
      </c>
      <c r="N48" s="98"/>
      <c r="O48" s="98" t="e">
        <v>#N/A</v>
      </c>
      <c r="P48" s="98"/>
      <c r="Q48" s="498" t="e">
        <v>#N/A</v>
      </c>
      <c r="R48" s="681" t="s">
        <v>190</v>
      </c>
      <c r="S48" s="501" t="s">
        <v>143</v>
      </c>
      <c r="T48" s="502" t="s">
        <v>297</v>
      </c>
      <c r="U48" s="502" t="s">
        <v>298</v>
      </c>
      <c r="V48" s="503" t="s">
        <v>70</v>
      </c>
      <c r="W48" s="504" t="s">
        <v>298</v>
      </c>
      <c r="X48" s="505" t="s">
        <v>299</v>
      </c>
      <c r="Y48" s="506" t="s">
        <v>191</v>
      </c>
      <c r="Z48" s="505" t="s">
        <v>317</v>
      </c>
      <c r="AA48" s="507" t="s">
        <v>237</v>
      </c>
      <c r="AB48" s="508">
        <v>6</v>
      </c>
      <c r="AC48" s="437" t="s">
        <v>51</v>
      </c>
      <c r="AD48" s="51">
        <v>12</v>
      </c>
      <c r="AE48" s="509">
        <v>2.9499999999999997</v>
      </c>
      <c r="AF48" s="510"/>
      <c r="AG48" s="51"/>
      <c r="AH48" s="511" t="s">
        <v>41</v>
      </c>
      <c r="AI48" s="512" t="s">
        <v>51</v>
      </c>
      <c r="AJ48" s="513" t="s">
        <v>47</v>
      </c>
      <c r="AK48" s="671" t="s">
        <v>51</v>
      </c>
      <c r="AL48" s="514">
        <v>2016</v>
      </c>
      <c r="AM48" s="515"/>
      <c r="AN48" s="516"/>
      <c r="AO48" s="517">
        <v>7</v>
      </c>
      <c r="AP48" s="518" t="s">
        <v>51</v>
      </c>
      <c r="AQ48" s="519">
        <v>12</v>
      </c>
      <c r="AR48" s="682">
        <v>3.13</v>
      </c>
      <c r="AS48" s="51"/>
      <c r="AT48" s="520" t="s">
        <v>41</v>
      </c>
      <c r="AU48" s="521" t="s">
        <v>51</v>
      </c>
      <c r="AV48" s="522" t="s">
        <v>47</v>
      </c>
      <c r="AW48" s="523" t="s">
        <v>51</v>
      </c>
      <c r="AX48" s="524">
        <v>2018</v>
      </c>
      <c r="AY48" s="527"/>
      <c r="AZ48" s="665">
        <v>5</v>
      </c>
      <c r="BA48" s="637">
        <f>IF(AND(AD48&gt;AB48,OR(BD48=0.18,BD48=0.2)),2,IF(AND(AD48&gt;AB48,OR(BD48=0.31,BD48=0.33,BD48=0.34,BD48=0.36)),3,IF(AD48=AB48,1)))</f>
        <v>2</v>
      </c>
      <c r="BB48" s="639">
        <f>12*($AA$2-AX48)+($AA$3-AV48)-AM48</f>
        <v>-24223</v>
      </c>
      <c r="BC48" s="640">
        <f>VLOOKUP(Y48,'[1]- DLiêu Gốc -'!$C$1:$F$60,3,0)</f>
        <v>2.0499999999999998</v>
      </c>
      <c r="BD48" s="641">
        <f>VLOOKUP(Y48,'[1]- DLiêu Gốc -'!$C$1:$F$60,4,0)</f>
        <v>0.18</v>
      </c>
      <c r="BE48" s="642" t="str">
        <f>IF(AND(BF48&gt;3,BX48=12),"Đến %",IF(AND(BF48&gt;3,BX48&gt;12,BX48&lt;120),"Dừng %",IF(AND(BF48&gt;3,BX48&lt;12),"PCTN","o-o-o")))</f>
        <v>o-o-o</v>
      </c>
      <c r="BF48" s="643"/>
      <c r="BG48" s="644"/>
      <c r="BH48" s="641"/>
      <c r="BI48" s="645"/>
      <c r="BJ48" s="646"/>
      <c r="BK48" s="647"/>
      <c r="BL48" s="647"/>
      <c r="BM48" s="647"/>
      <c r="BN48" s="647"/>
      <c r="BO48" s="647"/>
      <c r="BP48" s="647"/>
      <c r="BQ48" s="648"/>
      <c r="BR48" s="649"/>
      <c r="BS48" s="650"/>
      <c r="BT48" s="651"/>
      <c r="BU48" s="652"/>
      <c r="BV48" s="641"/>
      <c r="BW48" s="322"/>
      <c r="BX48" s="637" t="str">
        <f>IF(BF48&gt;3,(($BE$2-BU48)*12+($BE$3-BS48)-BM48),"- - -")</f>
        <v>- - -</v>
      </c>
      <c r="BY48" s="653" t="str">
        <f>IF(AND(CU48="Hưu",BF48&gt;3),12-(12*(DA48-BU48)+(CZ48-BS48))-BM48,"- - -")</f>
        <v>- - -</v>
      </c>
      <c r="BZ48" s="654" t="str">
        <f>IF(OR(S48="Ban Tổ chức - Cán bộ",S48="Văn phòng Học viện",S48="Phó Giám đốc Thường trực Học viện",S48="Phó Giám đốc Học viện"),"Chánh Văn phòng Học viện, Trưởng Ban Tổ chức - Cán bộ",IF(OR(S48="Trung tâm Ngoại ngữ",S48="Trung tâm Tin học hành chính và Công nghệ thông tin",S48="Trung tâm Tin học - Thư viện",S48="Phân viện khu vực Tây Nguyên"),"Chánh Văn phòng Học viện, Trưởng Ban Tổ chức - Cán bộ, "&amp;CONCATENATE("Giám đốc ",S48),IF(S48="Tạp chí Quản lý nhà nước","Chánh Văn phòng Học viện, Trưởng Ban Tổ chức - Cán bộ, "&amp;CONCATENATE("Tổng Biên tập ",S48),IF(S48="Văn phòng Đảng uỷ Học viện","Chánh Văn phòng Học viện, Trưởng Ban Tổ chức - Cán bộ, "&amp;CONCATENATE("Chánh",S48),IF(S48="Viện Nghiên cứu Khoa học hành chính","Chánh Văn phòng Học viện, Trưởng Ban Tổ chức - Cán bộ, "&amp;CONCATENATE("Viện Trưởng ",S48),IF(OR(S48="Cơ sở Học viện Hành chính Quốc gia khu vực miền Trung",S48="Cơ sở Học viện Hành chính Quốc gia tại Thành phố Hồ Chí Minh"),"Chánh Văn phòng Học viện, Trưởng Ban Tổ chức - Cán bộ, "&amp;CONCATENATE("Thủ trưởng ",S48),"Chánh Văn phòng Học viện, Trưởng Ban Tổ chức - Cán bộ, "&amp;CONCATENATE("Trưởng ",S48)))))))</f>
        <v>Chánh Văn phòng Học viện, Trưởng Ban Tổ chức - Cán bộ, Trưởng Phân viện Học viện Hành chính Quốc gia tại Thành phố Hồ Chí Minh</v>
      </c>
      <c r="CA48" s="636" t="str">
        <f>IF(S48="Cơ sở Học viện Hành chính khu vực miền Trung","B",IF(S48="Phân viện Khu vực Tây Nguyên","C",IF(S48="Cơ sở Học viện Hành chính tại thành phố Hồ Chí Minh","D","A")))</f>
        <v>A</v>
      </c>
      <c r="CB48" s="655" t="str">
        <f>IF(AND(AO48&gt;0,AB48&lt;(AD48-1),CC48&gt;0,CC48&lt;13,OR(AND(CI48="Cùg Ng",($CB$2-CE48)&gt;BA48),CI48="- - -")),"Sớm TT","=&gt; s")</f>
        <v>=&gt; s</v>
      </c>
      <c r="CC48" s="655">
        <f>IF(BA48=3,36-(12*($CB$2-AX48)+(12-AV48)-AM48),IF(BA48=2,24-(12*($CB$2-AX48)+(12-AV48)-AM48),"---"))</f>
        <v>24235</v>
      </c>
      <c r="CD48" s="656" t="str">
        <f>IF(CE48&gt;1,"S","---")</f>
        <v>---</v>
      </c>
      <c r="CE48" s="657"/>
      <c r="CF48" s="637"/>
      <c r="CG48" s="637"/>
      <c r="CI48" s="658" t="str">
        <f>IF(X48=CF48,"Cùg Ng","- - -")</f>
        <v>- - -</v>
      </c>
      <c r="CJ48" s="658" t="str">
        <f>IF(CL48&gt;2000,"NN","- - -")</f>
        <v>- - -</v>
      </c>
      <c r="CO48" s="658" t="str">
        <f>IF(CQ48&gt;2000,"CN","- - -")</f>
        <v>- - -</v>
      </c>
      <c r="CT48" s="658" t="str">
        <f>IF(AND(CU48="Hưu",AB48&lt;(AD48-1),DB48&gt;0,DB48&lt;18,OR(BF48&lt;4,AND(BF48&gt;3,OR(BY48&lt;3,BY48&gt;5)))),"Lg Sớm",IF(AND(CU48="Hưu",AB48&gt;(AD48-2),OR(BD48=0.33,BD48=0.34),OR(BF48&lt;4,AND(BF48&gt;3,OR(BY48&lt;3,BY48&gt;5)))),"Nâng Ngạch",IF(AND(CU48="Hưu",BA48=1,DB48&gt;2,DB48&lt;6,OR(BF48&lt;4,AND(BF48&gt;3,OR(BY48&lt;3,BY48&gt;5)))),"Nâng PcVK cùng QĐ",IF(AND(CU48="Hưu",BF48&gt;3,BY48&gt;2,BY48&lt;6,AB48&lt;(AD48-1),DB48&gt;17,OR(BA48&gt;1,AND(BA48=1,OR(DB48&lt;3,DB48&gt;5)))),"Nâng PcNG cùng QĐ",IF(AND(CU48="Hưu",AB48&lt;(AD48-1),DB48&gt;0,DB48&lt;18,BF48&gt;3,BY48&gt;2,BY48&lt;6),"Nâng Lg Sớm +(PcNG cùng QĐ)",IF(AND(CU48="Hưu",AB48&gt;(AD48-2),OR(BD48=0.33,BD48=0.34),BF48&gt;3,BY48&gt;2,BY48&lt;6),"Nâng Ngạch +(PcNG cùng QĐ)",IF(AND(CU48="Hưu",BA48=1,DB48&gt;2,DB48&lt;6,BF48&gt;3,BY48&gt;2,BY48&lt;6),"Nâng (PcVK +PcNG) cùng QĐ",("---"))))))))</f>
        <v>---</v>
      </c>
      <c r="CU48" s="658" t="str">
        <f>IF(AND(DF48&gt;DE48,DF48&lt;(DE48+13)),"Hưu",IF(AND(DF48&gt;(DE48+12),DF48&lt;1000),"Quá","/-/ /-/"))</f>
        <v>/-/ /-/</v>
      </c>
      <c r="CV48" s="658">
        <f>IF((I48+0)&lt;12,(I48+0)+1,IF((I48+0)=12,1,IF((I48+0)&gt;12,(I48+0)-12)))</f>
        <v>6</v>
      </c>
      <c r="CW48" s="658">
        <f>IF(OR((I48+0)=12,(I48+0)&gt;12),K48+DE48/12+1,IF(AND((I48+0)&gt;0,(I48+0)&lt;12),K48+DE48/12,"---"))</f>
        <v>2037</v>
      </c>
      <c r="CX48" s="659">
        <f>IF(AND(CV48&gt;3,CV48&lt;13),CV48-3,IF(CV48&lt;4,CV48-3+12))</f>
        <v>3</v>
      </c>
      <c r="CY48" s="660">
        <f>IF(CX48&lt;CV48,CW48,IF(CX48&gt;CV48,CW48-1))</f>
        <v>2037</v>
      </c>
      <c r="CZ48" s="638">
        <f>IF(CV48&gt;6,CV48-6,IF(CV48=6,12,IF(CV48&lt;6,CV48+6)))</f>
        <v>12</v>
      </c>
      <c r="DA48" s="661">
        <f>IF(CV48&gt;6,CW48,IF(CV48&lt;7,CW48-1))</f>
        <v>2036</v>
      </c>
      <c r="DB48" s="639" t="str">
        <f>IF(AND(CU48="Hưu",BA48=3),36+AM48-(12*(DA48-AX48)+(CZ48-AV48)),IF(AND(CU48="Hưu",BA48=2),24+AM48-(12*(DA48-AX48)+(CZ48-AV48)),IF(AND(CU48="Hưu",BA48=1),12+AM48-(12*(DA48-AX48)+(CZ48-AV48)),"- - -")))</f>
        <v>- - -</v>
      </c>
      <c r="DC48" s="640" t="str">
        <f>IF(DD48&gt;0,"K.Dài",". .")</f>
        <v>. .</v>
      </c>
      <c r="DD48" s="641"/>
      <c r="DE48" s="642">
        <f>IF(F48="Nam",(60+DD48)*12,IF(F48="Nữ",(55+DD48)*12,))</f>
        <v>720</v>
      </c>
      <c r="DF48" s="643">
        <f>12*($CU$4-K48)+(12-I48)</f>
        <v>-23717</v>
      </c>
      <c r="DG48" s="324">
        <f>$DK$4-K48</f>
        <v>-1977</v>
      </c>
      <c r="DH48" s="324" t="str">
        <f>IF(AND(DG48&lt;35,F48="Nam"),"Nam dưới 35",IF(AND(DG48&lt;30,F48="Nữ"),"Nữ dưới 30",IF(AND(DG48&gt;34,DG48&lt;46,F48="Nam"),"Nam từ 35 - 45",IF(AND(DG48&gt;29,DG48&lt;41,F48="Nữ"),"Nữ từ 30 - 40",IF(AND(DG48&gt;45,DG48&lt;56,F48="Nam"),"Nam trên 45 - 55",IF(AND(DG48&gt;40,DG48&lt;51,F48="Nữ"),"Nữ trên 40 - 50",IF(AND(DG48&gt;55,F48="Nam"),"Nam trên 55","Nữ trên 50")))))))</f>
        <v>Nam dưới 35</v>
      </c>
      <c r="DI48" s="641"/>
      <c r="DJ48" s="662"/>
      <c r="DK48" s="663" t="str">
        <f>IF(DG48&lt;31,"Đến 30",IF(AND(DG48&gt;30,DG48&lt;46),"31 - 45",IF(AND(DG48&gt;45,DG48&lt;70),"Trên 45")))</f>
        <v>Đến 30</v>
      </c>
      <c r="DL48" s="647" t="str">
        <f>IF(DM48&gt;0,"TD","--")</f>
        <v>--</v>
      </c>
      <c r="DM48" s="647"/>
      <c r="DV48" s="658" t="s">
        <v>54</v>
      </c>
      <c r="DW48" s="658" t="s">
        <v>184</v>
      </c>
      <c r="DX48" s="658" t="s">
        <v>188</v>
      </c>
      <c r="DY48" s="658" t="s">
        <v>41</v>
      </c>
      <c r="DZ48" s="658" t="s">
        <v>51</v>
      </c>
      <c r="EA48" s="658" t="s">
        <v>43</v>
      </c>
      <c r="EB48" s="658" t="s">
        <v>51</v>
      </c>
      <c r="EC48" s="658">
        <v>2013</v>
      </c>
      <c r="ED48" s="658">
        <f>(DY48+0)-(EF48+0)</f>
        <v>0</v>
      </c>
      <c r="EE48" s="658" t="str">
        <f>IF(ED48&gt;0,"Sửa","- - -")</f>
        <v>- - -</v>
      </c>
      <c r="EF48" s="658" t="s">
        <v>41</v>
      </c>
      <c r="EG48" s="658" t="s">
        <v>51</v>
      </c>
      <c r="EH48" s="658" t="s">
        <v>43</v>
      </c>
      <c r="EI48" s="658" t="s">
        <v>51</v>
      </c>
      <c r="EJ48" s="658">
        <v>2013</v>
      </c>
      <c r="EL48" s="658" t="str">
        <f>IF(AND(BD48&gt;0.34,AO48=1,OR(BC48=6.2,BC48=5.75)),((BC48-EK48)-2*0.34),IF(AND(BD48&gt;0.33,AO48=1,OR(BC48=4.4,BC48=4)),((BC48-EK48)-2*0.33),"- - -"))</f>
        <v>- - -</v>
      </c>
      <c r="EM48" s="658" t="str">
        <f>IF(CU48="Hưu",12*(DA48-AX48)+(CZ48-AV48),"---")</f>
        <v>---</v>
      </c>
    </row>
    <row r="49" spans="1:219" s="658" customFormat="1" ht="36.75" customHeight="1" x14ac:dyDescent="0.2">
      <c r="A49" s="636"/>
      <c r="B49" s="285" t="s">
        <v>318</v>
      </c>
      <c r="C49" s="285"/>
      <c r="D49" s="286"/>
      <c r="E49" s="286" t="s">
        <v>319</v>
      </c>
      <c r="F49" s="287"/>
      <c r="G49" s="288"/>
      <c r="H49" s="288"/>
      <c r="I49" s="288"/>
      <c r="J49" s="289"/>
      <c r="K49" s="289"/>
      <c r="L49" s="289"/>
      <c r="M49" s="289"/>
      <c r="N49" s="289"/>
      <c r="O49" s="289"/>
      <c r="P49" s="289"/>
      <c r="Q49" s="286"/>
      <c r="R49" s="290"/>
      <c r="S49" s="291"/>
      <c r="T49" s="292"/>
      <c r="U49" s="292"/>
      <c r="V49" s="293"/>
      <c r="W49" s="420"/>
      <c r="X49" s="324"/>
      <c r="Y49" s="325"/>
      <c r="Z49" s="326"/>
      <c r="AA49" s="327"/>
      <c r="AB49" s="317"/>
      <c r="AC49" s="381"/>
      <c r="AD49" s="318"/>
      <c r="AE49" s="323"/>
      <c r="AF49" s="321"/>
      <c r="AG49" s="318"/>
      <c r="AH49" s="379"/>
      <c r="AI49" s="388"/>
      <c r="AJ49" s="380"/>
      <c r="AK49" s="394"/>
      <c r="AL49" s="395"/>
      <c r="AM49" s="427"/>
      <c r="AN49" s="428"/>
      <c r="AO49" s="396"/>
      <c r="AP49" s="389"/>
      <c r="AQ49" s="399"/>
      <c r="AR49" s="321"/>
      <c r="AS49" s="381"/>
      <c r="AT49" s="319"/>
      <c r="AU49" s="387"/>
      <c r="AV49" s="412"/>
      <c r="AW49" s="393"/>
      <c r="AX49" s="320"/>
      <c r="AY49" s="683"/>
      <c r="AZ49" s="665"/>
      <c r="BA49" s="637"/>
      <c r="BB49" s="639"/>
      <c r="BC49" s="640"/>
      <c r="BD49" s="641"/>
      <c r="BE49" s="642"/>
      <c r="BF49" s="643"/>
      <c r="BG49" s="644"/>
      <c r="BH49" s="641"/>
      <c r="BI49" s="645"/>
      <c r="BJ49" s="646"/>
      <c r="BK49" s="647"/>
      <c r="BL49" s="647"/>
      <c r="BM49" s="647"/>
      <c r="BN49" s="647"/>
      <c r="BO49" s="647"/>
      <c r="BP49" s="647"/>
      <c r="BQ49" s="648"/>
      <c r="BR49" s="649"/>
      <c r="BS49" s="650"/>
      <c r="BT49" s="651"/>
      <c r="BU49" s="652"/>
      <c r="BV49" s="641"/>
      <c r="BW49" s="322"/>
      <c r="BX49" s="637"/>
      <c r="BY49" s="653"/>
      <c r="BZ49" s="654"/>
      <c r="CA49" s="636"/>
      <c r="CB49" s="655"/>
      <c r="CC49" s="655"/>
      <c r="CD49" s="656"/>
      <c r="CE49" s="657"/>
      <c r="CF49" s="637"/>
      <c r="CG49" s="637"/>
      <c r="CX49" s="659"/>
      <c r="CY49" s="660"/>
      <c r="CZ49" s="638"/>
      <c r="DA49" s="661"/>
      <c r="DB49" s="639"/>
      <c r="DC49" s="640"/>
      <c r="DD49" s="641"/>
      <c r="DE49" s="642"/>
      <c r="DF49" s="643"/>
      <c r="DG49" s="324"/>
      <c r="DH49" s="324"/>
      <c r="DI49" s="641"/>
      <c r="DJ49" s="662"/>
      <c r="DK49" s="663"/>
      <c r="DL49" s="647"/>
      <c r="DM49" s="647"/>
    </row>
    <row r="50" spans="1:219" s="658" customFormat="1" ht="36.75" customHeight="1" x14ac:dyDescent="0.2">
      <c r="A50" s="636">
        <v>830</v>
      </c>
      <c r="B50" s="322">
        <v>1</v>
      </c>
      <c r="C50" s="99"/>
      <c r="D50" s="99" t="s">
        <v>230</v>
      </c>
      <c r="E50" s="498" t="s">
        <v>320</v>
      </c>
      <c r="F50" s="499" t="s">
        <v>61</v>
      </c>
      <c r="G50" s="500" t="s">
        <v>308</v>
      </c>
      <c r="H50" s="500" t="s">
        <v>51</v>
      </c>
      <c r="I50" s="500" t="s">
        <v>55</v>
      </c>
      <c r="J50" s="98" t="s">
        <v>51</v>
      </c>
      <c r="K50" s="98">
        <v>1967</v>
      </c>
      <c r="L50" s="98" t="s">
        <v>79</v>
      </c>
      <c r="M50" s="98" t="s">
        <v>232</v>
      </c>
      <c r="N50" s="98"/>
      <c r="O50" s="98" t="s">
        <v>240</v>
      </c>
      <c r="P50" s="98" t="s">
        <v>126</v>
      </c>
      <c r="Q50" s="498" t="s">
        <v>274</v>
      </c>
      <c r="R50" s="681" t="s">
        <v>54</v>
      </c>
      <c r="S50" s="501" t="s">
        <v>143</v>
      </c>
      <c r="T50" s="502" t="s">
        <v>235</v>
      </c>
      <c r="U50" s="502" t="s">
        <v>236</v>
      </c>
      <c r="V50" s="503" t="s">
        <v>70</v>
      </c>
      <c r="W50" s="504" t="s">
        <v>40</v>
      </c>
      <c r="X50" s="505" t="s">
        <v>11</v>
      </c>
      <c r="Y50" s="506" t="s">
        <v>40</v>
      </c>
      <c r="Z50" s="505" t="s">
        <v>11</v>
      </c>
      <c r="AA50" s="507" t="s">
        <v>237</v>
      </c>
      <c r="AB50" s="508">
        <v>9</v>
      </c>
      <c r="AC50" s="437" t="s">
        <v>51</v>
      </c>
      <c r="AD50" s="51">
        <v>9</v>
      </c>
      <c r="AE50" s="509">
        <v>4.9800000000000004</v>
      </c>
      <c r="AF50" s="510">
        <v>8</v>
      </c>
      <c r="AG50" s="51" t="s">
        <v>39</v>
      </c>
      <c r="AH50" s="511" t="s">
        <v>41</v>
      </c>
      <c r="AI50" s="512" t="s">
        <v>51</v>
      </c>
      <c r="AJ50" s="513" t="s">
        <v>47</v>
      </c>
      <c r="AK50" s="671" t="s">
        <v>51</v>
      </c>
      <c r="AL50" s="514">
        <v>2017</v>
      </c>
      <c r="AM50" s="515"/>
      <c r="AN50" s="516"/>
      <c r="AO50" s="517"/>
      <c r="AP50" s="518"/>
      <c r="AQ50" s="519"/>
      <c r="AR50" s="682">
        <v>9</v>
      </c>
      <c r="AS50" s="51" t="s">
        <v>39</v>
      </c>
      <c r="AT50" s="520" t="s">
        <v>41</v>
      </c>
      <c r="AU50" s="521" t="s">
        <v>51</v>
      </c>
      <c r="AV50" s="522" t="s">
        <v>47</v>
      </c>
      <c r="AW50" s="523" t="s">
        <v>51</v>
      </c>
      <c r="AX50" s="524">
        <v>2018</v>
      </c>
      <c r="AY50" s="527"/>
      <c r="AZ50" s="665">
        <v>5</v>
      </c>
      <c r="BA50" s="637">
        <f>IF(AND(AD50&gt;AB50,OR(BD50=0.18,BD50=0.2)),2,IF(AND(AD50&gt;AB50,OR(BD50=0.31,BD50=0.33,BD50=0.34,BD50=0.36)),3,IF(AD50=AB50,1)))</f>
        <v>1</v>
      </c>
      <c r="BB50" s="639">
        <f>12*($AA$2-AX50)+($AA$3-AV50)-AM50</f>
        <v>-24223</v>
      </c>
      <c r="BC50" s="640">
        <f>VLOOKUP(Y50,'[1]- DLiêu Gốc -'!$C$1:$F$60,3,0)</f>
        <v>2.34</v>
      </c>
      <c r="BD50" s="641">
        <f>VLOOKUP(Y50,'[1]- DLiêu Gốc -'!$C$1:$F$60,4,0)</f>
        <v>0.33</v>
      </c>
      <c r="BE50" s="642" t="str">
        <f>IF(AND(BF50&gt;3,BX50=12),"Đến %",IF(AND(BF50&gt;3,BX50&gt;12,BX50&lt;120),"Dừng %",IF(AND(BF50&gt;3,BX50&lt;12),"PCTN","o-o-o")))</f>
        <v>o-o-o</v>
      </c>
      <c r="BF50" s="643"/>
      <c r="BG50" s="644"/>
      <c r="BH50" s="641"/>
      <c r="BI50" s="645"/>
      <c r="BJ50" s="646"/>
      <c r="BK50" s="647"/>
      <c r="BL50" s="647"/>
      <c r="BM50" s="647"/>
      <c r="BN50" s="647"/>
      <c r="BO50" s="647"/>
      <c r="BP50" s="647"/>
      <c r="BQ50" s="648"/>
      <c r="BR50" s="649"/>
      <c r="BS50" s="650"/>
      <c r="BT50" s="651"/>
      <c r="BU50" s="652"/>
      <c r="BV50" s="641"/>
      <c r="BW50" s="322"/>
      <c r="BX50" s="637" t="str">
        <f>IF(BF50&gt;3,(($BE$2-BU50)*12+($BE$3-BS50)-BM50),"- - -")</f>
        <v>- - -</v>
      </c>
      <c r="BY50" s="653" t="str">
        <f>IF(AND(CU50="Hưu",BF50&gt;3),12-(12*(DA50-BU50)+(CZ50-BS50))-BM50,"- - -")</f>
        <v>- - -</v>
      </c>
      <c r="BZ50" s="654" t="str">
        <f>IF(OR(S50="Ban Tổ chức - Cán bộ",S50="Văn phòng Học viện",S50="Phó Giám đốc Thường trực Học viện",S50="Phó Giám đốc Học viện"),"Chánh Văn phòng Học viện, Trưởng Ban Tổ chức - Cán bộ",IF(OR(S50="Trung tâm Ngoại ngữ",S50="Trung tâm Tin học hành chính và Công nghệ thông tin",S50="Trung tâm Tin học - Thư viện",S50="Phân viện khu vực Tây Nguyên"),"Chánh Văn phòng Học viện, Trưởng Ban Tổ chức - Cán bộ, "&amp;CONCATENATE("Giám đốc ",S50),IF(S50="Tạp chí Quản lý nhà nước","Chánh Văn phòng Học viện, Trưởng Ban Tổ chức - Cán bộ, "&amp;CONCATENATE("Tổng Biên tập ",S50),IF(S50="Văn phòng Đảng uỷ Học viện","Chánh Văn phòng Học viện, Trưởng Ban Tổ chức - Cán bộ, "&amp;CONCATENATE("Chánh",S50),IF(S50="Viện Nghiên cứu Khoa học hành chính","Chánh Văn phòng Học viện, Trưởng Ban Tổ chức - Cán bộ, "&amp;CONCATENATE("Viện Trưởng ",S50),IF(OR(S50="Cơ sở Học viện Hành chính Quốc gia khu vực miền Trung",S50="Cơ sở Học viện Hành chính Quốc gia tại Thành phố Hồ Chí Minh"),"Chánh Văn phòng Học viện, Trưởng Ban Tổ chức - Cán bộ, "&amp;CONCATENATE("Thủ trưởng ",S50),"Chánh Văn phòng Học viện, Trưởng Ban Tổ chức - Cán bộ, "&amp;CONCATENATE("Trưởng ",S50)))))))</f>
        <v>Chánh Văn phòng Học viện, Trưởng Ban Tổ chức - Cán bộ, Trưởng Phân viện Học viện Hành chính Quốc gia tại Thành phố Hồ Chí Minh</v>
      </c>
      <c r="CA50" s="636" t="str">
        <f>IF(S50="Cơ sở Học viện Hành chính khu vực miền Trung","B",IF(S50="Phân viện Khu vực Tây Nguyên","C",IF(S50="Cơ sở Học viện Hành chính tại thành phố Hồ Chí Minh","D","A")))</f>
        <v>A</v>
      </c>
      <c r="CB50" s="655" t="str">
        <f>IF(AND(AO50&gt;0,AB50&lt;(AD50-1),CC50&gt;0,CC50&lt;13,OR(AND(CI50="Cùg Ng",($CB$2-CE50)&gt;BA50),CI50="- - -")),"Sớm TT","=&gt; s")</f>
        <v>=&gt; s</v>
      </c>
      <c r="CC50" s="655" t="str">
        <f>IF(BA50=3,36-(12*($CB$2-AX50)+(12-AV50)-AM50),IF(BA50=2,24-(12*($CB$2-AX50)+(12-AV50)-AM50),"---"))</f>
        <v>---</v>
      </c>
      <c r="CD50" s="656" t="str">
        <f>IF(CE50&gt;1,"S","---")</f>
        <v>---</v>
      </c>
      <c r="CE50" s="657"/>
      <c r="CF50" s="637"/>
      <c r="CG50" s="637"/>
      <c r="CI50" s="658" t="str">
        <f>IF(X50=CF50,"Cùg Ng","- - -")</f>
        <v>- - -</v>
      </c>
      <c r="CJ50" s="658" t="str">
        <f>IF(CL50&gt;2000,"NN","- - -")</f>
        <v>- - -</v>
      </c>
      <c r="CO50" s="658" t="str">
        <f>IF(CQ50&gt;2000,"CN","- - -")</f>
        <v>- - -</v>
      </c>
      <c r="CT50" s="658" t="str">
        <f>IF(AND(CU50="Hưu",AB50&lt;(AD50-1),DB50&gt;0,DB50&lt;18,OR(BF50&lt;4,AND(BF50&gt;3,OR(BY50&lt;3,BY50&gt;5)))),"Lg Sớm",IF(AND(CU50="Hưu",AB50&gt;(AD50-2),OR(BD50=0.33,BD50=0.34),OR(BF50&lt;4,AND(BF50&gt;3,OR(BY50&lt;3,BY50&gt;5)))),"Nâng Ngạch",IF(AND(CU50="Hưu",BA50=1,DB50&gt;2,DB50&lt;6,OR(BF50&lt;4,AND(BF50&gt;3,OR(BY50&lt;3,BY50&gt;5)))),"Nâng PcVK cùng QĐ",IF(AND(CU50="Hưu",BF50&gt;3,BY50&gt;2,BY50&lt;6,AB50&lt;(AD50-1),DB50&gt;17,OR(BA50&gt;1,AND(BA50=1,OR(DB50&lt;3,DB50&gt;5)))),"Nâng PcNG cùng QĐ",IF(AND(CU50="Hưu",AB50&lt;(AD50-1),DB50&gt;0,DB50&lt;18,BF50&gt;3,BY50&gt;2,BY50&lt;6),"Nâng Lg Sớm +(PcNG cùng QĐ)",IF(AND(CU50="Hưu",AB50&gt;(AD50-2),OR(BD50=0.33,BD50=0.34),BF50&gt;3,BY50&gt;2,BY50&lt;6),"Nâng Ngạch +(PcNG cùng QĐ)",IF(AND(CU50="Hưu",BA50=1,DB50&gt;2,DB50&lt;6,BF50&gt;3,BY50&gt;2,BY50&lt;6),"Nâng (PcVK +PcNG) cùng QĐ",("---"))))))))</f>
        <v>---</v>
      </c>
      <c r="CU50" s="658" t="str">
        <f>IF(AND(DF50&gt;DE50,DF50&lt;(DE50+13)),"Hưu",IF(AND(DF50&gt;(DE50+12),DF50&lt;1000),"Quá","/-/ /-/"))</f>
        <v>/-/ /-/</v>
      </c>
      <c r="CV50" s="658">
        <f>IF((I50+0)&lt;12,(I50+0)+1,IF((I50+0)=12,1,IF((I50+0)&gt;12,(I50+0)-12)))</f>
        <v>11</v>
      </c>
      <c r="CW50" s="658">
        <f>IF(OR((I50+0)=12,(I50+0)&gt;12),K50+DE50/12+1,IF(AND((I50+0)&gt;0,(I50+0)&lt;12),K50+DE50/12,"---"))</f>
        <v>2022</v>
      </c>
      <c r="CX50" s="659">
        <f>IF(AND(CV50&gt;3,CV50&lt;13),CV50-3,IF(CV50&lt;4,CV50-3+12))</f>
        <v>8</v>
      </c>
      <c r="CY50" s="660">
        <f>IF(CX50&lt;CV50,CW50,IF(CX50&gt;CV50,CW50-1))</f>
        <v>2022</v>
      </c>
      <c r="CZ50" s="638">
        <f>IF(CV50&gt;6,CV50-6,IF(CV50=6,12,IF(CV50&lt;6,CV50+6)))</f>
        <v>5</v>
      </c>
      <c r="DA50" s="661">
        <f>IF(CV50&gt;6,CW50,IF(CV50&lt;7,CW50-1))</f>
        <v>2022</v>
      </c>
      <c r="DB50" s="639" t="str">
        <f>IF(AND(CU50="Hưu",BA50=3),36+AM50-(12*(DA50-AX50)+(CZ50-AV50)),IF(AND(CU50="Hưu",BA50=2),24+AM50-(12*(DA50-AX50)+(CZ50-AV50)),IF(AND(CU50="Hưu",BA50=1),12+AM50-(12*(DA50-AX50)+(CZ50-AV50)),"- - -")))</f>
        <v>- - -</v>
      </c>
      <c r="DC50" s="640" t="str">
        <f>IF(DD50&gt;0,"K.Dài",". .")</f>
        <v>. .</v>
      </c>
      <c r="DD50" s="641"/>
      <c r="DE50" s="642">
        <f>IF(F50="Nam",(60+DD50)*12,IF(F50="Nữ",(55+DD50)*12,))</f>
        <v>660</v>
      </c>
      <c r="DF50" s="643">
        <f>12*($CU$4-K50)+(12-I50)</f>
        <v>-23602</v>
      </c>
      <c r="DG50" s="324">
        <f>$DK$4-K50</f>
        <v>-1967</v>
      </c>
      <c r="DH50" s="324" t="str">
        <f>IF(AND(DG50&lt;35,F50="Nam"),"Nam dưới 35",IF(AND(DG50&lt;30,F50="Nữ"),"Nữ dưới 30",IF(AND(DG50&gt;34,DG50&lt;46,F50="Nam"),"Nam từ 35 - 45",IF(AND(DG50&gt;29,DG50&lt;41,F50="Nữ"),"Nữ từ 30 - 40",IF(AND(DG50&gt;45,DG50&lt;56,F50="Nam"),"Nam trên 45 - 55",IF(AND(DG50&gt;40,DG50&lt;51,F50="Nữ"),"Nữ trên 40 - 50",IF(AND(DG50&gt;55,F50="Nam"),"Nam trên 55","Nữ trên 50")))))))</f>
        <v>Nữ dưới 30</v>
      </c>
      <c r="DI50" s="641"/>
      <c r="DJ50" s="662"/>
      <c r="DK50" s="663" t="str">
        <f>IF(DG50&lt;31,"Đến 30",IF(AND(DG50&gt;30,DG50&lt;46),"31 - 45",IF(AND(DG50&gt;45,DG50&lt;70),"Trên 45")))</f>
        <v>Đến 30</v>
      </c>
      <c r="DL50" s="647" t="str">
        <f>IF(DM50&gt;0,"TD","--")</f>
        <v>--</v>
      </c>
      <c r="DM50" s="647"/>
      <c r="DV50" s="658" t="s">
        <v>190</v>
      </c>
      <c r="DW50" s="658" t="s">
        <v>184</v>
      </c>
      <c r="DX50" s="658" t="s">
        <v>188</v>
      </c>
      <c r="DY50" s="658" t="s">
        <v>41</v>
      </c>
      <c r="DZ50" s="658" t="s">
        <v>51</v>
      </c>
      <c r="EA50" s="658" t="s">
        <v>43</v>
      </c>
      <c r="EB50" s="658" t="s">
        <v>51</v>
      </c>
      <c r="EC50" s="658">
        <v>2012</v>
      </c>
      <c r="ED50" s="658">
        <f>(DY50+0)-(EF50+0)</f>
        <v>0</v>
      </c>
      <c r="EE50" s="658" t="str">
        <f>IF(ED50&gt;0,"Sửa","- - -")</f>
        <v>- - -</v>
      </c>
      <c r="EF50" s="658" t="s">
        <v>41</v>
      </c>
      <c r="EG50" s="658" t="s">
        <v>51</v>
      </c>
      <c r="EH50" s="658" t="s">
        <v>43</v>
      </c>
      <c r="EI50" s="658" t="s">
        <v>51</v>
      </c>
      <c r="EJ50" s="658">
        <v>2012</v>
      </c>
      <c r="EL50" s="658" t="str">
        <f>IF(AND(BD50&gt;0.34,AO50=1,OR(BC50=6.2,BC50=5.75)),((BC50-EK50)-2*0.34),IF(AND(BD50&gt;0.33,AO50=1,OR(BC50=4.4,BC50=4)),((BC50-EK50)-2*0.33),"- - -"))</f>
        <v>- - -</v>
      </c>
      <c r="EM50" s="658" t="str">
        <f>IF(CU50="Hưu",12*(DA50-AX50)+(CZ50-AV50),"---")</f>
        <v>---</v>
      </c>
    </row>
    <row r="51" spans="1:219" x14ac:dyDescent="0.2">
      <c r="Q51" s="409"/>
      <c r="R51" s="409"/>
      <c r="AB51" s="787" t="s">
        <v>10</v>
      </c>
      <c r="AC51" s="787"/>
      <c r="AD51" s="787"/>
      <c r="AE51" s="787"/>
      <c r="AF51" s="787"/>
      <c r="AG51" s="787"/>
      <c r="AH51" s="787"/>
      <c r="AI51" s="787"/>
      <c r="AJ51" s="787"/>
      <c r="AK51" s="787"/>
      <c r="AL51" s="787"/>
      <c r="AM51" s="787"/>
      <c r="AN51" s="787"/>
      <c r="AO51" s="787"/>
      <c r="AP51" s="787"/>
      <c r="AQ51" s="787"/>
      <c r="AR51" s="787"/>
      <c r="AS51" s="787"/>
      <c r="AT51" s="787"/>
      <c r="AU51" s="787"/>
      <c r="AV51" s="787"/>
      <c r="AW51" s="787"/>
      <c r="AX51" s="787"/>
    </row>
    <row r="52" spans="1:219" x14ac:dyDescent="0.2">
      <c r="Q52" s="409"/>
      <c r="R52" s="409"/>
      <c r="AB52" s="787" t="s">
        <v>151</v>
      </c>
      <c r="AC52" s="787"/>
      <c r="AD52" s="787"/>
      <c r="AE52" s="787"/>
      <c r="AF52" s="787"/>
      <c r="AG52" s="787"/>
      <c r="AH52" s="787"/>
      <c r="AI52" s="787"/>
      <c r="AJ52" s="787"/>
      <c r="AK52" s="787"/>
      <c r="AL52" s="787"/>
      <c r="AM52" s="787"/>
      <c r="AN52" s="787"/>
      <c r="AO52" s="787"/>
      <c r="AP52" s="787"/>
      <c r="AQ52" s="787"/>
      <c r="AR52" s="787"/>
      <c r="AS52" s="787"/>
      <c r="AT52" s="787"/>
      <c r="AU52" s="787"/>
      <c r="AV52" s="787"/>
      <c r="AW52" s="787"/>
      <c r="AX52" s="787"/>
    </row>
    <row r="53" spans="1:219" ht="58.5" customHeight="1" x14ac:dyDescent="0.2">
      <c r="Q53" s="409"/>
      <c r="R53" s="409"/>
      <c r="AB53" s="785" t="s">
        <v>35</v>
      </c>
      <c r="AC53" s="786"/>
      <c r="AD53" s="786"/>
      <c r="AE53" s="786"/>
      <c r="AF53" s="786"/>
      <c r="AG53" s="786"/>
      <c r="AH53" s="786"/>
      <c r="AI53" s="786"/>
      <c r="AJ53" s="786"/>
      <c r="AK53" s="786"/>
      <c r="AL53" s="786"/>
      <c r="AM53" s="786"/>
      <c r="AN53" s="786"/>
      <c r="AO53" s="786"/>
      <c r="AP53" s="786"/>
      <c r="AQ53" s="786"/>
      <c r="AR53" s="786"/>
      <c r="AS53" s="786"/>
      <c r="AT53" s="786"/>
      <c r="AU53" s="786"/>
      <c r="AV53" s="786"/>
      <c r="AW53" s="786"/>
      <c r="AX53" s="786"/>
    </row>
    <row r="54" spans="1:219" ht="36" customHeight="1" x14ac:dyDescent="0.2">
      <c r="Q54" s="409"/>
      <c r="R54" s="409"/>
      <c r="AB54" s="783" t="s">
        <v>152</v>
      </c>
      <c r="AC54" s="784"/>
      <c r="AD54" s="784"/>
      <c r="AE54" s="784"/>
      <c r="AF54" s="784"/>
      <c r="AG54" s="784"/>
      <c r="AH54" s="784"/>
      <c r="AI54" s="784"/>
      <c r="AJ54" s="784"/>
      <c r="AK54" s="784"/>
      <c r="AL54" s="784"/>
      <c r="AM54" s="784"/>
      <c r="AN54" s="784"/>
      <c r="AO54" s="784"/>
      <c r="AP54" s="784"/>
      <c r="AQ54" s="784"/>
      <c r="AR54" s="784"/>
      <c r="AS54" s="784"/>
      <c r="AT54" s="784"/>
      <c r="AU54" s="784"/>
      <c r="AV54" s="784"/>
      <c r="AW54" s="784"/>
      <c r="AX54" s="784"/>
    </row>
    <row r="55" spans="1:219" hidden="1" x14ac:dyDescent="0.2">
      <c r="Q55" s="409"/>
      <c r="R55" s="409"/>
      <c r="AB55" s="382"/>
      <c r="AC55" s="35"/>
      <c r="AD55" s="36"/>
      <c r="AE55" s="383"/>
      <c r="AF55" s="383"/>
      <c r="AG55" s="383"/>
      <c r="AH55" s="36"/>
      <c r="AI55" s="198"/>
      <c r="AJ55" s="77"/>
      <c r="AK55" s="35"/>
      <c r="AL55" s="384"/>
      <c r="AM55" s="384"/>
      <c r="AN55" s="384"/>
      <c r="AO55" s="385"/>
      <c r="AP55" s="35"/>
      <c r="AQ55" s="400"/>
      <c r="AR55" s="76"/>
      <c r="AS55" s="76"/>
      <c r="AT55" s="36"/>
      <c r="AU55" s="198"/>
      <c r="AV55" s="77"/>
      <c r="AW55" s="35"/>
      <c r="AX55" s="384"/>
    </row>
    <row r="56" spans="1:219" hidden="1" x14ac:dyDescent="0.2">
      <c r="Q56" s="409"/>
      <c r="R56" s="409"/>
      <c r="AB56" s="382"/>
      <c r="AC56" s="35"/>
      <c r="AD56" s="36"/>
      <c r="AE56" s="383"/>
      <c r="AF56" s="383"/>
      <c r="AG56" s="383"/>
      <c r="AH56" s="36"/>
      <c r="AI56" s="198"/>
      <c r="AJ56" s="77"/>
      <c r="AK56" s="35"/>
      <c r="AL56" s="384"/>
      <c r="AM56" s="384"/>
      <c r="AN56" s="384"/>
      <c r="AO56" s="385"/>
      <c r="AP56" s="35"/>
      <c r="AQ56" s="400"/>
      <c r="AR56" s="76"/>
      <c r="AS56" s="76"/>
      <c r="AT56" s="36"/>
      <c r="AU56" s="198"/>
      <c r="AV56" s="77"/>
      <c r="AW56" s="35"/>
      <c r="AX56" s="384"/>
      <c r="BL56" s="528"/>
      <c r="BM56" s="529"/>
      <c r="BS56" s="530"/>
    </row>
    <row r="57" spans="1:219" hidden="1" x14ac:dyDescent="0.2">
      <c r="Q57" s="409"/>
      <c r="R57" s="409"/>
      <c r="AB57" s="382"/>
      <c r="AC57" s="35"/>
      <c r="AD57" s="36"/>
      <c r="AE57" s="383"/>
      <c r="AF57" s="383"/>
      <c r="AG57" s="383"/>
      <c r="AH57" s="36"/>
      <c r="AI57" s="198"/>
      <c r="AJ57" s="77"/>
      <c r="AK57" s="35"/>
      <c r="AL57" s="384"/>
      <c r="AM57" s="384"/>
      <c r="AN57" s="384"/>
      <c r="AO57" s="385"/>
      <c r="AP57" s="35"/>
      <c r="AQ57" s="400"/>
      <c r="AR57" s="76"/>
      <c r="AS57" s="76"/>
      <c r="AT57" s="36"/>
      <c r="AU57" s="198"/>
      <c r="AV57" s="77"/>
      <c r="AW57" s="35"/>
      <c r="AX57" s="384"/>
      <c r="BL57" s="528"/>
      <c r="BM57" s="529"/>
      <c r="BS57" s="530"/>
    </row>
    <row r="58" spans="1:219" hidden="1" x14ac:dyDescent="0.2">
      <c r="Q58" s="409"/>
      <c r="R58" s="409"/>
      <c r="AB58" s="382"/>
      <c r="AC58" s="35"/>
      <c r="AD58" s="36"/>
      <c r="AE58" s="383"/>
      <c r="AF58" s="383"/>
      <c r="AG58" s="383"/>
      <c r="AH58" s="36"/>
      <c r="AI58" s="198"/>
      <c r="AJ58" s="77"/>
      <c r="AK58" s="35"/>
      <c r="AL58" s="384"/>
      <c r="AM58" s="384"/>
      <c r="AN58" s="384"/>
      <c r="AO58" s="385"/>
      <c r="AP58" s="35"/>
      <c r="AQ58" s="400"/>
      <c r="AR58" s="76"/>
      <c r="AS58" s="76"/>
      <c r="AT58" s="36"/>
      <c r="AU58" s="198"/>
      <c r="AV58" s="77"/>
      <c r="AW58" s="35"/>
      <c r="AX58" s="384"/>
      <c r="BL58" s="528"/>
      <c r="BM58" s="529"/>
      <c r="BS58" s="530"/>
    </row>
    <row r="59" spans="1:219" s="58" customFormat="1" ht="57.75" hidden="1" customHeight="1" x14ac:dyDescent="0.2">
      <c r="A59" s="331"/>
      <c r="B59" s="338"/>
      <c r="C59" s="328"/>
      <c r="D59" s="490"/>
      <c r="E59" s="490"/>
      <c r="F59" s="490"/>
      <c r="G59" s="490"/>
      <c r="H59" s="490"/>
      <c r="I59" s="490"/>
      <c r="J59" s="490"/>
      <c r="K59" s="490"/>
      <c r="L59" s="490"/>
      <c r="M59" s="490"/>
      <c r="N59" s="490"/>
      <c r="O59" s="490"/>
      <c r="P59" s="490"/>
      <c r="Q59" s="490"/>
      <c r="R59" s="490"/>
      <c r="S59" s="339"/>
      <c r="T59" s="339"/>
      <c r="U59" s="339"/>
      <c r="V59" s="340"/>
      <c r="W59" s="341"/>
      <c r="X59" s="340"/>
      <c r="Y59" s="40"/>
      <c r="Z59" s="40"/>
      <c r="AA59" s="491"/>
      <c r="AB59" s="491"/>
      <c r="AC59" s="492"/>
      <c r="AD59" s="491"/>
      <c r="AE59" s="491"/>
      <c r="AF59" s="491"/>
      <c r="AG59" s="491"/>
      <c r="AH59" s="491"/>
      <c r="AI59" s="492"/>
      <c r="AJ59" s="491"/>
      <c r="AK59" s="492"/>
      <c r="AL59" s="491"/>
      <c r="AM59" s="491"/>
      <c r="AN59" s="491"/>
      <c r="AO59" s="491"/>
      <c r="AP59" s="492"/>
      <c r="AQ59" s="492"/>
      <c r="AR59" s="491"/>
      <c r="AS59" s="491"/>
      <c r="AT59" s="491"/>
      <c r="AU59" s="492"/>
      <c r="AV59" s="491"/>
      <c r="AW59" s="492"/>
      <c r="AX59" s="491"/>
      <c r="AY59" s="491"/>
      <c r="AZ59" s="491"/>
      <c r="BA59" s="491"/>
      <c r="BB59" s="491"/>
      <c r="BC59" s="491"/>
      <c r="BD59" s="491"/>
      <c r="BE59" s="491"/>
      <c r="BF59" s="491"/>
      <c r="BG59" s="491"/>
      <c r="BH59" s="491"/>
      <c r="BI59" s="491"/>
      <c r="BJ59" s="491"/>
      <c r="BK59" s="491"/>
      <c r="BL59" s="491"/>
      <c r="BM59" s="491"/>
      <c r="BN59" s="491"/>
      <c r="BO59" s="491"/>
      <c r="BP59" s="491"/>
      <c r="BQ59" s="491"/>
      <c r="BR59" s="491"/>
      <c r="BS59" s="491"/>
      <c r="BT59" s="491"/>
      <c r="BU59" s="342"/>
      <c r="BV59" s="343"/>
      <c r="BW59" s="344"/>
      <c r="BX59" s="331"/>
      <c r="BY59" s="330"/>
      <c r="BZ59" s="331"/>
      <c r="CA59" s="332"/>
      <c r="CB59" s="333"/>
      <c r="CC59" s="334"/>
      <c r="CD59" s="335"/>
      <c r="CE59" s="331"/>
      <c r="CF59" s="331"/>
      <c r="CG59" s="336"/>
      <c r="CW59" s="345"/>
      <c r="CX59" s="337"/>
      <c r="CY59" s="346"/>
      <c r="CZ59" s="347"/>
      <c r="DA59" s="348"/>
      <c r="DB59" s="349"/>
      <c r="DC59" s="329"/>
      <c r="DD59" s="348"/>
      <c r="DE59" s="350"/>
      <c r="DF59" s="40"/>
      <c r="DG59" s="40"/>
      <c r="DH59" s="329"/>
      <c r="DI59" s="351"/>
      <c r="DJ59" s="352"/>
      <c r="DK59" s="336"/>
      <c r="DL59" s="336"/>
      <c r="FP59" s="336"/>
      <c r="FQ59" s="336"/>
      <c r="FR59" s="336"/>
      <c r="FS59" s="336"/>
      <c r="FT59" s="336"/>
      <c r="FU59" s="336"/>
      <c r="FV59" s="336"/>
      <c r="FW59" s="336"/>
      <c r="FX59" s="336"/>
      <c r="FY59" s="336"/>
      <c r="FZ59" s="336"/>
      <c r="GA59" s="336"/>
      <c r="GB59" s="336"/>
      <c r="GC59" s="336"/>
      <c r="GD59" s="336"/>
      <c r="GE59" s="336"/>
      <c r="GF59" s="336"/>
      <c r="GG59" s="336"/>
      <c r="GH59" s="336"/>
      <c r="GI59" s="336"/>
      <c r="GJ59" s="336"/>
      <c r="GK59" s="336"/>
      <c r="GL59" s="336"/>
      <c r="GM59" s="336"/>
      <c r="GN59" s="336"/>
      <c r="GO59" s="336"/>
      <c r="GP59" s="336"/>
      <c r="GQ59" s="336"/>
      <c r="GR59" s="336"/>
      <c r="GS59" s="336"/>
      <c r="GT59" s="336"/>
      <c r="GU59" s="336"/>
      <c r="GV59" s="336"/>
      <c r="GW59" s="336"/>
      <c r="GX59" s="336"/>
      <c r="GY59" s="336"/>
      <c r="GZ59" s="336"/>
      <c r="HA59" s="336"/>
      <c r="HB59" s="336"/>
      <c r="HC59" s="336"/>
      <c r="HD59" s="336"/>
      <c r="HE59" s="336"/>
      <c r="HF59" s="336"/>
      <c r="HG59" s="336"/>
      <c r="HH59" s="336"/>
      <c r="HI59" s="336"/>
      <c r="HJ59" s="336"/>
      <c r="HK59" s="336"/>
    </row>
    <row r="60" spans="1:219" s="262" customFormat="1" ht="16.5" hidden="1" customHeight="1" x14ac:dyDescent="0.2">
      <c r="A60" s="353"/>
      <c r="B60" s="354"/>
      <c r="C60" s="355"/>
      <c r="D60" s="483"/>
      <c r="E60" s="483"/>
      <c r="F60" s="483"/>
      <c r="G60" s="483"/>
      <c r="H60" s="483"/>
      <c r="I60" s="483"/>
      <c r="J60" s="483"/>
      <c r="K60" s="483"/>
      <c r="L60" s="483"/>
      <c r="M60" s="483"/>
      <c r="N60" s="483"/>
      <c r="O60" s="483"/>
      <c r="P60" s="483"/>
      <c r="Q60" s="483"/>
      <c r="R60" s="483"/>
      <c r="S60" s="356"/>
      <c r="T60" s="356"/>
      <c r="U60" s="356"/>
      <c r="V60" s="357"/>
      <c r="W60" s="358"/>
      <c r="X60" s="357"/>
      <c r="Y60" s="359"/>
      <c r="Z60" s="359"/>
      <c r="AA60" s="484"/>
      <c r="AB60" s="484"/>
      <c r="AC60" s="485"/>
      <c r="AD60" s="484"/>
      <c r="AE60" s="484"/>
      <c r="AF60" s="484"/>
      <c r="AG60" s="484"/>
      <c r="AH60" s="484"/>
      <c r="AI60" s="485"/>
      <c r="AJ60" s="484"/>
      <c r="AK60" s="485"/>
      <c r="AL60" s="484"/>
      <c r="AM60" s="484"/>
      <c r="AN60" s="484"/>
      <c r="AO60" s="484"/>
      <c r="AP60" s="485"/>
      <c r="AQ60" s="485"/>
      <c r="AR60" s="484"/>
      <c r="AS60" s="484"/>
      <c r="AT60" s="484"/>
      <c r="AU60" s="485"/>
      <c r="AV60" s="484"/>
      <c r="AW60" s="485"/>
      <c r="AX60" s="484"/>
      <c r="AY60" s="484"/>
      <c r="AZ60" s="484"/>
      <c r="BA60" s="484"/>
      <c r="BB60" s="484"/>
      <c r="BC60" s="484"/>
      <c r="BD60" s="484"/>
      <c r="BE60" s="484"/>
      <c r="BF60" s="484"/>
      <c r="BG60" s="484"/>
      <c r="BH60" s="484"/>
      <c r="BI60" s="484"/>
      <c r="BJ60" s="484"/>
      <c r="BK60" s="484"/>
      <c r="BL60" s="484"/>
      <c r="BM60" s="484"/>
      <c r="BN60" s="484"/>
      <c r="BO60" s="484"/>
      <c r="BP60" s="484"/>
      <c r="BQ60" s="484"/>
      <c r="BR60" s="484"/>
      <c r="BS60" s="484"/>
      <c r="BT60" s="484"/>
      <c r="BU60" s="360"/>
      <c r="BV60" s="361"/>
      <c r="BW60" s="362"/>
      <c r="BX60" s="353"/>
      <c r="BY60" s="363"/>
      <c r="BZ60" s="353"/>
      <c r="CA60" s="364"/>
      <c r="CB60" s="365"/>
      <c r="CC60" s="366"/>
      <c r="CD60" s="367"/>
      <c r="CE60" s="353"/>
      <c r="CF60" s="353"/>
      <c r="CW60" s="368"/>
      <c r="CX60" s="369"/>
      <c r="CY60" s="370"/>
      <c r="CZ60" s="371"/>
      <c r="DA60" s="372"/>
      <c r="DB60" s="373"/>
      <c r="DC60" s="374"/>
      <c r="DD60" s="372"/>
      <c r="DE60" s="375"/>
      <c r="DF60" s="359"/>
      <c r="DG60" s="359"/>
      <c r="DH60" s="374"/>
      <c r="DI60" s="376"/>
      <c r="DJ60" s="377"/>
      <c r="DK60" s="378"/>
      <c r="DL60" s="378"/>
      <c r="FP60" s="378"/>
      <c r="FQ60" s="378"/>
      <c r="FR60" s="378"/>
      <c r="FS60" s="378"/>
      <c r="FT60" s="378"/>
      <c r="FU60" s="378"/>
      <c r="FV60" s="378"/>
      <c r="FW60" s="378"/>
      <c r="FX60" s="378"/>
      <c r="FY60" s="378"/>
      <c r="FZ60" s="378"/>
      <c r="GA60" s="378"/>
      <c r="GB60" s="378"/>
      <c r="GC60" s="378"/>
      <c r="GD60" s="378"/>
      <c r="GE60" s="378"/>
      <c r="GF60" s="378"/>
      <c r="GG60" s="378"/>
      <c r="GH60" s="378"/>
      <c r="GI60" s="378"/>
      <c r="GJ60" s="378"/>
      <c r="GK60" s="378"/>
      <c r="GL60" s="378"/>
      <c r="GM60" s="378"/>
      <c r="GN60" s="378"/>
      <c r="GO60" s="378"/>
      <c r="GP60" s="378"/>
      <c r="GQ60" s="378"/>
      <c r="GR60" s="378"/>
      <c r="GS60" s="378"/>
      <c r="GT60" s="378"/>
      <c r="GU60" s="378"/>
      <c r="GV60" s="378"/>
      <c r="GW60" s="378"/>
      <c r="GX60" s="378"/>
      <c r="GY60" s="378"/>
      <c r="GZ60" s="378"/>
      <c r="HA60" s="378"/>
      <c r="HB60" s="378"/>
      <c r="HC60" s="378"/>
      <c r="HD60" s="378"/>
      <c r="HE60" s="378"/>
      <c r="HF60" s="378"/>
      <c r="HG60" s="378"/>
      <c r="HH60" s="378"/>
      <c r="HI60" s="378"/>
      <c r="HJ60" s="378"/>
      <c r="HK60" s="378"/>
    </row>
    <row r="61" spans="1:219" hidden="1" x14ac:dyDescent="0.2"/>
    <row r="62" spans="1:219" hidden="1" x14ac:dyDescent="0.2"/>
    <row r="63" spans="1:219" hidden="1" x14ac:dyDescent="0.2"/>
    <row r="64" spans="1:2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sheetData>
  <mergeCells count="41">
    <mergeCell ref="R14:S14"/>
    <mergeCell ref="V14:W14"/>
    <mergeCell ref="Y11:Y13"/>
    <mergeCell ref="BT11:BT13"/>
    <mergeCell ref="AM14:AN14"/>
    <mergeCell ref="AT14:AX14"/>
    <mergeCell ref="BU11:BU13"/>
    <mergeCell ref="AB11:AL11"/>
    <mergeCell ref="AO11:AX11"/>
    <mergeCell ref="AE12:AE13"/>
    <mergeCell ref="AF12:AG13"/>
    <mergeCell ref="AJ12:AL13"/>
    <mergeCell ref="AO12:AQ13"/>
    <mergeCell ref="AR12:AS13"/>
    <mergeCell ref="AV12:AX13"/>
    <mergeCell ref="AY11:AY13"/>
    <mergeCell ref="BJ11:BJ13"/>
    <mergeCell ref="AB54:AX54"/>
    <mergeCell ref="AB53:AX53"/>
    <mergeCell ref="AB52:AX52"/>
    <mergeCell ref="AB51:AX51"/>
    <mergeCell ref="AA14:AD14"/>
    <mergeCell ref="AH14:AL14"/>
    <mergeCell ref="AO14:AQ14"/>
    <mergeCell ref="AF14:AG14"/>
    <mergeCell ref="AR14:AS14"/>
    <mergeCell ref="M11:M13"/>
    <mergeCell ref="B1:R1"/>
    <mergeCell ref="V1:AQ1"/>
    <mergeCell ref="B2:R2"/>
    <mergeCell ref="V2:AQ2"/>
    <mergeCell ref="V3:AQ3"/>
    <mergeCell ref="B11:B13"/>
    <mergeCell ref="D11:D13"/>
    <mergeCell ref="B4:AY4"/>
    <mergeCell ref="E11:E13"/>
    <mergeCell ref="F11:F13"/>
    <mergeCell ref="AM11:AN12"/>
    <mergeCell ref="AA12:AD13"/>
    <mergeCell ref="R11:S13"/>
    <mergeCell ref="V11:X13"/>
  </mergeCells>
  <conditionalFormatting sqref="DD59:DD60">
    <cfRule type="expression" dxfId="231" priority="2378" stopIfTrue="1">
      <formula>IF(DE59&gt;0,1,0)</formula>
    </cfRule>
    <cfRule type="expression" dxfId="230" priority="2379" stopIfTrue="1">
      <formula>IF(DE59=0,1,0)</formula>
    </cfRule>
  </conditionalFormatting>
  <conditionalFormatting sqref="DJ59:DJ60">
    <cfRule type="cellIs" dxfId="229" priority="2375" stopIfTrue="1" operator="between">
      <formula>"Hưu"</formula>
      <formula>"Hưu"</formula>
    </cfRule>
    <cfRule type="cellIs" dxfId="228" priority="2376" stopIfTrue="1" operator="between">
      <formula>"---"</formula>
      <formula>"---"</formula>
    </cfRule>
    <cfRule type="cellIs" dxfId="227" priority="2377" stopIfTrue="1" operator="between">
      <formula>"Quá"</formula>
      <formula>"Quá"</formula>
    </cfRule>
  </conditionalFormatting>
  <conditionalFormatting sqref="DA59:DA60">
    <cfRule type="cellIs" dxfId="226" priority="2372" stopIfTrue="1" operator="between">
      <formula>"Đến"</formula>
      <formula>"Đến"</formula>
    </cfRule>
    <cfRule type="cellIs" dxfId="225" priority="2373" stopIfTrue="1" operator="between">
      <formula>"Quá"</formula>
      <formula>"Quá"</formula>
    </cfRule>
    <cfRule type="expression" dxfId="224" priority="2374" stopIfTrue="1">
      <formula>IF(OR(DA59="Lương Sớm Hưu",DA59="Nâng Ngạch Hưu"),1,0)</formula>
    </cfRule>
  </conditionalFormatting>
  <conditionalFormatting sqref="DI59:DI60">
    <cfRule type="expression" dxfId="223" priority="2369" stopIfTrue="1">
      <formula>IF(DI59="Nâg Ngạch sau TB",1,0)</formula>
    </cfRule>
    <cfRule type="expression" dxfId="222" priority="2370" stopIfTrue="1">
      <formula>IF(DI59="Nâg Lươg Sớm sau TB",1,0)</formula>
    </cfRule>
    <cfRule type="expression" dxfId="221" priority="2371" stopIfTrue="1">
      <formula>IF(DI59="Nâg PC TNVK cùng QĐ",1,0)</formula>
    </cfRule>
  </conditionalFormatting>
  <conditionalFormatting sqref="A59:A60">
    <cfRule type="expression" dxfId="220" priority="2245" stopIfTrue="1">
      <formula>IF(#REF!="Hưu",1,0)</formula>
    </cfRule>
    <cfRule type="expression" dxfId="219" priority="2246" stopIfTrue="1">
      <formula>IF(#REF!="Quá",1,0)</formula>
    </cfRule>
  </conditionalFormatting>
  <conditionalFormatting sqref="BU15">
    <cfRule type="expression" dxfId="218" priority="2184" stopIfTrue="1">
      <formula>IF(BV15="Trên 45",1,0)</formula>
    </cfRule>
    <cfRule type="expression" dxfId="217" priority="2185" stopIfTrue="1">
      <formula>IF(BV15="30 - 45",1,0)</formula>
    </cfRule>
    <cfRule type="expression" dxfId="216" priority="2186" stopIfTrue="1">
      <formula>IF(BV15="Dưới 30",1,0)</formula>
    </cfRule>
  </conditionalFormatting>
  <conditionalFormatting sqref="DD15">
    <cfRule type="expression" dxfId="215" priority="2182" stopIfTrue="1">
      <formula>IF(DE15&gt;0,1,0)</formula>
    </cfRule>
    <cfRule type="expression" dxfId="214" priority="2183" stopIfTrue="1">
      <formula>IF(DE15=0,1,0)</formula>
    </cfRule>
  </conditionalFormatting>
  <conditionalFormatting sqref="DJ15 BL15">
    <cfRule type="cellIs" dxfId="213" priority="2179" stopIfTrue="1" operator="between">
      <formula>"Hưu"</formula>
      <formula>"Hưu"</formula>
    </cfRule>
    <cfRule type="cellIs" dxfId="212" priority="2180" stopIfTrue="1" operator="between">
      <formula>"---"</formula>
      <formula>"---"</formula>
    </cfRule>
    <cfRule type="cellIs" dxfId="211" priority="2181" stopIfTrue="1" operator="between">
      <formula>"Quá"</formula>
      <formula>"Quá"</formula>
    </cfRule>
  </conditionalFormatting>
  <conditionalFormatting sqref="BD15 DA15">
    <cfRule type="cellIs" dxfId="210" priority="2176" stopIfTrue="1" operator="between">
      <formula>"Đến"</formula>
      <formula>"Đến"</formula>
    </cfRule>
    <cfRule type="cellIs" dxfId="209" priority="2177" stopIfTrue="1" operator="between">
      <formula>"Quá"</formula>
      <formula>"Quá"</formula>
    </cfRule>
    <cfRule type="expression" dxfId="208" priority="2178" stopIfTrue="1">
      <formula>IF(OR(BD15="Lương Sớm Hưu",BD15="Nâng Ngạch Hưu"),1,0)</formula>
    </cfRule>
  </conditionalFormatting>
  <conditionalFormatting sqref="BK15 DI15">
    <cfRule type="expression" dxfId="207" priority="2173" stopIfTrue="1">
      <formula>IF(BK15="Nâg Ngạch sau TB",1,0)</formula>
    </cfRule>
    <cfRule type="expression" dxfId="206" priority="2174" stopIfTrue="1">
      <formula>IF(BK15="Nâg Lươg Sớm sau TB",1,0)</formula>
    </cfRule>
    <cfRule type="expression" dxfId="205" priority="2175" stopIfTrue="1">
      <formula>IF(BK15="Nâg PC TNVK cùng QĐ",1,0)</formula>
    </cfRule>
  </conditionalFormatting>
  <conditionalFormatting sqref="A15">
    <cfRule type="expression" dxfId="204" priority="2171" stopIfTrue="1">
      <formula>IF(#REF!="Hưu",1,0)</formula>
    </cfRule>
    <cfRule type="expression" dxfId="203" priority="2172" stopIfTrue="1">
      <formula>IF(#REF!="Quá",1,0)</formula>
    </cfRule>
  </conditionalFormatting>
  <conditionalFormatting sqref="CY8">
    <cfRule type="expression" dxfId="202" priority="1852" stopIfTrue="1">
      <formula>IF(CZ8&gt;0,1,0)</formula>
    </cfRule>
    <cfRule type="expression" dxfId="201" priority="1853" stopIfTrue="1">
      <formula>IF(CZ8=0,1,0)</formula>
    </cfRule>
  </conditionalFormatting>
  <conditionalFormatting sqref="DE8">
    <cfRule type="cellIs" dxfId="200" priority="1854" stopIfTrue="1" operator="between">
      <formula>"Hưu"</formula>
      <formula>"Hưu"</formula>
    </cfRule>
    <cfRule type="cellIs" dxfId="199" priority="1855" stopIfTrue="1" operator="between">
      <formula>"---"</formula>
      <formula>"---"</formula>
    </cfRule>
    <cfRule type="cellIs" dxfId="198" priority="1856" stopIfTrue="1" operator="between">
      <formula>"Quá"</formula>
      <formula>"Quá"</formula>
    </cfRule>
  </conditionalFormatting>
  <conditionalFormatting sqref="CV8">
    <cfRule type="cellIs" dxfId="197" priority="1857" stopIfTrue="1" operator="between">
      <formula>"Đến"</formula>
      <formula>"Đến"</formula>
    </cfRule>
    <cfRule type="cellIs" dxfId="196" priority="1858" stopIfTrue="1" operator="between">
      <formula>"Quá"</formula>
      <formula>"Quá"</formula>
    </cfRule>
    <cfRule type="expression" dxfId="195" priority="1859" stopIfTrue="1">
      <formula>IF(OR(CV8="Lương Sớm Hưu",CV8="Nâng Ngạch Hưu"),1,0)</formula>
    </cfRule>
  </conditionalFormatting>
  <conditionalFormatting sqref="DD8">
    <cfRule type="expression" dxfId="194" priority="1860" stopIfTrue="1">
      <formula>IF(DD8="Nâg Ngạch sau TB",1,0)</formula>
    </cfRule>
    <cfRule type="expression" dxfId="193" priority="1861" stopIfTrue="1">
      <formula>IF(DD8="Nâg Lươg Sớm sau TB",1,0)</formula>
    </cfRule>
    <cfRule type="expression" dxfId="192" priority="1862" stopIfTrue="1">
      <formula>IF(DD8="Nâg PC TNVK cùng QĐ",1,0)</formula>
    </cfRule>
  </conditionalFormatting>
  <conditionalFormatting sqref="BU11:BU12">
    <cfRule type="expression" dxfId="191" priority="661" stopIfTrue="1">
      <formula>IF(BV11="Trên 45",1,0)</formula>
    </cfRule>
    <cfRule type="expression" dxfId="190" priority="662" stopIfTrue="1">
      <formula>IF(BV11="30 - 45",1,0)</formula>
    </cfRule>
    <cfRule type="expression" dxfId="189" priority="663" stopIfTrue="1">
      <formula>IF(BV11="Dưới 30",1,0)</formula>
    </cfRule>
  </conditionalFormatting>
  <conditionalFormatting sqref="DD11:DD13">
    <cfRule type="expression" dxfId="188" priority="659" stopIfTrue="1">
      <formula>IF(DE11&gt;0,1,0)</formula>
    </cfRule>
    <cfRule type="expression" dxfId="187" priority="660" stopIfTrue="1">
      <formula>IF(DE11=0,1,0)</formula>
    </cfRule>
  </conditionalFormatting>
  <conditionalFormatting sqref="DJ11:DJ13">
    <cfRule type="cellIs" dxfId="186" priority="656" stopIfTrue="1" operator="between">
      <formula>"Hưu"</formula>
      <formula>"Hưu"</formula>
    </cfRule>
    <cfRule type="cellIs" dxfId="185" priority="657" stopIfTrue="1" operator="between">
      <formula>"---"</formula>
      <formula>"---"</formula>
    </cfRule>
    <cfRule type="cellIs" dxfId="184" priority="658" stopIfTrue="1" operator="between">
      <formula>"Quá"</formula>
      <formula>"Quá"</formula>
    </cfRule>
  </conditionalFormatting>
  <conditionalFormatting sqref="DA11:DA13">
    <cfRule type="cellIs" dxfId="183" priority="653" stopIfTrue="1" operator="between">
      <formula>"Đến"</formula>
      <formula>"Đến"</formula>
    </cfRule>
    <cfRule type="cellIs" dxfId="182" priority="654" stopIfTrue="1" operator="between">
      <formula>"Quá"</formula>
      <formula>"Quá"</formula>
    </cfRule>
    <cfRule type="expression" dxfId="181" priority="655" stopIfTrue="1">
      <formula>IF(OR(DA11="Lương Sớm Hưu",DA11="Nâng Ngạch Hưu"),1,0)</formula>
    </cfRule>
  </conditionalFormatting>
  <conditionalFormatting sqref="DI11:DI13">
    <cfRule type="expression" dxfId="180" priority="650" stopIfTrue="1">
      <formula>IF(DI11="Nâg Ngạch sau TB",1,0)</formula>
    </cfRule>
    <cfRule type="expression" dxfId="179" priority="651" stopIfTrue="1">
      <formula>IF(DI11="Nâg Lươg Sớm sau TB",1,0)</formula>
    </cfRule>
    <cfRule type="expression" dxfId="178" priority="652" stopIfTrue="1">
      <formula>IF(DI11="Nâg PC TNVK cùng QĐ",1,0)</formula>
    </cfRule>
  </conditionalFormatting>
  <conditionalFormatting sqref="BU14">
    <cfRule type="expression" dxfId="177" priority="677" stopIfTrue="1">
      <formula>IF(BV14="Trên 45",1,0)</formula>
    </cfRule>
    <cfRule type="expression" dxfId="176" priority="678" stopIfTrue="1">
      <formula>IF(BV14="30 - 45",1,0)</formula>
    </cfRule>
    <cfRule type="expression" dxfId="175" priority="679" stopIfTrue="1">
      <formula>IF(BV14="Dưới 30",1,0)</formula>
    </cfRule>
  </conditionalFormatting>
  <conditionalFormatting sqref="DD14">
    <cfRule type="expression" dxfId="174" priority="675" stopIfTrue="1">
      <formula>IF(DE14&gt;0,1,0)</formula>
    </cfRule>
    <cfRule type="expression" dxfId="173" priority="676" stopIfTrue="1">
      <formula>IF(DE14=0,1,0)</formula>
    </cfRule>
  </conditionalFormatting>
  <conditionalFormatting sqref="DJ14 BL14">
    <cfRule type="cellIs" dxfId="172" priority="672" stopIfTrue="1" operator="between">
      <formula>"Hưu"</formula>
      <formula>"Hưu"</formula>
    </cfRule>
    <cfRule type="cellIs" dxfId="171" priority="673" stopIfTrue="1" operator="between">
      <formula>"---"</formula>
      <formula>"---"</formula>
    </cfRule>
    <cfRule type="cellIs" dxfId="170" priority="674" stopIfTrue="1" operator="between">
      <formula>"Quá"</formula>
      <formula>"Quá"</formula>
    </cfRule>
  </conditionalFormatting>
  <conditionalFormatting sqref="BD14 DA14">
    <cfRule type="cellIs" dxfId="169" priority="669" stopIfTrue="1" operator="between">
      <formula>"Đến"</formula>
      <formula>"Đến"</formula>
    </cfRule>
    <cfRule type="cellIs" dxfId="168" priority="670" stopIfTrue="1" operator="between">
      <formula>"Quá"</formula>
      <formula>"Quá"</formula>
    </cfRule>
    <cfRule type="expression" dxfId="167" priority="671" stopIfTrue="1">
      <formula>IF(OR(BD14="Lương Sớm Hưu",BD14="Nâng Ngạch Hưu"),1,0)</formula>
    </cfRule>
  </conditionalFormatting>
  <conditionalFormatting sqref="BK14 DI14">
    <cfRule type="expression" dxfId="166" priority="666" stopIfTrue="1">
      <formula>IF(BK14="Nâg Ngạch sau TB",1,0)</formula>
    </cfRule>
    <cfRule type="expression" dxfId="165" priority="667" stopIfTrue="1">
      <formula>IF(BK14="Nâg Lươg Sớm sau TB",1,0)</formula>
    </cfRule>
    <cfRule type="expression" dxfId="164" priority="668" stopIfTrue="1">
      <formula>IF(BK14="Nâg PC TNVK cùng QĐ",1,0)</formula>
    </cfRule>
  </conditionalFormatting>
  <conditionalFormatting sqref="A14">
    <cfRule type="expression" dxfId="163" priority="664" stopIfTrue="1">
      <formula>IF(#REF!="Hưu",1,0)</formula>
    </cfRule>
    <cfRule type="expression" dxfId="162" priority="665" stopIfTrue="1">
      <formula>IF(#REF!="Quá",1,0)</formula>
    </cfRule>
  </conditionalFormatting>
  <conditionalFormatting sqref="A11:A13">
    <cfRule type="expression" dxfId="161" priority="648" stopIfTrue="1">
      <formula>IF(#REF!="Hưu",1,0)</formula>
    </cfRule>
    <cfRule type="expression" dxfId="160" priority="649" stopIfTrue="1">
      <formula>IF(#REF!="Quá",1,0)</formula>
    </cfRule>
  </conditionalFormatting>
  <conditionalFormatting sqref="DK30:DK45 BJ30:BJ45">
    <cfRule type="cellIs" dxfId="159" priority="150" stopIfTrue="1" operator="between">
      <formula>"Hưu"</formula>
      <formula>"Hưu"</formula>
    </cfRule>
    <cfRule type="cellIs" dxfId="158" priority="151" stopIfTrue="1" operator="between">
      <formula>"---"</formula>
      <formula>"---"</formula>
    </cfRule>
    <cfRule type="cellIs" dxfId="157" priority="152" stopIfTrue="1" operator="between">
      <formula>"Quá"</formula>
      <formula>"Quá"</formula>
    </cfRule>
  </conditionalFormatting>
  <conditionalFormatting sqref="BD16:BD29 BB30:BB45 DB30:DB45">
    <cfRule type="cellIs" dxfId="156" priority="148" stopIfTrue="1" operator="between">
      <formula>"Đến"</formula>
      <formula>"Đến"</formula>
    </cfRule>
    <cfRule type="cellIs" dxfId="155" priority="149" stopIfTrue="1" operator="between">
      <formula>"Quá"</formula>
      <formula>"Quá"</formula>
    </cfRule>
  </conditionalFormatting>
  <conditionalFormatting sqref="BL16:BL29">
    <cfRule type="cellIs" dxfId="154" priority="145" stopIfTrue="1" operator="between">
      <formula>"Hưu"</formula>
      <formula>"Hưu"</formula>
    </cfRule>
    <cfRule type="cellIs" dxfId="153" priority="146" stopIfTrue="1" operator="between">
      <formula>"---"</formula>
      <formula>"---"</formula>
    </cfRule>
    <cfRule type="cellIs" dxfId="152" priority="147" stopIfTrue="1" operator="between">
      <formula>"Quá"</formula>
      <formula>"Quá"</formula>
    </cfRule>
  </conditionalFormatting>
  <conditionalFormatting sqref="BT16:BT29">
    <cfRule type="expression" dxfId="151" priority="142" stopIfTrue="1">
      <formula>IF(AND(#REF!&gt;0,#REF!&lt;5),1,0)</formula>
    </cfRule>
    <cfRule type="expression" dxfId="150" priority="143" stopIfTrue="1">
      <formula>IF(#REF!=5,1,0)</formula>
    </cfRule>
    <cfRule type="expression" dxfId="149" priority="144" stopIfTrue="1">
      <formula>IF(#REF!&gt;5,1,0)</formula>
    </cfRule>
  </conditionalFormatting>
  <conditionalFormatting sqref="BD16:BD29">
    <cfRule type="expression" dxfId="148" priority="141" stopIfTrue="1">
      <formula>IF(OR(#REF!="Lương Sớm Hưu",#REF!="Nâng Ngạch Hưu"),1,0)</formula>
    </cfRule>
  </conditionalFormatting>
  <conditionalFormatting sqref="BK16:BK29">
    <cfRule type="expression" dxfId="147" priority="138" stopIfTrue="1">
      <formula>IF(#REF!="Nâg Ngạch sau TB",1,0)</formula>
    </cfRule>
    <cfRule type="expression" dxfId="146" priority="139" stopIfTrue="1">
      <formula>IF(#REF!="Nâg Lươg Sớm sau TB",1,0)</formula>
    </cfRule>
    <cfRule type="expression" dxfId="145" priority="140" stopIfTrue="1">
      <formula>IF(#REF!="Nâg PC TNVK cùng QĐ",1,0)</formula>
    </cfRule>
  </conditionalFormatting>
  <conditionalFormatting sqref="BD46">
    <cfRule type="cellIs" dxfId="144" priority="136" stopIfTrue="1" operator="between">
      <formula>"Đến"</formula>
      <formula>"Đến"</formula>
    </cfRule>
    <cfRule type="cellIs" dxfId="143" priority="137" stopIfTrue="1" operator="between">
      <formula>"Quá"</formula>
      <formula>"Quá"</formula>
    </cfRule>
  </conditionalFormatting>
  <conditionalFormatting sqref="BL46">
    <cfRule type="cellIs" dxfId="142" priority="133" stopIfTrue="1" operator="between">
      <formula>"Hưu"</formula>
      <formula>"Hưu"</formula>
    </cfRule>
    <cfRule type="cellIs" dxfId="141" priority="134" stopIfTrue="1" operator="between">
      <formula>"---"</formula>
      <formula>"---"</formula>
    </cfRule>
    <cfRule type="cellIs" dxfId="140" priority="135" stopIfTrue="1" operator="between">
      <formula>"Quá"</formula>
      <formula>"Quá"</formula>
    </cfRule>
  </conditionalFormatting>
  <conditionalFormatting sqref="BT46">
    <cfRule type="expression" dxfId="139" priority="130" stopIfTrue="1">
      <formula>IF(AND(#REF!&gt;0,#REF!&lt;5),1,0)</formula>
    </cfRule>
    <cfRule type="expression" dxfId="138" priority="131" stopIfTrue="1">
      <formula>IF(#REF!=5,1,0)</formula>
    </cfRule>
    <cfRule type="expression" dxfId="137" priority="132" stopIfTrue="1">
      <formula>IF(#REF!&gt;5,1,0)</formula>
    </cfRule>
  </conditionalFormatting>
  <conditionalFormatting sqref="BD46">
    <cfRule type="expression" dxfId="136" priority="129" stopIfTrue="1">
      <formula>IF(OR(#REF!="Lương Sớm Hưu",#REF!="Nâng Ngạch Hưu"),1,0)</formula>
    </cfRule>
  </conditionalFormatting>
  <conditionalFormatting sqref="BK46">
    <cfRule type="expression" dxfId="135" priority="126" stopIfTrue="1">
      <formula>IF(#REF!="Nâg Ngạch sau TB",1,0)</formula>
    </cfRule>
    <cfRule type="expression" dxfId="134" priority="127" stopIfTrue="1">
      <formula>IF(#REF!="Nâg Lươg Sớm sau TB",1,0)</formula>
    </cfRule>
    <cfRule type="expression" dxfId="133" priority="128" stopIfTrue="1">
      <formula>IF(#REF!="Nâg PC TNVK cùng QĐ",1,0)</formula>
    </cfRule>
  </conditionalFormatting>
  <conditionalFormatting sqref="BR30:BR45">
    <cfRule type="expression" dxfId="132" priority="123" stopIfTrue="1">
      <formula>IF(AND(#REF!&gt;0,#REF!&lt;5),1,0)</formula>
    </cfRule>
    <cfRule type="expression" dxfId="131" priority="124" stopIfTrue="1">
      <formula>IF(#REF!=5,1,0)</formula>
    </cfRule>
    <cfRule type="expression" dxfId="130" priority="125" stopIfTrue="1">
      <formula>IF(#REF!&gt;5,1,0)</formula>
    </cfRule>
  </conditionalFormatting>
  <conditionalFormatting sqref="A30:A45">
    <cfRule type="expression" dxfId="129" priority="121" stopIfTrue="1">
      <formula>IF(#REF!="Hưu",1,0)</formula>
    </cfRule>
    <cfRule type="expression" dxfId="128" priority="122" stopIfTrue="1">
      <formula>IF(#REF!="Quá",1,0)</formula>
    </cfRule>
  </conditionalFormatting>
  <conditionalFormatting sqref="BE30:BE45 DE30:DE45">
    <cfRule type="expression" dxfId="127" priority="119" stopIfTrue="1">
      <formula>IF(#REF!&gt;0,1,0)</formula>
    </cfRule>
    <cfRule type="expression" dxfId="126" priority="120" stopIfTrue="1">
      <formula>IF(#REF!=0,1,0)</formula>
    </cfRule>
  </conditionalFormatting>
  <conditionalFormatting sqref="BB30:BB45">
    <cfRule type="expression" dxfId="125" priority="118" stopIfTrue="1">
      <formula>IF(OR(#REF!="Lương Sớm Hưu",#REF!="Nâng Ngạch Hưu"),1,0)</formula>
    </cfRule>
  </conditionalFormatting>
  <conditionalFormatting sqref="BI30:BI45 DJ30:DJ45">
    <cfRule type="expression" dxfId="124" priority="115" stopIfTrue="1">
      <formula>IF(#REF!="Nâg Ngạch sau TB",1,0)</formula>
    </cfRule>
    <cfRule type="expression" dxfId="123" priority="116" stopIfTrue="1">
      <formula>IF(#REF!="Nâg Lươg Sớm sau TB",1,0)</formula>
    </cfRule>
    <cfRule type="expression" dxfId="122" priority="117" stopIfTrue="1">
      <formula>IF(#REF!="Nâg PC TNVK cùng QĐ",1,0)</formula>
    </cfRule>
  </conditionalFormatting>
  <conditionalFormatting sqref="DB30:DB45">
    <cfRule type="expression" dxfId="121" priority="114" stopIfTrue="1">
      <formula>IF(OR(#REF!="Lương Sớm Hưu",#REF!="Nâng Ngạch Hưu"),1,0)</formula>
    </cfRule>
  </conditionalFormatting>
  <conditionalFormatting sqref="DN30:DN45">
    <cfRule type="expression" dxfId="120" priority="111" stopIfTrue="1">
      <formula>IF(FF30="Hưu",1,0)</formula>
    </cfRule>
    <cfRule type="expression" dxfId="119" priority="112" stopIfTrue="1">
      <formula>IF(FF30="Quá",1,0)</formula>
    </cfRule>
    <cfRule type="expression" dxfId="118" priority="113" stopIfTrue="1">
      <formula>IF(EN30="Lùi",1,0)</formula>
    </cfRule>
  </conditionalFormatting>
  <conditionalFormatting sqref="DU30:DU45">
    <cfRule type="expression" dxfId="117" priority="109" stopIfTrue="1">
      <formula>IF(FK30="Hưu",1,0)</formula>
    </cfRule>
    <cfRule type="expression" dxfId="116" priority="110" stopIfTrue="1">
      <formula>IF(FK30="Quá",1,0)</formula>
    </cfRule>
  </conditionalFormatting>
  <conditionalFormatting sqref="CU30:CU45">
    <cfRule type="cellIs" dxfId="115" priority="106" stopIfTrue="1" operator="between">
      <formula>"Hưu"</formula>
      <formula>"Hưu"</formula>
    </cfRule>
    <cfRule type="cellIs" dxfId="114" priority="107" stopIfTrue="1" operator="between">
      <formula>"---"</formula>
      <formula>"---"</formula>
    </cfRule>
    <cfRule type="cellIs" dxfId="113" priority="108" stopIfTrue="1" operator="between">
      <formula>"Quá"</formula>
      <formula>"Quá"</formula>
    </cfRule>
  </conditionalFormatting>
  <conditionalFormatting sqref="BF30:BF45">
    <cfRule type="cellIs" dxfId="112" priority="105" stopIfTrue="1" operator="between">
      <formula>4</formula>
      <formula>4</formula>
    </cfRule>
  </conditionalFormatting>
  <conditionalFormatting sqref="BE30:BE45">
    <cfRule type="expression" dxfId="111" priority="103" stopIfTrue="1">
      <formula>IF(BE30="Đến %",1,0)</formula>
    </cfRule>
    <cfRule type="expression" dxfId="110" priority="104" stopIfTrue="1">
      <formula>IF(BE30="Dừng %",1,0)</formula>
    </cfRule>
  </conditionalFormatting>
  <conditionalFormatting sqref="BW30:BW45">
    <cfRule type="cellIs" dxfId="109" priority="102" stopIfTrue="1" operator="between">
      <formula>0</formula>
      <formula>13</formula>
    </cfRule>
  </conditionalFormatting>
  <conditionalFormatting sqref="EC30:EC45">
    <cfRule type="expression" dxfId="108" priority="101" stopIfTrue="1">
      <formula>IF(EC30="Sửa",1,0)</formula>
    </cfRule>
  </conditionalFormatting>
  <conditionalFormatting sqref="BS30:BS45">
    <cfRule type="expression" dxfId="107" priority="100" stopIfTrue="1">
      <formula>IF(AND(BX30=0,OR($AA$4-BS30&gt;BX30,$AA$4-BS30&lt;BX30)),1,0)</formula>
    </cfRule>
  </conditionalFormatting>
  <conditionalFormatting sqref="BM30:BM45">
    <cfRule type="expression" dxfId="106" priority="99" stopIfTrue="1">
      <formula>IF(AND(BX30=0,BM30&gt;0),1,0)</formula>
    </cfRule>
  </conditionalFormatting>
  <conditionalFormatting sqref="BI30:BJ45">
    <cfRule type="expression" dxfId="105" priority="98" stopIfTrue="1">
      <formula>IF(AND(BR30=0,OR($AA$4-BI30&gt;BR30,$AA$4-BI30&lt;BR30)),1,0)</formula>
    </cfRule>
  </conditionalFormatting>
  <conditionalFormatting sqref="BQ30:BQ45">
    <cfRule type="expression" dxfId="104" priority="97" stopIfTrue="1">
      <formula>IF(AND(BN30=0,OR($AA$4-BQ30&gt;BN30,$AA$4-BQ30&lt;BN30)),1,0)</formula>
    </cfRule>
  </conditionalFormatting>
  <conditionalFormatting sqref="A30:A45">
    <cfRule type="expression" dxfId="103" priority="91" stopIfTrue="1">
      <formula>IF(CV30="Hưu",1,0)</formula>
    </cfRule>
    <cfRule type="expression" dxfId="102" priority="92" stopIfTrue="1">
      <formula>IF(CV30="Quá",1,0)</formula>
    </cfRule>
    <cfRule type="expression" dxfId="101" priority="93" stopIfTrue="1">
      <formula>IF(AM30="Lùi",1,0)</formula>
    </cfRule>
  </conditionalFormatting>
  <conditionalFormatting sqref="BJ47:BJ50 DK47:DK50">
    <cfRule type="cellIs" dxfId="100" priority="88" stopIfTrue="1" operator="between">
      <formula>"Hưu"</formula>
      <formula>"Hưu"</formula>
    </cfRule>
    <cfRule type="cellIs" dxfId="99" priority="89" stopIfTrue="1" operator="between">
      <formula>"---"</formula>
      <formula>"---"</formula>
    </cfRule>
    <cfRule type="cellIs" dxfId="98" priority="90" stopIfTrue="1" operator="between">
      <formula>"Quá"</formula>
      <formula>"Quá"</formula>
    </cfRule>
  </conditionalFormatting>
  <conditionalFormatting sqref="DB47:DB50 BB47:BB50">
    <cfRule type="cellIs" dxfId="97" priority="86" stopIfTrue="1" operator="between">
      <formula>"Đến"</formula>
      <formula>"Đến"</formula>
    </cfRule>
    <cfRule type="cellIs" dxfId="96" priority="87" stopIfTrue="1" operator="between">
      <formula>"Quá"</formula>
      <formula>"Quá"</formula>
    </cfRule>
  </conditionalFormatting>
  <conditionalFormatting sqref="BR47:BR50">
    <cfRule type="expression" dxfId="95" priority="83" stopIfTrue="1">
      <formula>IF(AND(#REF!&gt;0,#REF!&lt;5),1,0)</formula>
    </cfRule>
    <cfRule type="expression" dxfId="94" priority="84" stopIfTrue="1">
      <formula>IF(#REF!=5,1,0)</formula>
    </cfRule>
    <cfRule type="expression" dxfId="93" priority="85" stopIfTrue="1">
      <formula>IF(#REF!&gt;5,1,0)</formula>
    </cfRule>
  </conditionalFormatting>
  <conditionalFormatting sqref="A47:A50">
    <cfRule type="expression" dxfId="92" priority="81" stopIfTrue="1">
      <formula>IF(#REF!="Hưu",1,0)</formula>
    </cfRule>
    <cfRule type="expression" dxfId="91" priority="82" stopIfTrue="1">
      <formula>IF(#REF!="Quá",1,0)</formula>
    </cfRule>
  </conditionalFormatting>
  <conditionalFormatting sqref="BE47:BE50">
    <cfRule type="expression" dxfId="90" priority="79" stopIfTrue="1">
      <formula>IF(#REF!&gt;0,1,0)</formula>
    </cfRule>
    <cfRule type="expression" dxfId="89" priority="80" stopIfTrue="1">
      <formula>IF(#REF!=0,1,0)</formula>
    </cfRule>
  </conditionalFormatting>
  <conditionalFormatting sqref="BB47:BB50">
    <cfRule type="expression" dxfId="88" priority="78" stopIfTrue="1">
      <formula>IF(OR(#REF!="Lương Sớm Hưu",#REF!="Nâng Ngạch Hưu"),1,0)</formula>
    </cfRule>
  </conditionalFormatting>
  <conditionalFormatting sqref="BI47:BI50">
    <cfRule type="expression" dxfId="87" priority="75" stopIfTrue="1">
      <formula>IF(#REF!="Nâg Ngạch sau TB",1,0)</formula>
    </cfRule>
    <cfRule type="expression" dxfId="86" priority="76" stopIfTrue="1">
      <formula>IF(#REF!="Nâg Lươg Sớm sau TB",1,0)</formula>
    </cfRule>
    <cfRule type="expression" dxfId="85" priority="77" stopIfTrue="1">
      <formula>IF(#REF!="Nâg PC TNVK cùng QĐ",1,0)</formula>
    </cfRule>
  </conditionalFormatting>
  <conditionalFormatting sqref="DE47:DE50">
    <cfRule type="expression" dxfId="84" priority="73" stopIfTrue="1">
      <formula>IF(#REF!&gt;0,1,0)</formula>
    </cfRule>
    <cfRule type="expression" dxfId="83" priority="74" stopIfTrue="1">
      <formula>IF(#REF!=0,1,0)</formula>
    </cfRule>
  </conditionalFormatting>
  <conditionalFormatting sqref="DB47:DB50">
    <cfRule type="expression" dxfId="82" priority="72" stopIfTrue="1">
      <formula>IF(OR(#REF!="Lương Sớm Hưu",#REF!="Nâng Ngạch Hưu"),1,0)</formula>
    </cfRule>
  </conditionalFormatting>
  <conditionalFormatting sqref="DJ47:DJ50">
    <cfRule type="expression" dxfId="81" priority="69" stopIfTrue="1">
      <formula>IF(#REF!="Nâg Ngạch sau TB",1,0)</formula>
    </cfRule>
    <cfRule type="expression" dxfId="80" priority="70" stopIfTrue="1">
      <formula>IF(#REF!="Nâg Lươg Sớm sau TB",1,0)</formula>
    </cfRule>
    <cfRule type="expression" dxfId="79" priority="71" stopIfTrue="1">
      <formula>IF(#REF!="Nâg PC TNVK cùng QĐ",1,0)</formula>
    </cfRule>
  </conditionalFormatting>
  <conditionalFormatting sqref="C17:C48">
    <cfRule type="expression" dxfId="78" priority="4" stopIfTrue="1">
      <formula>IF(CX17="Hưu",1,0)</formula>
    </cfRule>
    <cfRule type="expression" dxfId="77" priority="5" stopIfTrue="1">
      <formula>IF(CX17="Quá",1,0)</formula>
    </cfRule>
    <cfRule type="expression" dxfId="76" priority="6" stopIfTrue="1">
      <formula>IF(BC17="Lùi",1,0)</formula>
    </cfRule>
  </conditionalFormatting>
  <conditionalFormatting sqref="C50">
    <cfRule type="expression" dxfId="75" priority="1" stopIfTrue="1">
      <formula>IF(CX50="Hưu",1,0)</formula>
    </cfRule>
    <cfRule type="expression" dxfId="74" priority="2" stopIfTrue="1">
      <formula>IF(CX50="Quá",1,0)</formula>
    </cfRule>
    <cfRule type="expression" dxfId="73" priority="3" stopIfTrue="1">
      <formula>IF(BC50="Lùi",1,0)</formula>
    </cfRule>
  </conditionalFormatting>
  <pageMargins left="0.42" right="0.27" top="0.41" bottom="0.37" header="0.17" footer="0.17"/>
  <pageSetup paperSize="9" orientation="landscape" r:id="rId1"/>
  <headerFooter alignWithMargins="0">
    <oddHeader>&amp;R&amp;"Arial,Bold"&amp;14&amp;UBIỂU 1- TB</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50"/>
  <sheetViews>
    <sheetView showGridLines="0" showRuler="0" view="pageBreakPreview" topLeftCell="B1" zoomScaleNormal="100" zoomScaleSheetLayoutView="100" zoomScalePageLayoutView="85" workbookViewId="0">
      <selection activeCell="F4" sqref="F4"/>
    </sheetView>
  </sheetViews>
  <sheetFormatPr defaultRowHeight="12.75" x14ac:dyDescent="0.2"/>
  <cols>
    <col min="1" max="1" width="0.85546875" style="217" hidden="1" customWidth="1"/>
    <col min="2" max="2" width="4.5703125" style="538" customWidth="1"/>
    <col min="3" max="3" width="0.140625" style="538" hidden="1" customWidth="1"/>
    <col min="4" max="4" width="5.85546875" style="538" hidden="1" customWidth="1"/>
    <col min="5" max="5" width="16.7109375" style="538" customWidth="1"/>
    <col min="6" max="6" width="9.7109375" style="538" customWidth="1"/>
    <col min="7" max="7" width="2.85546875" style="538" hidden="1" customWidth="1"/>
    <col min="8" max="8" width="4.7109375" style="538" hidden="1" customWidth="1"/>
    <col min="9" max="9" width="3" style="538" hidden="1" customWidth="1"/>
    <col min="10" max="10" width="3.140625" style="538" hidden="1" customWidth="1"/>
    <col min="11" max="14" width="2.5703125" style="538" hidden="1" customWidth="1"/>
    <col min="15" max="15" width="3.7109375" style="538" hidden="1" customWidth="1"/>
    <col min="16" max="17" width="4" style="538" hidden="1" customWidth="1"/>
    <col min="18" max="18" width="16.42578125" style="152" hidden="1" customWidth="1"/>
    <col min="19" max="19" width="20.28515625" style="161" customWidth="1"/>
    <col min="20" max="20" width="1.85546875" style="538" hidden="1" customWidth="1"/>
    <col min="21" max="22" width="4.5703125" style="538" hidden="1" customWidth="1"/>
    <col min="23" max="23" width="15.28515625" style="495" customWidth="1"/>
    <col min="24" max="24" width="10.42578125" style="441" customWidth="1"/>
    <col min="25" max="25" width="17.28515625" style="538" hidden="1" customWidth="1"/>
    <col min="26" max="26" width="8.85546875" style="538" hidden="1" customWidth="1"/>
    <col min="27" max="27" width="6" style="538" hidden="1" customWidth="1"/>
    <col min="28" max="28" width="3.42578125" style="538" hidden="1" customWidth="1"/>
    <col min="29" max="29" width="1.42578125" style="538" hidden="1" customWidth="1"/>
    <col min="30" max="30" width="3.7109375" style="538" hidden="1" customWidth="1"/>
    <col min="31" max="37" width="5.85546875" style="441" hidden="1" customWidth="1"/>
    <col min="38" max="40" width="2.42578125" style="441" hidden="1" customWidth="1"/>
    <col min="41" max="41" width="3.28515625" style="538" hidden="1" customWidth="1"/>
    <col min="42" max="42" width="1.28515625" style="538" hidden="1" customWidth="1"/>
    <col min="43" max="43" width="3.42578125" style="538" hidden="1" customWidth="1"/>
    <col min="44" max="45" width="7" style="538" hidden="1" customWidth="1"/>
    <col min="46" max="46" width="3.7109375" style="538" hidden="1" customWidth="1"/>
    <col min="47" max="47" width="1.7109375" style="538" hidden="1" customWidth="1"/>
    <col min="48" max="48" width="3.140625" style="538" hidden="1" customWidth="1"/>
    <col min="49" max="49" width="1.7109375" style="538" hidden="1" customWidth="1"/>
    <col min="50" max="50" width="6.42578125" style="538" hidden="1" customWidth="1"/>
    <col min="51" max="51" width="9.140625" style="538" hidden="1" customWidth="1"/>
    <col min="52" max="52" width="7" style="538" hidden="1" customWidth="1"/>
    <col min="53" max="53" width="5.5703125" style="538" hidden="1" customWidth="1"/>
    <col min="54" max="56" width="9.140625" style="538" hidden="1" customWidth="1"/>
    <col min="57" max="57" width="7.5703125" style="441" hidden="1" customWidth="1"/>
    <col min="58" max="58" width="4.28515625" style="538" customWidth="1"/>
    <col min="59" max="59" width="4.140625" style="538" customWidth="1"/>
    <col min="60" max="60" width="2.5703125" style="538" hidden="1" customWidth="1"/>
    <col min="61" max="61" width="0.85546875" style="151" hidden="1" customWidth="1"/>
    <col min="62" max="62" width="4" style="88" customWidth="1"/>
    <col min="63" max="63" width="3" style="151" customWidth="1"/>
    <col min="64" max="64" width="7.28515625" style="151" customWidth="1"/>
    <col min="65" max="65" width="6" style="417" customWidth="1"/>
    <col min="66" max="66" width="9.28515625" style="151" customWidth="1"/>
    <col min="67" max="67" width="3.42578125" style="538" customWidth="1"/>
    <col min="68" max="68" width="3.140625" style="538" customWidth="1"/>
    <col min="69" max="69" width="3.140625" style="88" hidden="1" customWidth="1"/>
    <col min="70" max="70" width="0.85546875" style="151" hidden="1" customWidth="1"/>
    <col min="71" max="71" width="3" style="441" customWidth="1"/>
    <col min="72" max="72" width="2" style="151" customWidth="1"/>
    <col min="73" max="73" width="7" style="151" customWidth="1"/>
    <col min="74" max="74" width="12.42578125" style="538" customWidth="1"/>
    <col min="75" max="75" width="9.140625" style="568" hidden="1" customWidth="1"/>
    <col min="76" max="76" width="7.42578125" style="584" hidden="1" customWidth="1"/>
    <col min="77" max="77" width="9.140625" style="584" hidden="1" customWidth="1"/>
    <col min="78" max="79" width="9.140625" style="580" hidden="1" customWidth="1"/>
    <col min="80" max="80" width="7.42578125" style="580" hidden="1" customWidth="1"/>
    <col min="81" max="82" width="0" style="580" hidden="1" customWidth="1"/>
    <col min="83" max="83" width="10.28515625" style="417" hidden="1" customWidth="1"/>
    <col min="84" max="84" width="13.85546875" style="417" hidden="1" customWidth="1"/>
    <col min="85" max="86" width="0" style="580" hidden="1" customWidth="1"/>
    <col min="87" max="87" width="13.85546875" style="580" hidden="1" customWidth="1"/>
    <col min="88" max="95" width="0" style="580" hidden="1" customWidth="1"/>
    <col min="96" max="105" width="0" style="556" hidden="1" customWidth="1"/>
    <col min="106" max="171" width="0" style="217" hidden="1" customWidth="1"/>
    <col min="172" max="216" width="9.140625" style="558"/>
    <col min="217" max="232" width="9.140625" style="419"/>
    <col min="233" max="16384" width="9.140625" style="217"/>
  </cols>
  <sheetData>
    <row r="1" spans="1:232" s="89" customFormat="1" ht="18" customHeight="1" x14ac:dyDescent="0.2">
      <c r="A1" s="1"/>
      <c r="B1" s="819" t="s">
        <v>67</v>
      </c>
      <c r="C1" s="819"/>
      <c r="D1" s="819"/>
      <c r="E1" s="819"/>
      <c r="F1" s="819"/>
      <c r="G1" s="819"/>
      <c r="H1" s="819"/>
      <c r="I1" s="819"/>
      <c r="J1" s="819"/>
      <c r="K1" s="819"/>
      <c r="L1" s="819"/>
      <c r="M1" s="819"/>
      <c r="N1" s="819"/>
      <c r="O1" s="819"/>
      <c r="P1" s="819"/>
      <c r="Q1" s="819"/>
      <c r="R1" s="819"/>
      <c r="S1" s="820" t="s">
        <v>15</v>
      </c>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c r="AW1" s="820"/>
      <c r="AX1" s="820"/>
      <c r="AY1" s="820"/>
      <c r="AZ1" s="820"/>
      <c r="BA1" s="820"/>
      <c r="BB1" s="820"/>
      <c r="BC1" s="820"/>
      <c r="BD1" s="820"/>
      <c r="BE1" s="820"/>
      <c r="BF1" s="820"/>
      <c r="BG1" s="820"/>
      <c r="BH1" s="820"/>
      <c r="BI1" s="820"/>
      <c r="BJ1" s="820"/>
      <c r="BK1" s="820"/>
      <c r="BL1" s="820"/>
      <c r="BM1" s="820"/>
      <c r="BN1" s="820"/>
      <c r="BO1" s="820"/>
      <c r="BP1" s="820"/>
      <c r="BQ1" s="820"/>
      <c r="BR1" s="820"/>
      <c r="BS1" s="820"/>
      <c r="BT1" s="820"/>
      <c r="BU1" s="820"/>
      <c r="BW1" s="568"/>
      <c r="BX1" s="569"/>
      <c r="BY1" s="569"/>
      <c r="BZ1" s="570"/>
      <c r="CA1" s="570"/>
      <c r="CB1" s="570"/>
      <c r="CC1" s="570"/>
      <c r="CD1" s="570"/>
      <c r="CE1" s="571"/>
      <c r="CF1" s="571"/>
      <c r="CG1" s="570"/>
      <c r="CH1" s="570"/>
      <c r="CI1" s="570"/>
      <c r="CJ1" s="570"/>
      <c r="CK1" s="570"/>
      <c r="CL1" s="570"/>
      <c r="CM1" s="570"/>
      <c r="CN1" s="570"/>
      <c r="CO1" s="570"/>
      <c r="CP1" s="570"/>
      <c r="CQ1" s="570"/>
      <c r="CR1" s="552"/>
      <c r="CS1" s="552"/>
      <c r="CT1" s="552"/>
      <c r="CU1" s="552"/>
      <c r="CV1" s="552"/>
      <c r="CW1" s="552"/>
      <c r="CX1" s="552"/>
      <c r="CY1" s="552"/>
      <c r="CZ1" s="552"/>
      <c r="DA1" s="552"/>
      <c r="FP1" s="551"/>
      <c r="FQ1" s="551"/>
      <c r="FR1" s="551"/>
      <c r="FS1" s="551"/>
      <c r="FT1" s="551"/>
      <c r="FU1" s="551"/>
      <c r="FV1" s="551"/>
      <c r="FW1" s="551"/>
      <c r="FX1" s="551"/>
      <c r="FY1" s="551"/>
      <c r="FZ1" s="551"/>
      <c r="GA1" s="551"/>
      <c r="GB1" s="551"/>
      <c r="GC1" s="551"/>
      <c r="GD1" s="551"/>
      <c r="GE1" s="551"/>
      <c r="GF1" s="551"/>
      <c r="GG1" s="551"/>
      <c r="GH1" s="551"/>
      <c r="GI1" s="551"/>
      <c r="GJ1" s="551"/>
      <c r="GK1" s="551"/>
      <c r="GL1" s="551"/>
      <c r="GM1" s="551"/>
      <c r="GN1" s="551"/>
      <c r="GO1" s="551"/>
      <c r="GP1" s="551"/>
      <c r="GQ1" s="551"/>
      <c r="GR1" s="551"/>
      <c r="GS1" s="551"/>
      <c r="GT1" s="551"/>
      <c r="GU1" s="551"/>
      <c r="GV1" s="551"/>
      <c r="GW1" s="551"/>
      <c r="GX1" s="551"/>
      <c r="GY1" s="551"/>
      <c r="GZ1" s="551"/>
      <c r="HA1" s="551"/>
      <c r="HB1" s="551"/>
      <c r="HC1" s="551"/>
      <c r="HD1" s="551"/>
      <c r="HE1" s="551"/>
      <c r="HF1" s="551"/>
      <c r="HG1" s="551"/>
      <c r="HH1" s="551"/>
      <c r="HI1" s="138"/>
      <c r="HJ1" s="138"/>
      <c r="HK1" s="138"/>
      <c r="HL1" s="138"/>
      <c r="HM1" s="138"/>
      <c r="HN1" s="138"/>
      <c r="HO1" s="138"/>
      <c r="HP1" s="138"/>
      <c r="HQ1" s="138"/>
      <c r="HR1" s="138"/>
      <c r="HS1" s="138"/>
      <c r="HT1" s="138"/>
      <c r="HU1" s="138"/>
      <c r="HV1" s="138"/>
      <c r="HW1" s="138"/>
      <c r="HX1" s="138"/>
    </row>
    <row r="2" spans="1:232" s="89" customFormat="1" ht="15.75" customHeight="1" x14ac:dyDescent="0.25">
      <c r="B2" s="820" t="s">
        <v>321</v>
      </c>
      <c r="C2" s="820"/>
      <c r="D2" s="820"/>
      <c r="E2" s="820"/>
      <c r="F2" s="820"/>
      <c r="G2" s="820"/>
      <c r="H2" s="820"/>
      <c r="I2" s="820"/>
      <c r="J2" s="820"/>
      <c r="K2" s="820"/>
      <c r="L2" s="820"/>
      <c r="M2" s="820"/>
      <c r="N2" s="820"/>
      <c r="O2" s="820"/>
      <c r="P2" s="820"/>
      <c r="Q2" s="820"/>
      <c r="R2" s="820"/>
      <c r="S2" s="821" t="s">
        <v>16</v>
      </c>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c r="AS2" s="821"/>
      <c r="AT2" s="821"/>
      <c r="AU2" s="821"/>
      <c r="AV2" s="821"/>
      <c r="AW2" s="821"/>
      <c r="AX2" s="821"/>
      <c r="AY2" s="821"/>
      <c r="AZ2" s="821"/>
      <c r="BA2" s="821"/>
      <c r="BB2" s="821"/>
      <c r="BC2" s="821"/>
      <c r="BD2" s="821"/>
      <c r="BE2" s="821"/>
      <c r="BF2" s="821"/>
      <c r="BG2" s="821"/>
      <c r="BH2" s="821"/>
      <c r="BI2" s="821"/>
      <c r="BJ2" s="821"/>
      <c r="BK2" s="821"/>
      <c r="BL2" s="821"/>
      <c r="BM2" s="821"/>
      <c r="BN2" s="821"/>
      <c r="BO2" s="821"/>
      <c r="BP2" s="821"/>
      <c r="BQ2" s="821"/>
      <c r="BR2" s="821"/>
      <c r="BS2" s="821"/>
      <c r="BT2" s="821"/>
      <c r="BU2" s="821"/>
      <c r="BW2" s="568"/>
      <c r="BX2" s="569"/>
      <c r="BY2" s="569"/>
      <c r="BZ2" s="570"/>
      <c r="CA2" s="570"/>
      <c r="CB2" s="570"/>
      <c r="CC2" s="570"/>
      <c r="CD2" s="570"/>
      <c r="CE2" s="571"/>
      <c r="CF2" s="571"/>
      <c r="CG2" s="570"/>
      <c r="CH2" s="570"/>
      <c r="CI2" s="570"/>
      <c r="CJ2" s="570"/>
      <c r="CK2" s="570"/>
      <c r="CL2" s="570"/>
      <c r="CM2" s="570"/>
      <c r="CN2" s="570"/>
      <c r="CO2" s="570"/>
      <c r="CP2" s="570"/>
      <c r="CQ2" s="570"/>
      <c r="CR2" s="552"/>
      <c r="CS2" s="552"/>
      <c r="CT2" s="552"/>
      <c r="CU2" s="552"/>
      <c r="CV2" s="552"/>
      <c r="CW2" s="552"/>
      <c r="CX2" s="552"/>
      <c r="CY2" s="552"/>
      <c r="CZ2" s="552"/>
      <c r="DA2" s="552"/>
      <c r="FP2" s="551"/>
      <c r="FQ2" s="551"/>
      <c r="FR2" s="551"/>
      <c r="FS2" s="551"/>
      <c r="FT2" s="551"/>
      <c r="FU2" s="551"/>
      <c r="FV2" s="551"/>
      <c r="FW2" s="551"/>
      <c r="FX2" s="551"/>
      <c r="FY2" s="551"/>
      <c r="FZ2" s="551"/>
      <c r="GA2" s="551"/>
      <c r="GB2" s="551"/>
      <c r="GC2" s="551"/>
      <c r="GD2" s="551"/>
      <c r="GE2" s="551"/>
      <c r="GF2" s="551"/>
      <c r="GG2" s="551"/>
      <c r="GH2" s="551"/>
      <c r="GI2" s="551"/>
      <c r="GJ2" s="551"/>
      <c r="GK2" s="551"/>
      <c r="GL2" s="551"/>
      <c r="GM2" s="551"/>
      <c r="GN2" s="551"/>
      <c r="GO2" s="551"/>
      <c r="GP2" s="551"/>
      <c r="GQ2" s="551"/>
      <c r="GR2" s="551"/>
      <c r="GS2" s="551"/>
      <c r="GT2" s="551"/>
      <c r="GU2" s="551"/>
      <c r="GV2" s="551"/>
      <c r="GW2" s="551"/>
      <c r="GX2" s="551"/>
      <c r="GY2" s="551"/>
      <c r="GZ2" s="551"/>
      <c r="HA2" s="551"/>
      <c r="HB2" s="551"/>
      <c r="HC2" s="551"/>
      <c r="HD2" s="551"/>
      <c r="HE2" s="551"/>
      <c r="HF2" s="551"/>
      <c r="HG2" s="551"/>
      <c r="HH2" s="551"/>
      <c r="HI2" s="138"/>
      <c r="HJ2" s="138"/>
      <c r="HK2" s="138"/>
      <c r="HL2" s="138"/>
      <c r="HM2" s="138"/>
      <c r="HN2" s="138"/>
      <c r="HO2" s="138"/>
      <c r="HP2" s="138"/>
      <c r="HQ2" s="138"/>
      <c r="HR2" s="138"/>
      <c r="HS2" s="138"/>
      <c r="HT2" s="138"/>
      <c r="HU2" s="138"/>
      <c r="HV2" s="138"/>
      <c r="HW2" s="138"/>
      <c r="HX2" s="138"/>
    </row>
    <row r="3" spans="1:232" s="85" customFormat="1" ht="3.75" customHeight="1" x14ac:dyDescent="0.3">
      <c r="A3" s="86"/>
      <c r="B3" s="538"/>
      <c r="C3" s="86"/>
      <c r="D3" s="86"/>
      <c r="E3" s="46"/>
      <c r="F3" s="47"/>
      <c r="G3" s="47"/>
      <c r="H3" s="47"/>
      <c r="I3" s="47"/>
      <c r="J3" s="48"/>
      <c r="K3" s="49"/>
      <c r="L3" s="49"/>
      <c r="M3" s="49"/>
      <c r="N3" s="49"/>
      <c r="O3" s="49"/>
      <c r="P3" s="49"/>
      <c r="Q3" s="49"/>
      <c r="R3" s="32"/>
      <c r="S3" s="161"/>
      <c r="T3" s="46"/>
      <c r="U3" s="46"/>
      <c r="V3" s="46"/>
      <c r="W3" s="197"/>
      <c r="X3" s="45"/>
      <c r="Y3" s="45"/>
      <c r="Z3" s="47"/>
      <c r="AA3" s="538"/>
      <c r="AB3" s="538"/>
      <c r="AC3" s="538"/>
      <c r="AD3" s="538"/>
      <c r="AE3" s="441"/>
      <c r="AF3" s="441"/>
      <c r="AG3" s="441"/>
      <c r="AH3" s="441"/>
      <c r="AI3" s="441"/>
      <c r="AJ3" s="441"/>
      <c r="AK3" s="441"/>
      <c r="AL3" s="441"/>
      <c r="AM3" s="441"/>
      <c r="AN3" s="441"/>
      <c r="AO3" s="538"/>
      <c r="AP3" s="538"/>
      <c r="AQ3" s="538"/>
      <c r="AR3" s="538"/>
      <c r="AS3" s="538"/>
      <c r="AT3" s="538"/>
      <c r="AU3" s="538"/>
      <c r="AV3" s="538"/>
      <c r="AW3" s="538"/>
      <c r="AX3" s="538"/>
      <c r="AY3" s="49"/>
      <c r="AZ3" s="538"/>
      <c r="BA3" s="538"/>
      <c r="BE3" s="216"/>
      <c r="BG3" s="538"/>
      <c r="BH3" s="538"/>
      <c r="BI3" s="151"/>
      <c r="BJ3" s="50"/>
      <c r="BK3" s="407"/>
      <c r="BL3" s="151"/>
      <c r="BM3" s="417"/>
      <c r="BN3" s="151"/>
      <c r="BR3" s="149"/>
      <c r="BS3" s="213"/>
      <c r="BT3" s="407"/>
      <c r="BU3" s="151"/>
      <c r="BW3" s="572"/>
      <c r="BX3" s="573"/>
      <c r="BY3" s="573"/>
      <c r="BZ3" s="574"/>
      <c r="CA3" s="574"/>
      <c r="CB3" s="574"/>
      <c r="CC3" s="574"/>
      <c r="CD3" s="574"/>
      <c r="CE3" s="493"/>
      <c r="CF3" s="493"/>
      <c r="CG3" s="574"/>
      <c r="CH3" s="574"/>
      <c r="CI3" s="575"/>
      <c r="CJ3" s="574"/>
      <c r="CK3" s="574"/>
      <c r="CL3" s="574"/>
      <c r="CM3" s="574"/>
      <c r="CN3" s="574"/>
      <c r="CO3" s="574"/>
      <c r="CP3" s="574"/>
      <c r="CQ3" s="574"/>
      <c r="CR3" s="554"/>
      <c r="CS3" s="554"/>
      <c r="CT3" s="554"/>
      <c r="CU3" s="554"/>
      <c r="CV3" s="554"/>
      <c r="CW3" s="554"/>
      <c r="CX3" s="554"/>
      <c r="CY3" s="554"/>
      <c r="CZ3" s="554"/>
      <c r="DA3" s="554"/>
      <c r="FP3" s="553"/>
      <c r="FQ3" s="553"/>
      <c r="FR3" s="553"/>
      <c r="FS3" s="553"/>
      <c r="FT3" s="553"/>
      <c r="FU3" s="553"/>
      <c r="FV3" s="553"/>
      <c r="FW3" s="553"/>
      <c r="FX3" s="553"/>
      <c r="FY3" s="553"/>
      <c r="FZ3" s="553"/>
      <c r="GA3" s="553"/>
      <c r="GB3" s="553"/>
      <c r="GC3" s="553"/>
      <c r="GD3" s="553"/>
      <c r="GE3" s="553"/>
      <c r="GF3" s="553"/>
      <c r="GG3" s="553"/>
      <c r="GH3" s="553"/>
      <c r="GI3" s="553"/>
      <c r="GJ3" s="553"/>
      <c r="GK3" s="553"/>
      <c r="GL3" s="553"/>
      <c r="GM3" s="553"/>
      <c r="GN3" s="553"/>
      <c r="GO3" s="553"/>
      <c r="GP3" s="553"/>
      <c r="GQ3" s="553"/>
      <c r="GR3" s="553"/>
      <c r="GS3" s="553"/>
      <c r="GT3" s="553"/>
      <c r="GU3" s="553"/>
      <c r="GV3" s="553"/>
      <c r="GW3" s="553"/>
      <c r="GX3" s="553"/>
      <c r="GY3" s="553"/>
      <c r="GZ3" s="553"/>
      <c r="HA3" s="553"/>
      <c r="HB3" s="553"/>
      <c r="HC3" s="553"/>
      <c r="HD3" s="553"/>
      <c r="HE3" s="553"/>
      <c r="HF3" s="553"/>
      <c r="HG3" s="553"/>
      <c r="HH3" s="553"/>
      <c r="HI3" s="50"/>
      <c r="HJ3" s="50"/>
      <c r="HK3" s="50"/>
      <c r="HL3" s="50"/>
      <c r="HM3" s="50"/>
      <c r="HN3" s="50"/>
      <c r="HO3" s="50"/>
      <c r="HP3" s="50"/>
      <c r="HQ3" s="50"/>
      <c r="HR3" s="50"/>
      <c r="HS3" s="50"/>
      <c r="HT3" s="50"/>
      <c r="HU3" s="50"/>
      <c r="HV3" s="50"/>
      <c r="HW3" s="50"/>
      <c r="HX3" s="50"/>
    </row>
    <row r="4" spans="1:232" s="173" customFormat="1" ht="25.5" customHeight="1" x14ac:dyDescent="0.25">
      <c r="A4" s="75"/>
      <c r="B4" s="75"/>
      <c r="C4" s="75"/>
      <c r="D4" s="168"/>
      <c r="E4" s="75"/>
      <c r="F4" s="169"/>
      <c r="G4" s="75"/>
      <c r="H4" s="75"/>
      <c r="I4" s="75"/>
      <c r="J4" s="75"/>
      <c r="K4" s="75"/>
      <c r="L4" s="75"/>
      <c r="M4" s="75"/>
      <c r="N4" s="75"/>
      <c r="O4" s="75"/>
      <c r="P4" s="75"/>
      <c r="Q4" s="168"/>
      <c r="R4" s="170"/>
      <c r="S4" s="765" t="s">
        <v>322</v>
      </c>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5"/>
      <c r="AR4" s="765"/>
      <c r="AS4" s="765"/>
      <c r="AT4" s="765"/>
      <c r="AU4" s="765"/>
      <c r="AV4" s="765"/>
      <c r="AW4" s="765"/>
      <c r="AX4" s="765"/>
      <c r="AY4" s="765"/>
      <c r="AZ4" s="765"/>
      <c r="BA4" s="765"/>
      <c r="BB4" s="765"/>
      <c r="BC4" s="765"/>
      <c r="BD4" s="765"/>
      <c r="BE4" s="765"/>
      <c r="BF4" s="765"/>
      <c r="BG4" s="765"/>
      <c r="BH4" s="765"/>
      <c r="BI4" s="765"/>
      <c r="BJ4" s="765"/>
      <c r="BK4" s="765"/>
      <c r="BL4" s="765"/>
      <c r="BM4" s="765"/>
      <c r="BN4" s="765"/>
      <c r="BO4" s="765"/>
      <c r="BP4" s="765"/>
      <c r="BQ4" s="765"/>
      <c r="BR4" s="765"/>
      <c r="BS4" s="765"/>
      <c r="BT4" s="765"/>
      <c r="BU4" s="765"/>
      <c r="BW4" s="576"/>
      <c r="BX4" s="577"/>
      <c r="BY4" s="577"/>
      <c r="BZ4" s="577"/>
      <c r="CA4" s="577"/>
      <c r="CB4" s="577"/>
      <c r="CC4" s="577"/>
      <c r="CD4" s="577"/>
      <c r="CE4" s="577"/>
      <c r="CF4" s="577"/>
      <c r="CG4" s="577"/>
      <c r="CH4" s="577"/>
      <c r="CI4" s="577"/>
      <c r="CJ4" s="577"/>
      <c r="CK4" s="577"/>
      <c r="CL4" s="577"/>
      <c r="CM4" s="577"/>
      <c r="CN4" s="577"/>
      <c r="CO4" s="577"/>
      <c r="CP4" s="577"/>
      <c r="CQ4" s="577"/>
      <c r="CR4" s="555"/>
      <c r="CS4" s="555"/>
      <c r="CT4" s="555"/>
      <c r="CU4" s="555"/>
      <c r="CV4" s="555"/>
      <c r="CW4" s="555"/>
      <c r="CX4" s="555"/>
      <c r="CY4" s="555"/>
      <c r="CZ4" s="555"/>
      <c r="DA4" s="555"/>
      <c r="FP4" s="629"/>
      <c r="FQ4" s="629"/>
      <c r="FR4" s="629"/>
      <c r="FS4" s="629"/>
      <c r="FT4" s="629"/>
      <c r="FU4" s="629"/>
      <c r="FV4" s="629"/>
      <c r="FW4" s="629"/>
      <c r="FX4" s="629"/>
      <c r="FY4" s="629"/>
      <c r="FZ4" s="629"/>
      <c r="GA4" s="629"/>
      <c r="GB4" s="629"/>
      <c r="GC4" s="629"/>
      <c r="GD4" s="629"/>
      <c r="GE4" s="629"/>
      <c r="GF4" s="629"/>
      <c r="GG4" s="629"/>
      <c r="GH4" s="629"/>
      <c r="GI4" s="629"/>
      <c r="GJ4" s="629"/>
      <c r="GK4" s="629"/>
      <c r="GL4" s="629"/>
      <c r="GM4" s="629"/>
      <c r="GN4" s="629"/>
      <c r="GO4" s="629"/>
      <c r="GP4" s="629"/>
      <c r="GQ4" s="629"/>
      <c r="GR4" s="629"/>
      <c r="GS4" s="629"/>
      <c r="GT4" s="629"/>
      <c r="GU4" s="629"/>
      <c r="GV4" s="629"/>
      <c r="GW4" s="629"/>
      <c r="GX4" s="629"/>
      <c r="GY4" s="629"/>
      <c r="GZ4" s="629"/>
      <c r="HA4" s="629"/>
      <c r="HB4" s="629"/>
      <c r="HC4" s="629"/>
      <c r="HD4" s="629"/>
      <c r="HE4" s="629"/>
      <c r="HF4" s="629"/>
      <c r="HG4" s="629"/>
      <c r="HH4" s="629"/>
      <c r="HI4" s="621"/>
      <c r="HJ4" s="621"/>
      <c r="HK4" s="621"/>
      <c r="HL4" s="621"/>
      <c r="HM4" s="621"/>
      <c r="HN4" s="621"/>
      <c r="HO4" s="621"/>
      <c r="HP4" s="621"/>
      <c r="HQ4" s="621"/>
      <c r="HR4" s="621"/>
      <c r="HS4" s="621"/>
      <c r="HT4" s="621"/>
      <c r="HU4" s="621"/>
      <c r="HV4" s="621"/>
      <c r="HW4" s="621"/>
      <c r="HX4" s="621"/>
    </row>
    <row r="5" spans="1:232" ht="81.75" customHeight="1" x14ac:dyDescent="0.3">
      <c r="A5" s="2" t="s">
        <v>66</v>
      </c>
      <c r="B5" s="822" t="s">
        <v>323</v>
      </c>
      <c r="C5" s="822"/>
      <c r="D5" s="822"/>
      <c r="E5" s="822"/>
      <c r="F5" s="822"/>
      <c r="G5" s="822"/>
      <c r="H5" s="822"/>
      <c r="I5" s="822"/>
      <c r="J5" s="822"/>
      <c r="K5" s="822"/>
      <c r="L5" s="822"/>
      <c r="M5" s="822"/>
      <c r="N5" s="822"/>
      <c r="O5" s="822"/>
      <c r="P5" s="822"/>
      <c r="Q5" s="822"/>
      <c r="R5" s="822"/>
      <c r="S5" s="822"/>
      <c r="T5" s="822"/>
      <c r="U5" s="822"/>
      <c r="V5" s="822"/>
      <c r="W5" s="822"/>
      <c r="X5" s="822"/>
      <c r="Y5" s="822"/>
      <c r="Z5" s="822"/>
      <c r="AA5" s="822"/>
      <c r="AB5" s="822"/>
      <c r="AC5" s="822"/>
      <c r="AD5" s="822"/>
      <c r="AE5" s="822"/>
      <c r="AF5" s="822"/>
      <c r="AG5" s="822"/>
      <c r="AH5" s="822"/>
      <c r="AI5" s="822"/>
      <c r="AJ5" s="822"/>
      <c r="AK5" s="822"/>
      <c r="AL5" s="822"/>
      <c r="AM5" s="822"/>
      <c r="AN5" s="822"/>
      <c r="AO5" s="822"/>
      <c r="AP5" s="822"/>
      <c r="AQ5" s="822"/>
      <c r="AR5" s="822"/>
      <c r="AS5" s="822"/>
      <c r="AT5" s="822"/>
      <c r="AU5" s="822"/>
      <c r="AV5" s="822"/>
      <c r="AW5" s="822"/>
      <c r="AX5" s="822"/>
      <c r="AY5" s="822"/>
      <c r="AZ5" s="822"/>
      <c r="BA5" s="822"/>
      <c r="BB5" s="822"/>
      <c r="BC5" s="822"/>
      <c r="BD5" s="822"/>
      <c r="BE5" s="822"/>
      <c r="BF5" s="822"/>
      <c r="BG5" s="822"/>
      <c r="BH5" s="822"/>
      <c r="BI5" s="822"/>
      <c r="BJ5" s="822"/>
      <c r="BK5" s="822"/>
      <c r="BL5" s="822"/>
      <c r="BM5" s="822"/>
      <c r="BN5" s="822"/>
      <c r="BO5" s="822"/>
      <c r="BP5" s="822"/>
      <c r="BQ5" s="822"/>
      <c r="BR5" s="822"/>
      <c r="BS5" s="822"/>
      <c r="BT5" s="822"/>
      <c r="BU5" s="822"/>
      <c r="BV5" s="190"/>
      <c r="BW5" s="578"/>
      <c r="BX5" s="579"/>
      <c r="BY5" s="579"/>
      <c r="BZ5" s="579"/>
      <c r="CA5" s="579"/>
      <c r="CB5" s="579"/>
      <c r="CD5" s="570"/>
    </row>
    <row r="6" spans="1:232" s="42" customFormat="1" ht="20.25" customHeight="1" x14ac:dyDescent="0.2">
      <c r="A6" s="43"/>
      <c r="B6" s="42" t="s">
        <v>103</v>
      </c>
      <c r="W6" s="218"/>
      <c r="X6" s="218"/>
      <c r="BI6" s="406"/>
      <c r="BJ6" s="421"/>
      <c r="BK6" s="406"/>
      <c r="BM6" s="418"/>
      <c r="BO6" s="139"/>
      <c r="BP6" s="139"/>
      <c r="BR6" s="406"/>
      <c r="BT6" s="406"/>
      <c r="BU6" s="406"/>
      <c r="BW6" s="581"/>
      <c r="BX6" s="582"/>
      <c r="BY6" s="582"/>
      <c r="BZ6" s="582"/>
      <c r="CA6" s="418"/>
      <c r="CB6" s="583"/>
      <c r="CC6" s="418"/>
      <c r="CD6" s="418"/>
      <c r="CE6" s="418"/>
      <c r="CF6" s="418"/>
      <c r="CG6" s="418"/>
      <c r="CH6" s="418"/>
      <c r="CI6" s="418"/>
      <c r="CJ6" s="418"/>
      <c r="CK6" s="418"/>
      <c r="CL6" s="418"/>
      <c r="CM6" s="418"/>
      <c r="CN6" s="418"/>
      <c r="CO6" s="418"/>
      <c r="CP6" s="418"/>
      <c r="CQ6" s="418"/>
      <c r="CR6" s="557"/>
      <c r="CS6" s="557"/>
      <c r="CT6" s="557"/>
      <c r="CU6" s="557"/>
      <c r="CV6" s="557"/>
      <c r="CW6" s="557"/>
      <c r="CX6" s="557"/>
      <c r="CY6" s="557"/>
      <c r="CZ6" s="557"/>
      <c r="DA6" s="557"/>
      <c r="FP6" s="630"/>
      <c r="FQ6" s="630"/>
      <c r="FR6" s="630"/>
      <c r="FS6" s="630"/>
      <c r="FT6" s="630"/>
      <c r="FU6" s="630"/>
      <c r="FV6" s="630"/>
      <c r="FW6" s="630"/>
      <c r="FX6" s="630"/>
      <c r="FY6" s="630"/>
      <c r="FZ6" s="630"/>
      <c r="GA6" s="630"/>
      <c r="GB6" s="630"/>
      <c r="GC6" s="630"/>
      <c r="GD6" s="630"/>
      <c r="GE6" s="630"/>
      <c r="GF6" s="630"/>
      <c r="GG6" s="630"/>
      <c r="GH6" s="630"/>
      <c r="GI6" s="630"/>
      <c r="GJ6" s="630"/>
      <c r="GK6" s="630"/>
      <c r="GL6" s="630"/>
      <c r="GM6" s="630"/>
      <c r="GN6" s="630"/>
      <c r="GO6" s="630"/>
      <c r="GP6" s="630"/>
      <c r="GQ6" s="630"/>
      <c r="GR6" s="630"/>
      <c r="GS6" s="630"/>
      <c r="GT6" s="630"/>
      <c r="GU6" s="630"/>
      <c r="GV6" s="630"/>
      <c r="GW6" s="630"/>
      <c r="GX6" s="630"/>
      <c r="GY6" s="630"/>
      <c r="GZ6" s="630"/>
      <c r="HA6" s="630"/>
      <c r="HB6" s="630"/>
      <c r="HC6" s="630"/>
      <c r="HD6" s="630"/>
      <c r="HE6" s="630"/>
      <c r="HF6" s="630"/>
      <c r="HG6" s="630"/>
      <c r="HH6" s="630"/>
      <c r="HI6" s="627"/>
      <c r="HJ6" s="627"/>
      <c r="HK6" s="627"/>
      <c r="HL6" s="627"/>
      <c r="HM6" s="627"/>
      <c r="HN6" s="627"/>
      <c r="HO6" s="627"/>
      <c r="HP6" s="627"/>
      <c r="HQ6" s="627"/>
      <c r="HR6" s="627"/>
      <c r="HS6" s="627"/>
      <c r="HT6" s="627"/>
      <c r="HU6" s="627"/>
      <c r="HV6" s="627"/>
      <c r="HW6" s="627"/>
      <c r="HX6" s="627"/>
    </row>
    <row r="7" spans="1:232" ht="15.75" x14ac:dyDescent="0.2">
      <c r="E7" s="140" t="s">
        <v>104</v>
      </c>
    </row>
    <row r="8" spans="1:232" ht="15.75" x14ac:dyDescent="0.2">
      <c r="E8" s="140" t="s">
        <v>324</v>
      </c>
    </row>
    <row r="9" spans="1:232" ht="15.75" x14ac:dyDescent="0.2">
      <c r="E9" s="140" t="s">
        <v>325</v>
      </c>
    </row>
    <row r="10" spans="1:232" s="83" customFormat="1" ht="19.5" customHeight="1" x14ac:dyDescent="0.25">
      <c r="A10" s="87"/>
      <c r="B10" s="823" t="s">
        <v>36</v>
      </c>
      <c r="C10" s="823"/>
      <c r="D10" s="823"/>
      <c r="E10" s="823"/>
      <c r="F10" s="189" t="s">
        <v>195</v>
      </c>
      <c r="H10" s="82"/>
      <c r="I10" s="81"/>
      <c r="J10" s="80"/>
      <c r="K10" s="82"/>
      <c r="L10" s="82"/>
      <c r="M10" s="82"/>
      <c r="N10" s="82"/>
      <c r="O10" s="82"/>
      <c r="P10" s="82"/>
      <c r="Q10" s="82"/>
      <c r="R10" s="536" t="s">
        <v>17</v>
      </c>
      <c r="S10" s="161"/>
      <c r="T10" s="538"/>
      <c r="U10" s="538"/>
      <c r="V10" s="538"/>
      <c r="W10" s="495"/>
      <c r="X10" s="441"/>
      <c r="Y10" s="538"/>
      <c r="Z10" s="538"/>
      <c r="AA10" s="538"/>
      <c r="AB10" s="82"/>
      <c r="AC10" s="80"/>
      <c r="AD10" s="82"/>
      <c r="AE10" s="82"/>
      <c r="AF10" s="82"/>
      <c r="AG10" s="82"/>
      <c r="AH10" s="82"/>
      <c r="AI10" s="82"/>
      <c r="AJ10" s="82"/>
      <c r="AK10" s="82"/>
      <c r="AL10" s="82"/>
      <c r="AM10" s="82"/>
      <c r="AN10" s="82"/>
      <c r="AO10" s="82"/>
      <c r="AP10" s="81"/>
      <c r="AQ10" s="81"/>
      <c r="AR10" s="41"/>
      <c r="AS10" s="41"/>
      <c r="AT10" s="82"/>
      <c r="AU10" s="538"/>
      <c r="AV10" s="538"/>
      <c r="AW10" s="538" t="s">
        <v>64</v>
      </c>
      <c r="AX10" s="538"/>
      <c r="AZ10" s="538"/>
      <c r="BA10" s="538"/>
      <c r="BE10" s="214"/>
      <c r="BG10" s="538"/>
      <c r="BH10" s="538"/>
      <c r="BI10" s="151"/>
      <c r="BK10" s="150"/>
      <c r="BL10" s="151"/>
      <c r="BM10" s="417"/>
      <c r="BN10" s="151"/>
      <c r="BR10" s="150"/>
      <c r="BS10" s="214"/>
      <c r="BT10" s="150"/>
      <c r="BU10" s="151"/>
      <c r="BW10" s="585"/>
      <c r="BX10" s="586"/>
      <c r="BY10" s="586"/>
      <c r="BZ10" s="586"/>
      <c r="CA10" s="586"/>
      <c r="CB10" s="586"/>
      <c r="CC10" s="586"/>
      <c r="CD10" s="586"/>
      <c r="CE10" s="587"/>
      <c r="CF10" s="587"/>
      <c r="CG10" s="586"/>
      <c r="CH10" s="586"/>
      <c r="CI10" s="580"/>
      <c r="CJ10" s="586"/>
      <c r="CK10" s="586"/>
      <c r="CL10" s="586"/>
      <c r="CM10" s="586"/>
      <c r="CN10" s="586"/>
      <c r="CO10" s="586"/>
      <c r="CP10" s="586"/>
      <c r="CQ10" s="586"/>
      <c r="CR10" s="559"/>
      <c r="CS10" s="559"/>
      <c r="CT10" s="559"/>
      <c r="CU10" s="559"/>
      <c r="CV10" s="559"/>
      <c r="CW10" s="559"/>
      <c r="CX10" s="559"/>
      <c r="CY10" s="559"/>
      <c r="CZ10" s="559"/>
      <c r="DA10" s="559"/>
      <c r="FP10" s="559"/>
      <c r="FQ10" s="559"/>
      <c r="FR10" s="559"/>
      <c r="FS10" s="559"/>
      <c r="FT10" s="559"/>
      <c r="FU10" s="559"/>
      <c r="FV10" s="559"/>
      <c r="FW10" s="559"/>
      <c r="FX10" s="559"/>
      <c r="FY10" s="559"/>
      <c r="FZ10" s="559"/>
      <c r="GA10" s="559"/>
      <c r="GB10" s="559"/>
      <c r="GC10" s="559"/>
      <c r="GD10" s="559"/>
      <c r="GE10" s="559"/>
      <c r="GF10" s="559"/>
      <c r="GG10" s="559"/>
      <c r="GH10" s="559"/>
      <c r="GI10" s="559"/>
      <c r="GJ10" s="559"/>
      <c r="GK10" s="559"/>
      <c r="GL10" s="559"/>
      <c r="GM10" s="559"/>
      <c r="GN10" s="559"/>
      <c r="GO10" s="559"/>
      <c r="GP10" s="559"/>
      <c r="GQ10" s="559"/>
      <c r="GR10" s="559"/>
      <c r="GS10" s="559"/>
      <c r="GT10" s="559"/>
      <c r="GU10" s="559"/>
      <c r="GV10" s="559"/>
      <c r="GW10" s="559"/>
      <c r="GX10" s="559"/>
      <c r="GY10" s="559"/>
      <c r="GZ10" s="559"/>
      <c r="HA10" s="559"/>
      <c r="HB10" s="559"/>
      <c r="HC10" s="559"/>
      <c r="HD10" s="559"/>
      <c r="HE10" s="559"/>
      <c r="HF10" s="559"/>
      <c r="HG10" s="559"/>
      <c r="HH10" s="559"/>
    </row>
    <row r="11" spans="1:232" ht="6" customHeight="1" x14ac:dyDescent="0.2">
      <c r="B11" s="538" t="s">
        <v>9</v>
      </c>
      <c r="X11" s="537"/>
    </row>
    <row r="12" spans="1:232" s="431" customFormat="1" ht="33" customHeight="1" x14ac:dyDescent="0.2">
      <c r="A12" s="429" t="s">
        <v>34</v>
      </c>
      <c r="B12" s="766" t="s">
        <v>110</v>
      </c>
      <c r="C12" s="533"/>
      <c r="D12" s="766" t="s">
        <v>5</v>
      </c>
      <c r="E12" s="766" t="s">
        <v>111</v>
      </c>
      <c r="F12" s="766" t="s">
        <v>112</v>
      </c>
      <c r="G12" s="442" t="s">
        <v>63</v>
      </c>
      <c r="H12" s="442"/>
      <c r="I12" s="442"/>
      <c r="J12" s="442"/>
      <c r="K12" s="442"/>
      <c r="L12" s="442"/>
      <c r="M12" s="442"/>
      <c r="N12" s="442"/>
      <c r="O12" s="442"/>
      <c r="P12" s="442"/>
      <c r="Q12" s="442"/>
      <c r="R12" s="773" t="s">
        <v>113</v>
      </c>
      <c r="S12" s="774"/>
      <c r="T12" s="533"/>
      <c r="U12" s="533"/>
      <c r="V12" s="430"/>
      <c r="W12" s="810" t="s">
        <v>125</v>
      </c>
      <c r="X12" s="811"/>
      <c r="Y12" s="812"/>
      <c r="Z12" s="442"/>
      <c r="AA12" s="442"/>
      <c r="AB12" s="442" t="s">
        <v>18</v>
      </c>
      <c r="AC12" s="442"/>
      <c r="AD12" s="442"/>
      <c r="AE12" s="442"/>
      <c r="AF12" s="442"/>
      <c r="AG12" s="442"/>
      <c r="AH12" s="442"/>
      <c r="AI12" s="442"/>
      <c r="AJ12" s="442"/>
      <c r="AK12" s="442"/>
      <c r="AL12" s="442"/>
      <c r="AM12" s="442"/>
      <c r="AN12" s="442"/>
      <c r="AO12" s="442"/>
      <c r="AP12" s="442"/>
      <c r="AQ12" s="442"/>
      <c r="AR12" s="442" t="s">
        <v>65</v>
      </c>
      <c r="AS12" s="442"/>
      <c r="AT12" s="442"/>
      <c r="AU12" s="442"/>
      <c r="AV12" s="442"/>
      <c r="AW12" s="442"/>
      <c r="AX12" s="442"/>
      <c r="AY12" s="442"/>
      <c r="AZ12" s="442"/>
      <c r="BA12" s="442"/>
      <c r="BB12" s="442"/>
      <c r="BC12" s="442"/>
      <c r="BD12" s="442"/>
      <c r="BE12" s="533"/>
      <c r="BF12" s="795" t="s">
        <v>115</v>
      </c>
      <c r="BG12" s="796"/>
      <c r="BH12" s="796"/>
      <c r="BI12" s="796"/>
      <c r="BJ12" s="796"/>
      <c r="BK12" s="796"/>
      <c r="BL12" s="797"/>
      <c r="BM12" s="810" t="s">
        <v>117</v>
      </c>
      <c r="BN12" s="812"/>
      <c r="BO12" s="795" t="s">
        <v>118</v>
      </c>
      <c r="BP12" s="796"/>
      <c r="BQ12" s="796"/>
      <c r="BR12" s="796"/>
      <c r="BS12" s="796"/>
      <c r="BT12" s="796"/>
      <c r="BU12" s="797"/>
      <c r="BV12" s="766" t="s">
        <v>65</v>
      </c>
      <c r="BW12" s="620"/>
      <c r="BX12" s="829"/>
      <c r="BY12" s="542"/>
      <c r="BZ12" s="542"/>
      <c r="CA12" s="829"/>
      <c r="CB12" s="829"/>
      <c r="CC12" s="543"/>
      <c r="CD12" s="543"/>
      <c r="CE12" s="544"/>
      <c r="CF12" s="544"/>
      <c r="CG12" s="543"/>
      <c r="CH12" s="543"/>
      <c r="CI12" s="543"/>
      <c r="CJ12" s="543"/>
      <c r="CK12" s="543"/>
      <c r="CL12" s="543"/>
      <c r="CM12" s="543"/>
      <c r="CN12" s="543"/>
      <c r="CO12" s="543"/>
      <c r="CP12" s="543"/>
      <c r="CQ12" s="543"/>
      <c r="CR12" s="560"/>
      <c r="CS12" s="560"/>
      <c r="CT12" s="560"/>
      <c r="CU12" s="560"/>
      <c r="CV12" s="560"/>
      <c r="CW12" s="560"/>
      <c r="CX12" s="560"/>
      <c r="CY12" s="560"/>
      <c r="CZ12" s="560"/>
      <c r="DA12" s="560"/>
      <c r="DB12" s="543"/>
      <c r="DC12" s="543"/>
      <c r="DD12" s="543"/>
      <c r="DE12" s="543"/>
      <c r="DF12" s="543"/>
      <c r="DG12" s="543"/>
      <c r="DH12" s="543"/>
      <c r="DI12" s="543"/>
      <c r="DJ12" s="543"/>
      <c r="DK12" s="543"/>
      <c r="DL12" s="543"/>
      <c r="DM12" s="543"/>
      <c r="DN12" s="543"/>
      <c r="DO12" s="543"/>
      <c r="DP12" s="543"/>
      <c r="DQ12" s="543"/>
      <c r="DR12" s="543"/>
      <c r="DS12" s="543"/>
      <c r="DT12" s="543"/>
      <c r="DU12" s="543"/>
      <c r="DV12" s="543"/>
      <c r="DW12" s="543"/>
      <c r="DX12" s="543"/>
      <c r="DY12" s="543"/>
      <c r="DZ12" s="543"/>
      <c r="EA12" s="543"/>
      <c r="EB12" s="543"/>
      <c r="EC12" s="543"/>
      <c r="ED12" s="543"/>
      <c r="EE12" s="543"/>
      <c r="EF12" s="543"/>
      <c r="EG12" s="543"/>
      <c r="EH12" s="543"/>
      <c r="EI12" s="543"/>
      <c r="EJ12" s="543"/>
      <c r="EK12" s="543"/>
      <c r="EL12" s="543"/>
      <c r="EM12" s="543"/>
      <c r="EN12" s="543"/>
      <c r="EO12" s="543"/>
      <c r="EP12" s="543"/>
      <c r="EQ12" s="543"/>
      <c r="ER12" s="543"/>
      <c r="ES12" s="543"/>
      <c r="ET12" s="543"/>
      <c r="EU12" s="543"/>
      <c r="EV12" s="543"/>
      <c r="EW12" s="543"/>
      <c r="EX12" s="543"/>
      <c r="EY12" s="543"/>
      <c r="EZ12" s="543"/>
      <c r="FA12" s="543"/>
      <c r="FB12" s="543"/>
      <c r="FC12" s="543"/>
      <c r="FD12" s="543"/>
      <c r="FE12" s="543"/>
      <c r="FF12" s="543"/>
      <c r="FG12" s="543"/>
      <c r="FH12" s="543"/>
      <c r="FI12" s="543"/>
      <c r="FJ12" s="543"/>
      <c r="FK12" s="543"/>
      <c r="FL12" s="543"/>
      <c r="FM12" s="543"/>
      <c r="FN12" s="543"/>
      <c r="FO12" s="543"/>
      <c r="FP12" s="631"/>
      <c r="FQ12" s="631"/>
      <c r="FR12" s="631"/>
      <c r="FS12" s="631"/>
      <c r="FT12" s="631"/>
      <c r="FU12" s="631"/>
      <c r="FV12" s="631"/>
      <c r="FW12" s="631"/>
      <c r="FX12" s="631"/>
      <c r="FY12" s="631"/>
      <c r="FZ12" s="631"/>
      <c r="GA12" s="631"/>
      <c r="GB12" s="631"/>
      <c r="GC12" s="631"/>
      <c r="GD12" s="631"/>
      <c r="GE12" s="631"/>
      <c r="GF12" s="631"/>
      <c r="GG12" s="631"/>
      <c r="GH12" s="631"/>
      <c r="GI12" s="631"/>
      <c r="GJ12" s="631"/>
      <c r="GK12" s="631"/>
      <c r="GL12" s="631"/>
      <c r="GM12" s="631"/>
      <c r="GN12" s="631"/>
      <c r="GO12" s="631"/>
      <c r="GP12" s="631"/>
      <c r="GQ12" s="631"/>
      <c r="GR12" s="631"/>
      <c r="GS12" s="631"/>
      <c r="GT12" s="631"/>
      <c r="GU12" s="631"/>
      <c r="GV12" s="631"/>
      <c r="GW12" s="631"/>
      <c r="GX12" s="631"/>
      <c r="GY12" s="631"/>
      <c r="GZ12" s="631"/>
      <c r="HA12" s="631"/>
      <c r="HB12" s="631"/>
      <c r="HC12" s="631"/>
      <c r="HD12" s="631"/>
      <c r="HE12" s="631"/>
      <c r="HF12" s="631"/>
      <c r="HG12" s="631"/>
      <c r="HH12" s="631"/>
      <c r="HI12" s="540"/>
      <c r="HJ12" s="540"/>
      <c r="HK12" s="540"/>
      <c r="HL12" s="540"/>
      <c r="HM12" s="540"/>
      <c r="HN12" s="540"/>
      <c r="HO12" s="540"/>
      <c r="HP12" s="540"/>
      <c r="HQ12" s="540"/>
      <c r="HR12" s="540"/>
      <c r="HS12" s="540"/>
      <c r="HT12" s="540"/>
      <c r="HU12" s="540"/>
      <c r="HV12" s="540"/>
      <c r="HW12" s="540"/>
      <c r="HX12" s="540"/>
    </row>
    <row r="13" spans="1:232" s="431" customFormat="1" ht="19.5" customHeight="1" x14ac:dyDescent="0.2">
      <c r="A13" s="429"/>
      <c r="B13" s="767"/>
      <c r="C13" s="533"/>
      <c r="D13" s="767"/>
      <c r="E13" s="767"/>
      <c r="F13" s="767"/>
      <c r="G13" s="442"/>
      <c r="H13" s="442"/>
      <c r="I13" s="442"/>
      <c r="J13" s="442"/>
      <c r="K13" s="442"/>
      <c r="L13" s="442"/>
      <c r="M13" s="442"/>
      <c r="N13" s="442"/>
      <c r="O13" s="442"/>
      <c r="P13" s="442"/>
      <c r="Q13" s="442"/>
      <c r="R13" s="782"/>
      <c r="S13" s="780"/>
      <c r="T13" s="533"/>
      <c r="U13" s="533"/>
      <c r="V13" s="432"/>
      <c r="W13" s="813"/>
      <c r="X13" s="814"/>
      <c r="Y13" s="815"/>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42"/>
      <c r="AW13" s="442"/>
      <c r="AX13" s="442"/>
      <c r="AY13" s="442"/>
      <c r="AZ13" s="442"/>
      <c r="BA13" s="442"/>
      <c r="BB13" s="442"/>
      <c r="BC13" s="442"/>
      <c r="BD13" s="442"/>
      <c r="BE13" s="533"/>
      <c r="BF13" s="806" t="s">
        <v>87</v>
      </c>
      <c r="BG13" s="807"/>
      <c r="BH13" s="667"/>
      <c r="BI13" s="669"/>
      <c r="BJ13" s="806" t="s">
        <v>114</v>
      </c>
      <c r="BK13" s="827"/>
      <c r="BL13" s="807"/>
      <c r="BM13" s="816"/>
      <c r="BN13" s="818"/>
      <c r="BO13" s="806" t="s">
        <v>87</v>
      </c>
      <c r="BP13" s="807"/>
      <c r="BQ13" s="667"/>
      <c r="BR13" s="669"/>
      <c r="BS13" s="806" t="s">
        <v>114</v>
      </c>
      <c r="BT13" s="827"/>
      <c r="BU13" s="807"/>
      <c r="BV13" s="767"/>
      <c r="BW13" s="620"/>
      <c r="BX13" s="829"/>
      <c r="BY13" s="542"/>
      <c r="BZ13" s="542"/>
      <c r="CA13" s="829"/>
      <c r="CB13" s="829"/>
      <c r="CC13" s="543"/>
      <c r="CD13" s="543"/>
      <c r="CE13" s="544"/>
      <c r="CF13" s="544"/>
      <c r="CG13" s="543"/>
      <c r="CH13" s="543"/>
      <c r="CI13" s="543"/>
      <c r="CJ13" s="543"/>
      <c r="CK13" s="543"/>
      <c r="CL13" s="543"/>
      <c r="CM13" s="543"/>
      <c r="CN13" s="543"/>
      <c r="CO13" s="543"/>
      <c r="CP13" s="543"/>
      <c r="CQ13" s="543"/>
      <c r="CR13" s="560"/>
      <c r="CS13" s="560"/>
      <c r="CT13" s="560"/>
      <c r="CU13" s="560"/>
      <c r="CV13" s="560"/>
      <c r="CW13" s="560"/>
      <c r="CX13" s="560"/>
      <c r="CY13" s="560"/>
      <c r="CZ13" s="560"/>
      <c r="DA13" s="560"/>
      <c r="DB13" s="543"/>
      <c r="DC13" s="543"/>
      <c r="DD13" s="543"/>
      <c r="DE13" s="543"/>
      <c r="DF13" s="543"/>
      <c r="DG13" s="543"/>
      <c r="DH13" s="543"/>
      <c r="DI13" s="543"/>
      <c r="DJ13" s="543"/>
      <c r="DK13" s="543"/>
      <c r="DL13" s="543"/>
      <c r="DM13" s="543"/>
      <c r="DN13" s="543"/>
      <c r="DO13" s="543"/>
      <c r="DP13" s="543"/>
      <c r="DQ13" s="543"/>
      <c r="DR13" s="543"/>
      <c r="DS13" s="543"/>
      <c r="DT13" s="543"/>
      <c r="DU13" s="543"/>
      <c r="DV13" s="543"/>
      <c r="DW13" s="543"/>
      <c r="DX13" s="543"/>
      <c r="DY13" s="543"/>
      <c r="DZ13" s="543"/>
      <c r="EA13" s="543"/>
      <c r="EB13" s="543"/>
      <c r="EC13" s="543"/>
      <c r="ED13" s="543"/>
      <c r="EE13" s="543"/>
      <c r="EF13" s="543"/>
      <c r="EG13" s="543"/>
      <c r="EH13" s="543"/>
      <c r="EI13" s="543"/>
      <c r="EJ13" s="543"/>
      <c r="EK13" s="543"/>
      <c r="EL13" s="543"/>
      <c r="EM13" s="543"/>
      <c r="EN13" s="543"/>
      <c r="EO13" s="543"/>
      <c r="EP13" s="543"/>
      <c r="EQ13" s="543"/>
      <c r="ER13" s="543"/>
      <c r="ES13" s="543"/>
      <c r="ET13" s="543"/>
      <c r="EU13" s="543"/>
      <c r="EV13" s="543"/>
      <c r="EW13" s="543"/>
      <c r="EX13" s="543"/>
      <c r="EY13" s="543"/>
      <c r="EZ13" s="543"/>
      <c r="FA13" s="543"/>
      <c r="FB13" s="543"/>
      <c r="FC13" s="543"/>
      <c r="FD13" s="543"/>
      <c r="FE13" s="543"/>
      <c r="FF13" s="543"/>
      <c r="FG13" s="543"/>
      <c r="FH13" s="543"/>
      <c r="FI13" s="543"/>
      <c r="FJ13" s="543"/>
      <c r="FK13" s="543"/>
      <c r="FL13" s="543"/>
      <c r="FM13" s="543"/>
      <c r="FN13" s="543"/>
      <c r="FO13" s="543"/>
      <c r="FP13" s="631"/>
      <c r="FQ13" s="631"/>
      <c r="FR13" s="631"/>
      <c r="FS13" s="631"/>
      <c r="FT13" s="631"/>
      <c r="FU13" s="631"/>
      <c r="FV13" s="631"/>
      <c r="FW13" s="631"/>
      <c r="FX13" s="631"/>
      <c r="FY13" s="631"/>
      <c r="FZ13" s="631"/>
      <c r="GA13" s="631"/>
      <c r="GB13" s="631"/>
      <c r="GC13" s="631"/>
      <c r="GD13" s="631"/>
      <c r="GE13" s="631"/>
      <c r="GF13" s="631"/>
      <c r="GG13" s="631"/>
      <c r="GH13" s="631"/>
      <c r="GI13" s="631"/>
      <c r="GJ13" s="631"/>
      <c r="GK13" s="631"/>
      <c r="GL13" s="631"/>
      <c r="GM13" s="631"/>
      <c r="GN13" s="631"/>
      <c r="GO13" s="631"/>
      <c r="GP13" s="631"/>
      <c r="GQ13" s="631"/>
      <c r="GR13" s="631"/>
      <c r="GS13" s="631"/>
      <c r="GT13" s="631"/>
      <c r="GU13" s="631"/>
      <c r="GV13" s="631"/>
      <c r="GW13" s="631"/>
      <c r="GX13" s="631"/>
      <c r="GY13" s="631"/>
      <c r="GZ13" s="631"/>
      <c r="HA13" s="631"/>
      <c r="HB13" s="631"/>
      <c r="HC13" s="631"/>
      <c r="HD13" s="631"/>
      <c r="HE13" s="631"/>
      <c r="HF13" s="631"/>
      <c r="HG13" s="631"/>
      <c r="HH13" s="631"/>
      <c r="HI13" s="540"/>
      <c r="HJ13" s="540"/>
      <c r="HK13" s="540"/>
      <c r="HL13" s="540"/>
      <c r="HM13" s="540"/>
      <c r="HN13" s="540"/>
      <c r="HO13" s="540"/>
      <c r="HP13" s="540"/>
      <c r="HQ13" s="540"/>
      <c r="HR13" s="540"/>
      <c r="HS13" s="540"/>
      <c r="HT13" s="540"/>
      <c r="HU13" s="540"/>
      <c r="HV13" s="540"/>
      <c r="HW13" s="540"/>
      <c r="HX13" s="540"/>
    </row>
    <row r="14" spans="1:232" s="429" customFormat="1" ht="36" customHeight="1" x14ac:dyDescent="0.2">
      <c r="B14" s="768"/>
      <c r="C14" s="533"/>
      <c r="D14" s="768"/>
      <c r="E14" s="768"/>
      <c r="F14" s="768"/>
      <c r="G14" s="442"/>
      <c r="H14" s="442"/>
      <c r="I14" s="442"/>
      <c r="J14" s="442"/>
      <c r="K14" s="442"/>
      <c r="L14" s="442"/>
      <c r="M14" s="442"/>
      <c r="N14" s="442"/>
      <c r="O14" s="442"/>
      <c r="P14" s="442"/>
      <c r="Q14" s="442"/>
      <c r="R14" s="775"/>
      <c r="S14" s="776"/>
      <c r="T14" s="533"/>
      <c r="U14" s="533"/>
      <c r="V14" s="433"/>
      <c r="W14" s="816"/>
      <c r="X14" s="817"/>
      <c r="Y14" s="818"/>
      <c r="Z14" s="442"/>
      <c r="AA14" s="442"/>
      <c r="AB14" s="442" t="s">
        <v>12</v>
      </c>
      <c r="AC14" s="442"/>
      <c r="AD14" s="442" t="s">
        <v>13</v>
      </c>
      <c r="AE14" s="442"/>
      <c r="AF14" s="442"/>
      <c r="AG14" s="442"/>
      <c r="AH14" s="442"/>
      <c r="AI14" s="442"/>
      <c r="AJ14" s="442"/>
      <c r="AK14" s="442"/>
      <c r="AL14" s="442"/>
      <c r="AM14" s="442"/>
      <c r="AN14" s="442"/>
      <c r="AO14" s="442" t="s">
        <v>19</v>
      </c>
      <c r="AP14" s="442"/>
      <c r="AQ14" s="442"/>
      <c r="AR14" s="442"/>
      <c r="AS14" s="442"/>
      <c r="AT14" s="442" t="s">
        <v>20</v>
      </c>
      <c r="AU14" s="442" t="s">
        <v>21</v>
      </c>
      <c r="AV14" s="434" t="s">
        <v>22</v>
      </c>
      <c r="AW14" s="442"/>
      <c r="AX14" s="442"/>
      <c r="AY14" s="442"/>
      <c r="AZ14" s="442"/>
      <c r="BA14" s="442"/>
      <c r="BB14" s="442"/>
      <c r="BC14" s="442"/>
      <c r="BD14" s="442"/>
      <c r="BE14" s="533"/>
      <c r="BF14" s="808"/>
      <c r="BG14" s="809"/>
      <c r="BH14" s="435"/>
      <c r="BI14" s="436"/>
      <c r="BJ14" s="808"/>
      <c r="BK14" s="828"/>
      <c r="BL14" s="809"/>
      <c r="BM14" s="424" t="s">
        <v>109</v>
      </c>
      <c r="BN14" s="413" t="s">
        <v>122</v>
      </c>
      <c r="BO14" s="808"/>
      <c r="BP14" s="809"/>
      <c r="BQ14" s="435"/>
      <c r="BR14" s="436"/>
      <c r="BS14" s="808"/>
      <c r="BT14" s="828"/>
      <c r="BU14" s="809"/>
      <c r="BV14" s="768"/>
      <c r="BW14" s="620"/>
      <c r="BX14" s="829"/>
      <c r="BY14" s="542"/>
      <c r="BZ14" s="542"/>
      <c r="CA14" s="829"/>
      <c r="CB14" s="829"/>
      <c r="CC14" s="545"/>
      <c r="CD14" s="545"/>
      <c r="CE14" s="544"/>
      <c r="CF14" s="544"/>
      <c r="CG14" s="545"/>
      <c r="CH14" s="545"/>
      <c r="CI14" s="545"/>
      <c r="CJ14" s="545"/>
      <c r="CK14" s="545"/>
      <c r="CL14" s="545"/>
      <c r="CM14" s="545"/>
      <c r="CN14" s="545"/>
      <c r="CO14" s="545"/>
      <c r="CP14" s="545"/>
      <c r="CQ14" s="545"/>
      <c r="CR14" s="561"/>
      <c r="CS14" s="561"/>
      <c r="CT14" s="561"/>
      <c r="CU14" s="561"/>
      <c r="CV14" s="561"/>
      <c r="CW14" s="561"/>
      <c r="CX14" s="561"/>
      <c r="CY14" s="561"/>
      <c r="CZ14" s="561"/>
      <c r="DA14" s="561"/>
      <c r="DB14" s="545"/>
      <c r="DC14" s="545"/>
      <c r="DD14" s="545"/>
      <c r="DE14" s="545"/>
      <c r="DF14" s="545"/>
      <c r="DG14" s="545"/>
      <c r="DH14" s="545"/>
      <c r="DI14" s="545"/>
      <c r="DJ14" s="545"/>
      <c r="DK14" s="545"/>
      <c r="DL14" s="545"/>
      <c r="DM14" s="545"/>
      <c r="DN14" s="545"/>
      <c r="DO14" s="545"/>
      <c r="DP14" s="545"/>
      <c r="DQ14" s="545"/>
      <c r="DR14" s="545"/>
      <c r="DS14" s="545"/>
      <c r="DT14" s="545"/>
      <c r="DU14" s="545"/>
      <c r="DV14" s="545"/>
      <c r="DW14" s="545"/>
      <c r="DX14" s="545"/>
      <c r="DY14" s="545"/>
      <c r="DZ14" s="545"/>
      <c r="EA14" s="545"/>
      <c r="EB14" s="545"/>
      <c r="EC14" s="545"/>
      <c r="ED14" s="545"/>
      <c r="EE14" s="545"/>
      <c r="EF14" s="545"/>
      <c r="EG14" s="545"/>
      <c r="EH14" s="545"/>
      <c r="EI14" s="545"/>
      <c r="EJ14" s="545"/>
      <c r="EK14" s="545"/>
      <c r="EL14" s="545"/>
      <c r="EM14" s="545"/>
      <c r="EN14" s="545"/>
      <c r="EO14" s="545"/>
      <c r="EP14" s="545"/>
      <c r="EQ14" s="545"/>
      <c r="ER14" s="545"/>
      <c r="ES14" s="545"/>
      <c r="ET14" s="545"/>
      <c r="EU14" s="545"/>
      <c r="EV14" s="545"/>
      <c r="EW14" s="545"/>
      <c r="EX14" s="545"/>
      <c r="EY14" s="545"/>
      <c r="EZ14" s="545"/>
      <c r="FA14" s="545"/>
      <c r="FB14" s="545"/>
      <c r="FC14" s="545"/>
      <c r="FD14" s="545"/>
      <c r="FE14" s="545"/>
      <c r="FF14" s="545"/>
      <c r="FG14" s="545"/>
      <c r="FH14" s="545"/>
      <c r="FI14" s="545"/>
      <c r="FJ14" s="545"/>
      <c r="FK14" s="545"/>
      <c r="FL14" s="545"/>
      <c r="FM14" s="545"/>
      <c r="FN14" s="545"/>
      <c r="FO14" s="545"/>
      <c r="FP14" s="632"/>
      <c r="FQ14" s="632"/>
      <c r="FR14" s="632"/>
      <c r="FS14" s="632"/>
      <c r="FT14" s="632"/>
      <c r="FU14" s="632"/>
      <c r="FV14" s="632"/>
      <c r="FW14" s="632"/>
      <c r="FX14" s="632"/>
      <c r="FY14" s="632"/>
      <c r="FZ14" s="632"/>
      <c r="GA14" s="632"/>
      <c r="GB14" s="632"/>
      <c r="GC14" s="632"/>
      <c r="GD14" s="632"/>
      <c r="GE14" s="632"/>
      <c r="GF14" s="632"/>
      <c r="GG14" s="632"/>
      <c r="GH14" s="632"/>
      <c r="GI14" s="632"/>
      <c r="GJ14" s="632"/>
      <c r="GK14" s="632"/>
      <c r="GL14" s="632"/>
      <c r="GM14" s="632"/>
      <c r="GN14" s="632"/>
      <c r="GO14" s="632"/>
      <c r="GP14" s="632"/>
      <c r="GQ14" s="632"/>
      <c r="GR14" s="632"/>
      <c r="GS14" s="632"/>
      <c r="GT14" s="632"/>
      <c r="GU14" s="632"/>
      <c r="GV14" s="632"/>
      <c r="GW14" s="632"/>
      <c r="GX14" s="632"/>
      <c r="GY14" s="632"/>
      <c r="GZ14" s="632"/>
      <c r="HA14" s="632"/>
      <c r="HB14" s="632"/>
      <c r="HC14" s="632"/>
      <c r="HD14" s="632"/>
      <c r="HE14" s="632"/>
      <c r="HF14" s="632"/>
      <c r="HG14" s="632"/>
      <c r="HH14" s="632"/>
      <c r="HI14" s="435"/>
      <c r="HJ14" s="435"/>
      <c r="HK14" s="435"/>
      <c r="HL14" s="435"/>
      <c r="HM14" s="435"/>
      <c r="HN14" s="435"/>
      <c r="HO14" s="435"/>
      <c r="HP14" s="435"/>
      <c r="HQ14" s="435"/>
      <c r="HR14" s="435"/>
      <c r="HS14" s="435"/>
      <c r="HT14" s="435"/>
      <c r="HU14" s="435"/>
      <c r="HV14" s="435"/>
      <c r="HW14" s="435"/>
      <c r="HX14" s="435"/>
    </row>
    <row r="15" spans="1:232" s="31" customFormat="1" ht="30.75" hidden="1" customHeight="1" x14ac:dyDescent="0.2">
      <c r="A15" s="31" t="s">
        <v>62</v>
      </c>
      <c r="B15" s="94"/>
      <c r="C15" s="96"/>
      <c r="D15" s="96"/>
      <c r="E15" s="97" t="s">
        <v>0</v>
      </c>
      <c r="F15" s="96" t="s">
        <v>5</v>
      </c>
      <c r="G15" s="96"/>
      <c r="H15" s="96"/>
      <c r="I15" s="96"/>
      <c r="J15" s="96"/>
      <c r="K15" s="96"/>
      <c r="L15" s="96"/>
      <c r="M15" s="96"/>
      <c r="N15" s="96"/>
      <c r="O15" s="96"/>
      <c r="P15" s="96"/>
      <c r="Q15" s="96"/>
      <c r="R15" s="153" t="s">
        <v>23</v>
      </c>
      <c r="S15" s="97" t="s">
        <v>24</v>
      </c>
      <c r="T15" s="96"/>
      <c r="U15" s="96"/>
      <c r="V15" s="96"/>
      <c r="W15" s="494"/>
      <c r="X15" s="94"/>
      <c r="Y15" s="209" t="s">
        <v>25</v>
      </c>
      <c r="Z15" s="209" t="s">
        <v>26</v>
      </c>
      <c r="AA15" s="209"/>
      <c r="AB15" s="209" t="s">
        <v>14</v>
      </c>
      <c r="AC15" s="209"/>
      <c r="AD15" s="209" t="s">
        <v>27</v>
      </c>
      <c r="AE15" s="210"/>
      <c r="AF15" s="210"/>
      <c r="AG15" s="210"/>
      <c r="AH15" s="210"/>
      <c r="AI15" s="210"/>
      <c r="AJ15" s="210"/>
      <c r="AK15" s="210"/>
      <c r="AL15" s="210"/>
      <c r="AM15" s="210"/>
      <c r="AN15" s="210"/>
      <c r="AO15" s="209" t="s">
        <v>28</v>
      </c>
      <c r="AP15" s="209"/>
      <c r="AQ15" s="209"/>
      <c r="AR15" s="209"/>
      <c r="AS15" s="209"/>
      <c r="AT15" s="96"/>
      <c r="AU15" s="96"/>
      <c r="AV15" s="96"/>
      <c r="AW15" s="96"/>
      <c r="AX15" s="96"/>
      <c r="AY15" s="96"/>
      <c r="AZ15" s="96"/>
      <c r="BA15" s="96"/>
      <c r="BB15" s="96"/>
      <c r="BC15" s="96"/>
      <c r="BD15" s="96"/>
      <c r="BE15" s="94"/>
      <c r="BF15" s="96" t="s">
        <v>26</v>
      </c>
      <c r="BG15" s="96"/>
      <c r="BH15" s="96"/>
      <c r="BI15" s="156"/>
      <c r="BJ15" s="215" t="s">
        <v>27</v>
      </c>
      <c r="BK15" s="408"/>
      <c r="BL15" s="96" t="s">
        <v>28</v>
      </c>
      <c r="BM15" s="134"/>
      <c r="BN15" s="96"/>
      <c r="BO15" s="96" t="s">
        <v>14</v>
      </c>
      <c r="BP15" s="96"/>
      <c r="BQ15" s="215"/>
      <c r="BR15" s="156"/>
      <c r="BS15" s="94" t="s">
        <v>27</v>
      </c>
      <c r="BT15" s="408"/>
      <c r="BU15" s="156" t="s">
        <v>28</v>
      </c>
      <c r="BV15" s="664"/>
      <c r="BW15" s="546"/>
      <c r="BX15" s="546"/>
      <c r="BY15" s="546"/>
      <c r="BZ15" s="546"/>
      <c r="CA15" s="546"/>
      <c r="CB15" s="546"/>
      <c r="CC15" s="546"/>
      <c r="CD15" s="546"/>
      <c r="CE15" s="547"/>
      <c r="CF15" s="547"/>
      <c r="CG15" s="546"/>
      <c r="CH15" s="546"/>
      <c r="CI15" s="546"/>
      <c r="CJ15" s="546"/>
      <c r="CK15" s="546"/>
      <c r="CL15" s="546"/>
      <c r="CM15" s="546"/>
      <c r="CN15" s="546"/>
      <c r="CO15" s="546"/>
      <c r="CP15" s="546"/>
      <c r="CQ15" s="546"/>
      <c r="CR15" s="562"/>
      <c r="CS15" s="562"/>
      <c r="CT15" s="562"/>
      <c r="CU15" s="562"/>
      <c r="CV15" s="562"/>
      <c r="CW15" s="562"/>
      <c r="CX15" s="562"/>
      <c r="CY15" s="562"/>
      <c r="CZ15" s="562"/>
      <c r="DA15" s="562"/>
      <c r="DB15" s="546"/>
      <c r="DC15" s="546"/>
      <c r="DD15" s="546"/>
      <c r="DE15" s="546"/>
      <c r="DF15" s="546"/>
      <c r="DG15" s="546"/>
      <c r="DH15" s="546"/>
      <c r="DI15" s="546"/>
      <c r="DJ15" s="546"/>
      <c r="DK15" s="546"/>
      <c r="DL15" s="546"/>
      <c r="DM15" s="546"/>
      <c r="DN15" s="546"/>
      <c r="DO15" s="546"/>
      <c r="DP15" s="546"/>
      <c r="DQ15" s="546"/>
      <c r="DR15" s="546"/>
      <c r="DS15" s="546"/>
      <c r="DT15" s="546"/>
      <c r="DU15" s="546"/>
      <c r="DV15" s="546"/>
      <c r="DW15" s="546"/>
      <c r="DX15" s="546"/>
      <c r="DY15" s="546"/>
      <c r="DZ15" s="546"/>
      <c r="EA15" s="546"/>
      <c r="EB15" s="546"/>
      <c r="EC15" s="546"/>
      <c r="ED15" s="546"/>
      <c r="EE15" s="546"/>
      <c r="EF15" s="546"/>
      <c r="EG15" s="546"/>
      <c r="EH15" s="546"/>
      <c r="EI15" s="546"/>
      <c r="EJ15" s="546"/>
      <c r="EK15" s="546"/>
      <c r="EL15" s="546"/>
      <c r="EM15" s="546"/>
      <c r="EN15" s="546"/>
      <c r="EO15" s="546"/>
      <c r="EP15" s="546"/>
      <c r="EQ15" s="546"/>
      <c r="ER15" s="546"/>
      <c r="ES15" s="546"/>
      <c r="ET15" s="546"/>
      <c r="EU15" s="546"/>
      <c r="EV15" s="546"/>
      <c r="EW15" s="546"/>
      <c r="EX15" s="546"/>
      <c r="EY15" s="546"/>
      <c r="EZ15" s="546"/>
      <c r="FA15" s="546"/>
      <c r="FB15" s="546"/>
      <c r="FC15" s="546"/>
      <c r="FD15" s="546"/>
      <c r="FE15" s="546"/>
      <c r="FF15" s="546"/>
      <c r="FG15" s="546"/>
      <c r="FH15" s="546"/>
      <c r="FI15" s="546"/>
      <c r="FJ15" s="546"/>
      <c r="FK15" s="546"/>
      <c r="FL15" s="546"/>
      <c r="FM15" s="546"/>
      <c r="FN15" s="546"/>
      <c r="FO15" s="546"/>
      <c r="FP15" s="633"/>
      <c r="FQ15" s="633"/>
      <c r="FR15" s="633"/>
      <c r="FS15" s="633"/>
      <c r="FT15" s="633"/>
      <c r="FU15" s="633"/>
      <c r="FV15" s="633"/>
      <c r="FW15" s="633"/>
      <c r="FX15" s="633"/>
      <c r="FY15" s="633"/>
      <c r="FZ15" s="633"/>
      <c r="GA15" s="633"/>
      <c r="GB15" s="633"/>
      <c r="GC15" s="633"/>
      <c r="GD15" s="633"/>
      <c r="GE15" s="633"/>
      <c r="GF15" s="633"/>
      <c r="GG15" s="633"/>
      <c r="GH15" s="633"/>
      <c r="GI15" s="633"/>
      <c r="GJ15" s="633"/>
      <c r="GK15" s="633"/>
      <c r="GL15" s="633"/>
      <c r="GM15" s="633"/>
      <c r="GN15" s="633"/>
      <c r="GO15" s="633"/>
      <c r="GP15" s="633"/>
      <c r="GQ15" s="633"/>
      <c r="GR15" s="633"/>
      <c r="GS15" s="633"/>
      <c r="GT15" s="633"/>
      <c r="GU15" s="633"/>
      <c r="GV15" s="633"/>
      <c r="GW15" s="633"/>
      <c r="GX15" s="633"/>
      <c r="GY15" s="633"/>
      <c r="GZ15" s="633"/>
      <c r="HA15" s="633"/>
      <c r="HB15" s="633"/>
      <c r="HC15" s="633"/>
      <c r="HD15" s="633"/>
      <c r="HE15" s="633"/>
      <c r="HF15" s="633"/>
      <c r="HG15" s="633"/>
      <c r="HH15" s="633"/>
      <c r="HI15" s="423"/>
      <c r="HJ15" s="423"/>
      <c r="HK15" s="423"/>
      <c r="HL15" s="423"/>
      <c r="HM15" s="423"/>
      <c r="HN15" s="423"/>
      <c r="HO15" s="423"/>
      <c r="HP15" s="423"/>
      <c r="HQ15" s="423"/>
      <c r="HR15" s="423"/>
      <c r="HS15" s="423"/>
      <c r="HT15" s="423"/>
      <c r="HU15" s="423"/>
      <c r="HV15" s="423"/>
      <c r="HW15" s="423"/>
      <c r="HX15" s="423"/>
    </row>
    <row r="16" spans="1:232" s="414" customFormat="1" ht="16.5" x14ac:dyDescent="0.2">
      <c r="A16" s="414" t="s">
        <v>57</v>
      </c>
      <c r="B16" s="531">
        <v>1</v>
      </c>
      <c r="C16" s="531"/>
      <c r="D16" s="531"/>
      <c r="E16" s="531">
        <v>2</v>
      </c>
      <c r="F16" s="531">
        <v>3</v>
      </c>
      <c r="G16" s="531"/>
      <c r="H16" s="531"/>
      <c r="I16" s="531"/>
      <c r="J16" s="531"/>
      <c r="K16" s="531"/>
      <c r="L16" s="531"/>
      <c r="M16" s="531"/>
      <c r="N16" s="531"/>
      <c r="O16" s="531"/>
      <c r="P16" s="531"/>
      <c r="Q16" s="531"/>
      <c r="R16" s="831">
        <v>4</v>
      </c>
      <c r="S16" s="832"/>
      <c r="T16" s="531"/>
      <c r="U16" s="531"/>
      <c r="V16" s="831">
        <v>5</v>
      </c>
      <c r="W16" s="833"/>
      <c r="X16" s="832"/>
      <c r="Y16" s="531">
        <v>6</v>
      </c>
      <c r="Z16" s="531">
        <v>7</v>
      </c>
      <c r="AA16" s="531"/>
      <c r="AB16" s="531">
        <v>8</v>
      </c>
      <c r="AC16" s="531"/>
      <c r="AD16" s="531"/>
      <c r="AE16" s="531"/>
      <c r="AF16" s="531"/>
      <c r="AG16" s="531"/>
      <c r="AH16" s="531"/>
      <c r="AI16" s="531"/>
      <c r="AJ16" s="531"/>
      <c r="AK16" s="531"/>
      <c r="AL16" s="531"/>
      <c r="AM16" s="531"/>
      <c r="AN16" s="531"/>
      <c r="AO16" s="531">
        <v>9</v>
      </c>
      <c r="AP16" s="531">
        <v>10</v>
      </c>
      <c r="AQ16" s="531"/>
      <c r="AR16" s="531"/>
      <c r="AS16" s="531"/>
      <c r="AT16" s="531"/>
      <c r="AU16" s="531"/>
      <c r="AV16" s="531"/>
      <c r="AW16" s="531"/>
      <c r="AX16" s="531"/>
      <c r="AY16" s="531"/>
      <c r="AZ16" s="531"/>
      <c r="BA16" s="531"/>
      <c r="BB16" s="531"/>
      <c r="BC16" s="531"/>
      <c r="BD16" s="531"/>
      <c r="BE16" s="531"/>
      <c r="BF16" s="831">
        <v>6</v>
      </c>
      <c r="BG16" s="832"/>
      <c r="BH16" s="531"/>
      <c r="BI16" s="534"/>
      <c r="BJ16" s="831">
        <v>7</v>
      </c>
      <c r="BK16" s="833"/>
      <c r="BL16" s="832"/>
      <c r="BM16" s="831">
        <v>8</v>
      </c>
      <c r="BN16" s="832"/>
      <c r="BO16" s="831">
        <v>9</v>
      </c>
      <c r="BP16" s="832"/>
      <c r="BQ16" s="415"/>
      <c r="BR16" s="416"/>
      <c r="BS16" s="824" t="s">
        <v>55</v>
      </c>
      <c r="BT16" s="824"/>
      <c r="BU16" s="825"/>
      <c r="BV16" s="670">
        <v>11</v>
      </c>
      <c r="BW16" s="548">
        <v>8</v>
      </c>
      <c r="BX16" s="548"/>
      <c r="BY16" s="548"/>
      <c r="BZ16" s="548"/>
      <c r="CA16" s="548">
        <v>10</v>
      </c>
      <c r="CB16" s="548">
        <v>9</v>
      </c>
      <c r="CC16" s="549"/>
      <c r="CD16" s="549"/>
      <c r="CE16" s="550"/>
      <c r="CF16" s="550"/>
      <c r="CG16" s="549"/>
      <c r="CH16" s="549"/>
      <c r="CI16" s="549"/>
      <c r="CJ16" s="549"/>
      <c r="CK16" s="549"/>
      <c r="CL16" s="549"/>
      <c r="CM16" s="549"/>
      <c r="CN16" s="549"/>
      <c r="CO16" s="549"/>
      <c r="CP16" s="549"/>
      <c r="CQ16" s="549"/>
      <c r="CR16" s="563"/>
      <c r="CS16" s="563"/>
      <c r="CT16" s="563"/>
      <c r="CU16" s="563"/>
      <c r="CV16" s="563"/>
      <c r="CW16" s="563"/>
      <c r="CX16" s="563"/>
      <c r="CY16" s="563"/>
      <c r="CZ16" s="563"/>
      <c r="DA16" s="563"/>
      <c r="DB16" s="549"/>
      <c r="DC16" s="549"/>
      <c r="DD16" s="549"/>
      <c r="DE16" s="549"/>
      <c r="DF16" s="549"/>
      <c r="DG16" s="549"/>
      <c r="DH16" s="549"/>
      <c r="DI16" s="549"/>
      <c r="DJ16" s="549"/>
      <c r="DK16" s="549"/>
      <c r="DL16" s="549"/>
      <c r="DM16" s="549"/>
      <c r="DN16" s="549"/>
      <c r="DO16" s="549"/>
      <c r="DP16" s="549"/>
      <c r="DQ16" s="549"/>
      <c r="DR16" s="549"/>
      <c r="DS16" s="549"/>
      <c r="DT16" s="549"/>
      <c r="DU16" s="549"/>
      <c r="DV16" s="549"/>
      <c r="DW16" s="549"/>
      <c r="DX16" s="549"/>
      <c r="DY16" s="549"/>
      <c r="DZ16" s="549"/>
      <c r="EA16" s="549"/>
      <c r="EB16" s="549"/>
      <c r="EC16" s="549"/>
      <c r="ED16" s="549"/>
      <c r="EE16" s="549"/>
      <c r="EF16" s="549"/>
      <c r="EG16" s="549"/>
      <c r="EH16" s="549"/>
      <c r="EI16" s="549"/>
      <c r="EJ16" s="549"/>
      <c r="EK16" s="549"/>
      <c r="EL16" s="549"/>
      <c r="EM16" s="549"/>
      <c r="EN16" s="549"/>
      <c r="EO16" s="549"/>
      <c r="EP16" s="549"/>
      <c r="EQ16" s="549"/>
      <c r="ER16" s="549"/>
      <c r="ES16" s="549"/>
      <c r="ET16" s="549"/>
      <c r="EU16" s="549"/>
      <c r="EV16" s="549"/>
      <c r="EW16" s="549"/>
      <c r="EX16" s="549"/>
      <c r="EY16" s="549"/>
      <c r="EZ16" s="549"/>
      <c r="FA16" s="549"/>
      <c r="FB16" s="549"/>
      <c r="FC16" s="549"/>
      <c r="FD16" s="549"/>
      <c r="FE16" s="549"/>
      <c r="FF16" s="549"/>
      <c r="FG16" s="549"/>
      <c r="FH16" s="549"/>
      <c r="FI16" s="549"/>
      <c r="FJ16" s="549"/>
      <c r="FK16" s="549"/>
      <c r="FL16" s="549"/>
      <c r="FM16" s="549"/>
      <c r="FN16" s="549"/>
      <c r="FO16" s="549"/>
      <c r="FP16" s="634"/>
      <c r="FQ16" s="634"/>
      <c r="FR16" s="634"/>
      <c r="FS16" s="634"/>
      <c r="FT16" s="634"/>
      <c r="FU16" s="634"/>
      <c r="FV16" s="634"/>
      <c r="FW16" s="634"/>
      <c r="FX16" s="634"/>
      <c r="FY16" s="634"/>
      <c r="FZ16" s="634"/>
      <c r="GA16" s="634"/>
      <c r="GB16" s="634"/>
      <c r="GC16" s="634"/>
      <c r="GD16" s="634"/>
      <c r="GE16" s="634"/>
      <c r="GF16" s="634"/>
      <c r="GG16" s="634"/>
      <c r="GH16" s="634"/>
      <c r="GI16" s="634"/>
      <c r="GJ16" s="634"/>
      <c r="GK16" s="634"/>
      <c r="GL16" s="634"/>
      <c r="GM16" s="634"/>
      <c r="GN16" s="634"/>
      <c r="GO16" s="634"/>
      <c r="GP16" s="634"/>
      <c r="GQ16" s="634"/>
      <c r="GR16" s="634"/>
      <c r="GS16" s="634"/>
      <c r="GT16" s="634"/>
      <c r="GU16" s="634"/>
      <c r="GV16" s="634"/>
      <c r="GW16" s="634"/>
      <c r="GX16" s="634"/>
      <c r="GY16" s="634"/>
      <c r="GZ16" s="634"/>
      <c r="HA16" s="634"/>
      <c r="HB16" s="634"/>
      <c r="HC16" s="634"/>
      <c r="HD16" s="634"/>
      <c r="HE16" s="634"/>
      <c r="HF16" s="634"/>
      <c r="HG16" s="634"/>
      <c r="HH16" s="634"/>
      <c r="HI16" s="541"/>
      <c r="HJ16" s="541"/>
      <c r="HK16" s="541"/>
      <c r="HL16" s="541"/>
      <c r="HM16" s="541"/>
      <c r="HN16" s="541"/>
      <c r="HO16" s="541"/>
      <c r="HP16" s="541"/>
      <c r="HQ16" s="541"/>
      <c r="HR16" s="541"/>
      <c r="HS16" s="541"/>
      <c r="HT16" s="541"/>
      <c r="HU16" s="541"/>
      <c r="HV16" s="541"/>
      <c r="HW16" s="541"/>
      <c r="HX16" s="541"/>
    </row>
    <row r="17" spans="1:232" s="686" customFormat="1" ht="34.5" customHeight="1" x14ac:dyDescent="0.2">
      <c r="A17" s="687">
        <v>4</v>
      </c>
      <c r="B17" s="688">
        <v>1</v>
      </c>
      <c r="C17" s="694"/>
      <c r="D17" s="694" t="str">
        <f t="shared" ref="D17:D24" si="0">IF(F17="Nam","Ông","Bà")</f>
        <v>Ông</v>
      </c>
      <c r="E17" s="695" t="s">
        <v>202</v>
      </c>
      <c r="F17" s="694" t="s">
        <v>60</v>
      </c>
      <c r="G17" s="691" t="s">
        <v>42</v>
      </c>
      <c r="H17" s="696" t="s">
        <v>51</v>
      </c>
      <c r="I17" s="691" t="s">
        <v>48</v>
      </c>
      <c r="J17" s="696" t="s">
        <v>51</v>
      </c>
      <c r="K17" s="695" t="s">
        <v>203</v>
      </c>
      <c r="L17" s="689" t="s">
        <v>204</v>
      </c>
      <c r="M17" s="697" t="str">
        <f t="shared" ref="M17:M24" si="1">IF(L17="công chức","CC",IF(L17="viên chức","VC",IF(L17="người lao động","NLĐ","- - -")))</f>
        <v>CC</v>
      </c>
      <c r="N17" s="698"/>
      <c r="O17" s="699" t="str">
        <f t="shared" ref="O17:O24" si="2">IF(AND((Q17+0)&gt;0.3,(Q17+0)&lt;1.5),"CVụ","- -")</f>
        <v>CVụ</v>
      </c>
      <c r="P17" s="695" t="s">
        <v>205</v>
      </c>
      <c r="Q17" s="688">
        <f>VLOOKUP(P17,'[3]- DLiêu Gốc (Không sửa)'!$C$2:$H$116,2,0)</f>
        <v>1.1000000000000001</v>
      </c>
      <c r="R17" s="695"/>
      <c r="S17" s="700" t="s">
        <v>205</v>
      </c>
      <c r="T17" s="685" t="str">
        <f>VLOOKUP(Y17,'[4]- DLiêu Gốc -'!$C$2:$H$60,5,0)</f>
        <v>A3</v>
      </c>
      <c r="U17" s="701" t="str">
        <f>VLOOKUP(Y17,'[4]- DLiêu Gốc -'!$C$2:$H$60,6,0)</f>
        <v>A3.1</v>
      </c>
      <c r="V17" s="692" t="s">
        <v>69</v>
      </c>
      <c r="W17" s="702" t="str">
        <f t="shared" ref="W17:W24" si="3">IF(OR(Y17="Kỹ thuật viên đánh máy",Y17="Nhân viên đánh máy",Y17="Nhân viên kỹ thuật",Y17="Nhân viên văn thư",Y17="Nhân viên phục vụ",Y17="Lái xe cơ quan",Y17="Nhân viên bảo vệ"),"Nhân viên",Y17)</f>
        <v>Giảng viên cao cấp (hạng I)</v>
      </c>
      <c r="X17" s="692" t="str">
        <f t="shared" ref="X17:X24" si="4">IF(W17="Nhân viên","01.005",Z17)</f>
        <v>V.07.01.01</v>
      </c>
      <c r="Y17" s="684" t="s">
        <v>72</v>
      </c>
      <c r="Z17" s="684" t="str">
        <f>VLOOKUP(Y17,'[4]- DLiêu Gốc -'!$C$1:$H$133,2,0)</f>
        <v>V.07.01.01</v>
      </c>
      <c r="AA17" s="697" t="str">
        <f t="shared" ref="AA17:AA24" si="5">IF(OR(AND(BC17=36,BB17=3),AND(BC17=24,BB17=2),AND(BC17=12,BB17=1)),"Đến $",IF(OR(AND(BC17&gt;36,BB17=3),AND(BC17&gt;24,BB17=2),AND(BC17&gt;12,BB17=1)),"Dừng $","Lương"))</f>
        <v>Lương</v>
      </c>
      <c r="AB17" s="703">
        <v>2</v>
      </c>
      <c r="AC17" s="704" t="str">
        <f t="shared" ref="AC17:AC24" si="6">IF(AD17&gt;0,"/")</f>
        <v>/</v>
      </c>
      <c r="AD17" s="704">
        <f t="shared" ref="AD17:AD24" si="7">IF(OR(BE17=0.18,BE17=0.2),12,IF(BE17=0.31,10,IF(BE17=0.33,9,IF(BE17=0.34,8,IF(BE17=0.36,6)))))</f>
        <v>6</v>
      </c>
      <c r="AE17" s="685">
        <f t="shared" ref="AE17:AE24" si="8">BD17+(AB17-1)*BE17</f>
        <v>6.5600000000000005</v>
      </c>
      <c r="AF17" s="685"/>
      <c r="AG17" s="685"/>
      <c r="AH17" s="685"/>
      <c r="AI17" s="689" t="s">
        <v>51</v>
      </c>
      <c r="AJ17" s="685"/>
      <c r="AK17" s="689" t="s">
        <v>51</v>
      </c>
      <c r="AL17" s="685"/>
      <c r="AM17" s="705"/>
      <c r="AN17" s="706"/>
      <c r="AO17" s="707">
        <f t="shared" ref="AO17:AO24" si="9">AB17+1</f>
        <v>3</v>
      </c>
      <c r="AP17" s="689" t="str">
        <f t="shared" ref="AP17:AP24" si="10">IF(AD17=AB17,"%",IF(AD17&gt;AB17,"/"))</f>
        <v>/</v>
      </c>
      <c r="AQ17" s="693">
        <f t="shared" ref="AQ17:AQ24" si="11">IF(AND(AD17=AB17,AO17=4),5,IF(AND(AD17=AB17,AO17&gt;4),AO17+1,IF(AD17&gt;AB17,AD17)))</f>
        <v>6</v>
      </c>
      <c r="AR17" s="689">
        <f t="shared" ref="AR17:AR24" si="12">IF(AD17=AB17,"%",IF(AD17&gt;AB17,AE17+BE17))</f>
        <v>6.9200000000000008</v>
      </c>
      <c r="AS17" s="689"/>
      <c r="AT17" s="708" t="s">
        <v>41</v>
      </c>
      <c r="AU17" s="690" t="s">
        <v>51</v>
      </c>
      <c r="AV17" s="709" t="s">
        <v>45</v>
      </c>
      <c r="AW17" s="690" t="s">
        <v>51</v>
      </c>
      <c r="AX17" s="695">
        <v>2017</v>
      </c>
      <c r="AY17" s="695"/>
      <c r="AZ17" s="710"/>
      <c r="BA17" s="711"/>
      <c r="BB17" s="712">
        <f t="shared" ref="BB17:BB24" si="13">IF(AND(AD17&gt;AB17,OR(BE17=0.18,BE17=0.2)),2,IF(AND(AD17&gt;AB17,OR(BE17=0.31,BE17=0.33,BE17=0.34,BE17=0.36)),3,IF(AD17=AB17,1)))</f>
        <v>3</v>
      </c>
      <c r="BC17" s="713">
        <f t="shared" ref="BC17:BC24" si="14">12*($AA$2-AX17)+($AA$3-AV17)-AM17</f>
        <v>-24212</v>
      </c>
      <c r="BD17" s="685">
        <f>VLOOKUP(Y17,'[4]- DLiêu Gốc -'!$C$1:$F$60,3,0)</f>
        <v>6.2</v>
      </c>
      <c r="BE17" s="685">
        <f>VLOOKUP(Y17,'[4]- DLiêu Gốc -'!$C$1:$F$60,4,0)</f>
        <v>0.36</v>
      </c>
      <c r="BF17" s="714">
        <v>9</v>
      </c>
      <c r="BG17" s="715" t="s">
        <v>39</v>
      </c>
      <c r="BH17" s="716" t="s">
        <v>41</v>
      </c>
      <c r="BI17" s="690" t="s">
        <v>51</v>
      </c>
      <c r="BJ17" s="691" t="s">
        <v>47</v>
      </c>
      <c r="BK17" s="690" t="s">
        <v>51</v>
      </c>
      <c r="BL17" s="695">
        <v>2017</v>
      </c>
      <c r="BM17" s="705"/>
      <c r="BN17" s="717"/>
      <c r="BO17" s="714">
        <f t="shared" ref="BO17:BO24" si="15">IF(BF17&gt;3,BF17+1,0)</f>
        <v>10</v>
      </c>
      <c r="BP17" s="706" t="s">
        <v>39</v>
      </c>
      <c r="BQ17" s="716" t="s">
        <v>41</v>
      </c>
      <c r="BR17" s="690" t="s">
        <v>51</v>
      </c>
      <c r="BS17" s="691" t="s">
        <v>47</v>
      </c>
      <c r="BT17" s="690" t="s">
        <v>51</v>
      </c>
      <c r="BU17" s="695">
        <v>2018</v>
      </c>
      <c r="BV17" s="692"/>
      <c r="BW17" s="718" t="s">
        <v>206</v>
      </c>
      <c r="BX17" s="719">
        <v>7</v>
      </c>
      <c r="BY17" s="720">
        <f t="shared" ref="BY17:BY24" si="16">IF(BF17&gt;3,(($BF$2-BU17)*12+($BF$3-BS17)-BM17),"- - -")</f>
        <v>-24223</v>
      </c>
      <c r="BZ17" s="721" t="str">
        <f t="shared" ref="BZ17:BZ24" si="17">IF(AND(CV17="Hưu",BF17&gt;3),12-(12*(DB17-BU17)+(DA17-BS17))-BM17,"- - -")</f>
        <v>- - -</v>
      </c>
      <c r="CA17" s="695" t="str">
        <f>IF(OR(S17="Ban Tổ chức - Cán bộ",S17="Văn phòng Học viện",S17="Phó Giám đốc Thường trực Học viện",S17="Phó Giám đốc Học viện"),"Chánh Văn phòng Học viện, Trưởng Ban Tổ chức - Cán bộ",IF(OR(S17="Trung tâm Ngoại ngữ",S17="Trung tâm Tin học hành chính và Công nghệ thông tin",S17="Trung tâm Tin học - Thư viện",S17="Phân viện khu vực Tây Nguyên"),"Chánh Văn phòng Học viện, Trưởng Ban Tổ chức - Cán bộ, "&amp;CONCATENATE("Giám đốc ",S17),IF(S17="Tạp chí Quản lý nhà nước","Chánh Văn phòng Học viện, Trưởng Ban Tổ chức - Cán bộ, "&amp;CONCATENATE("Tổng Biên tập ",S17),IF(S17="Văn phòng Đảng uỷ Học viện","Chánh Văn phòng Học viện, Trưởng Ban Tổ chức - Cán bộ, "&amp;CONCATENATE("Chánh",S17),IF(S17="Viện Nghiên cứu Khoa học hành chính","Chánh Văn phòng Học viện, Trưởng Ban Tổ chức - Cán bộ, "&amp;CONCATENATE("Viện Trưởng ",S17),IF(OR(S17="Cơ sở Học viện Hành chính Quốc gia khu vực miền Trung",S17="Cơ sở Học viện Hành chính Quốc gia tại Thành phố Hồ Chí Minh"),"Chánh Văn phòng Học viện, Trưởng Ban Tổ chức - Cán bộ, "&amp;CONCATENATE("Thủ trưởng ",S17),"Chánh Văn phòng Học viện, Trưởng Ban Tổ chức - Cán bộ, "&amp;CONCATENATE("Trưởng ",S17)))))))</f>
        <v>Chánh Văn phòng Học viện, Trưởng Ban Tổ chức - Cán bộ</v>
      </c>
      <c r="CB17" s="722" t="str">
        <f t="shared" ref="CB17:CB24" si="18">IF(S17="Cơ sở Học viện Hành chính khu vực miền Trung","B",IF(S17="Phân viện Khu vực Tây Nguyên","C",IF(S17="Cơ sở Học viện Hành chính tại thành phố Hồ Chí Minh","D","A")))</f>
        <v>A</v>
      </c>
      <c r="CC17" s="723" t="str">
        <f t="shared" ref="CC17:CC24" si="19">IF(AND(AO17&gt;0,AB17&lt;(AD17-1),CD17&gt;0,CD17&lt;13,OR(AND(CJ17="Cùg Ng",($CC$2-CF17)&gt;BB17),CJ17="- - -")),"Sớm TT","=&gt; s")</f>
        <v>=&gt; s</v>
      </c>
      <c r="CD17" s="697">
        <f t="shared" ref="CD17:CD24" si="20">IF(BB17=3,36-(12*($CC$2-AX17)+(12-AV17)-AM17),IF(BB17=2,24-(12*($CC$2-AX17)+(12-AV17)-AM17),"---"))</f>
        <v>24236</v>
      </c>
      <c r="CE17" s="694" t="str">
        <f t="shared" ref="CE17:CE24" si="21">IF(CF17&gt;1,"S","---")</f>
        <v>S</v>
      </c>
      <c r="CF17" s="694">
        <v>2017</v>
      </c>
      <c r="CG17" s="724" t="s">
        <v>207</v>
      </c>
      <c r="CH17" s="694"/>
      <c r="CI17" s="692"/>
      <c r="CJ17" s="694" t="str">
        <f t="shared" ref="CJ17:CJ24" si="22">IF(X17=CG17,"Cùg Ng","- - -")</f>
        <v>- - -</v>
      </c>
      <c r="CK17" s="725" t="str">
        <f t="shared" ref="CK17:CK24" si="23">IF(CM17&gt;2000,"NN","- - -")</f>
        <v>NN</v>
      </c>
      <c r="CL17" s="726">
        <v>5</v>
      </c>
      <c r="CM17" s="727">
        <v>2012</v>
      </c>
      <c r="CN17" s="726"/>
      <c r="CO17" s="728"/>
      <c r="CP17" s="725" t="str">
        <f t="shared" ref="CP17:CP24" si="24">IF(CR17&gt;2000,"CN","- - -")</f>
        <v>- - -</v>
      </c>
      <c r="CQ17" s="726"/>
      <c r="CR17" s="727"/>
      <c r="CS17" s="726"/>
      <c r="CT17" s="728"/>
      <c r="CU17" s="729" t="str">
        <f t="shared" ref="CU17:CU24" si="25">IF(AND(CV17="Hưu",AB17&lt;(AD17-1),DC17&gt;0,DC17&lt;18,OR(BF17&lt;4,AND(BF17&gt;3,OR(BZ17&lt;3,BZ17&gt;5)))),"Lg Sớm",IF(AND(CV17="Hưu",AB17&gt;(AD17-2),OR(BE17=0.33,BE17=0.34),OR(BF17&lt;4,AND(BF17&gt;3,OR(BZ17&lt;3,BZ17&gt;5)))),"Nâng Ngạch",IF(AND(CV17="Hưu",BB17=1,DC17&gt;2,DC17&lt;6,OR(BF17&lt;4,AND(BF17&gt;3,OR(BZ17&lt;3,BZ17&gt;5)))),"Nâng PcVK cùng QĐ",IF(AND(CV17="Hưu",BF17&gt;3,BZ17&gt;2,BZ17&lt;6,AB17&lt;(AD17-1),DC17&gt;17,OR(BB17&gt;1,AND(BB17=1,OR(DC17&lt;3,DC17&gt;5)))),"Nâng PcNG cùng QĐ",IF(AND(CV17="Hưu",AB17&lt;(AD17-1),DC17&gt;0,DC17&lt;18,BF17&gt;3,BZ17&gt;2,BZ17&lt;6),"Nâng Lg Sớm +(PcNG cùng QĐ)",IF(AND(CV17="Hưu",AB17&gt;(AD17-2),OR(BE17=0.33,BE17=0.34),BF17&gt;3,BZ17&gt;2,BZ17&lt;6),"Nâng Ngạch +(PcNG cùng QĐ)",IF(AND(CV17="Hưu",BB17=1,DC17&gt;2,DC17&lt;6,BF17&gt;3,BZ17&gt;2,BZ17&lt;6),"Nâng (PcVK +PcNG) cùng QĐ",("---"))))))))</f>
        <v>---</v>
      </c>
      <c r="CV17" s="730" t="str">
        <f t="shared" ref="CV17:CV24" si="26">IF(AND(DG17&gt;DF17,DG17&lt;(DF17+13)),"Hưu",IF(AND(DG17&gt;(DF17+12),DG17&lt;1000),"Quá","/-/ /-/"))</f>
        <v>/-/ /-/</v>
      </c>
      <c r="CW17" s="731">
        <f t="shared" ref="CW17:CW24" si="27">IF((I17+0)&lt;12,(I17+0)+1,IF((I17+0)=12,1,IF((I17+0)&gt;12,(I17+0)-12)))</f>
        <v>10</v>
      </c>
      <c r="CX17" s="732">
        <f t="shared" ref="CX17:CX24" si="28">IF(OR((I17+0)=12,(I17+0)&gt;12),K17+DF17/12+1,IF(AND((I17+0)&gt;0,(I17+0)&lt;12),K17+DF17/12,"---"))</f>
        <v>2025</v>
      </c>
      <c r="CY17" s="731">
        <f t="shared" ref="CY17:CY24" si="29">IF(AND(CW17&gt;3,CW17&lt;13),CW17-3,IF(CW17&lt;4,CW17-3+12))</f>
        <v>7</v>
      </c>
      <c r="CZ17" s="732">
        <f t="shared" ref="CZ17:CZ24" si="30">IF(CY17&lt;CW17,CX17,IF(CY17&gt;CW17,CX17-1))</f>
        <v>2025</v>
      </c>
      <c r="DA17" s="731">
        <f t="shared" ref="DA17:DA24" si="31">IF(CW17&gt;6,CW17-6,IF(CW17=6,12,IF(CW17&lt;6,CW17+6)))</f>
        <v>4</v>
      </c>
      <c r="DB17" s="732">
        <f t="shared" ref="DB17:DB24" si="32">IF(CW17&gt;6,CX17,IF(CW17&lt;7,CX17-1))</f>
        <v>2025</v>
      </c>
      <c r="DC17" s="733" t="str">
        <f t="shared" ref="DC17:DC24" si="33">IF(AND(CV17="Hưu",BB17=3),36+AM17-(12*(DB17-AX17)+(DA17-AV17)),IF(AND(CV17="Hưu",BB17=2),24+AM17-(12*(DB17-AX17)+(DA17-AV17)),IF(AND(CV17="Hưu",BB17=1),12+AM17-(12*(DB17-AX17)+(DA17-AV17)),"- - -")))</f>
        <v>- - -</v>
      </c>
      <c r="DD17" s="734" t="str">
        <f t="shared" ref="DD17:DD24" si="34">IF(DE17&gt;0,"K.Dài",". .")</f>
        <v>. .</v>
      </c>
      <c r="DE17" s="734"/>
      <c r="DF17" s="697">
        <f t="shared" ref="DF17:DF24" si="35">IF(F17="Nam",(60+DE17)*12,IF(F17="Nữ",(55+DE17)*12,))</f>
        <v>720</v>
      </c>
      <c r="DG17" s="697">
        <f t="shared" ref="DG17:DG24" si="36">12*($CV$4-K17)+(12-I17)</f>
        <v>-23577</v>
      </c>
      <c r="DH17" s="697">
        <f t="shared" ref="DH17:DH24" si="37">$DL$4-K17</f>
        <v>-1965</v>
      </c>
      <c r="DI17" s="697" t="str">
        <f t="shared" ref="DI17:DI24" si="38">IF(AND(DH17&lt;35,F17="Nam"),"Nam dưới 35",IF(AND(DH17&lt;30,F17="Nữ"),"Nữ dưới 30",IF(AND(DH17&gt;34,DH17&lt;46,F17="Nam"),"Nam từ 35 - 45",IF(AND(DH17&gt;29,DH17&lt;41,F17="Nữ"),"Nữ từ 30 - 40",IF(AND(DH17&gt;45,DH17&lt;56,F17="Nam"),"Nam trên 45 - 55",IF(AND(DH17&gt;40,DH17&lt;51,F17="Nữ"),"Nữ trên 40 - 50",IF(AND(DH17&gt;55,F17="Nam"),"Nam trên 55","Nữ trên 50")))))))</f>
        <v>Nam dưới 35</v>
      </c>
      <c r="DJ17" s="697"/>
      <c r="DK17" s="697"/>
      <c r="DL17" s="721" t="str">
        <f t="shared" ref="DL17:DL24" si="39">IF(DH17&lt;31,"Đến 30",IF(AND(DH17&gt;30,DH17&lt;46),"31 - 45",IF(AND(DH17&gt;45,DH17&lt;70),"Trên 45")))</f>
        <v>Đến 30</v>
      </c>
      <c r="DM17" s="726" t="str">
        <f t="shared" ref="DM17:DM24" si="40">IF(DN17&gt;0,"TD","--")</f>
        <v>--</v>
      </c>
      <c r="DN17" s="735"/>
      <c r="DO17" s="694"/>
      <c r="DP17" s="736"/>
      <c r="DQ17" s="735"/>
      <c r="DR17" s="728"/>
      <c r="DS17" s="737"/>
      <c r="DT17" s="704"/>
      <c r="DU17" s="738"/>
      <c r="DV17" s="739"/>
      <c r="DW17" s="740"/>
      <c r="DX17" s="741" t="s">
        <v>205</v>
      </c>
      <c r="DY17" s="740"/>
      <c r="DZ17" s="742" t="s">
        <v>41</v>
      </c>
      <c r="EA17" s="743" t="s">
        <v>51</v>
      </c>
      <c r="EB17" s="743" t="s">
        <v>43</v>
      </c>
      <c r="EC17" s="743" t="s">
        <v>51</v>
      </c>
      <c r="ED17" s="744">
        <v>2012</v>
      </c>
      <c r="EE17" s="743">
        <f t="shared" ref="EE17:EE24" si="41">(DZ17+0)-(EG17+0)</f>
        <v>0</v>
      </c>
      <c r="EF17" s="745" t="str">
        <f t="shared" ref="EF17:EF24" si="42">IF(EE17&gt;0,"Sửa","- - -")</f>
        <v>- - -</v>
      </c>
      <c r="EG17" s="742" t="s">
        <v>41</v>
      </c>
      <c r="EH17" s="743" t="s">
        <v>51</v>
      </c>
      <c r="EI17" s="743" t="s">
        <v>43</v>
      </c>
      <c r="EJ17" s="743" t="s">
        <v>51</v>
      </c>
      <c r="EK17" s="744">
        <v>2012</v>
      </c>
      <c r="EL17" s="694">
        <v>5.76</v>
      </c>
      <c r="EM17" s="725" t="str">
        <f t="shared" ref="EM17:EM24" si="43">IF(AND(BE17&gt;0.34,AO17=1,OR(BD17=6.2,BD17=5.75)),((BD17-EL17)-2*0.34),IF(AND(BE17&gt;0.33,AO17=1,OR(BD17=4.4,BD17=4)),((BD17-EL17)-2*0.33),"- - -"))</f>
        <v>- - -</v>
      </c>
      <c r="EN17" s="746" t="str">
        <f t="shared" ref="EN17:EN24" si="44">IF(CV17="Hưu",12*(DB17-AX17)+(DA17-AV17),"---")</f>
        <v>---</v>
      </c>
      <c r="EO17" s="739"/>
    </row>
    <row r="18" spans="1:232" s="748" customFormat="1" ht="34.5" customHeight="1" x14ac:dyDescent="0.2">
      <c r="A18" s="687">
        <v>71</v>
      </c>
      <c r="B18" s="688">
        <v>2</v>
      </c>
      <c r="C18" s="694"/>
      <c r="D18" s="694" t="str">
        <f t="shared" si="0"/>
        <v>Bà</v>
      </c>
      <c r="E18" s="695" t="s">
        <v>208</v>
      </c>
      <c r="F18" s="694" t="s">
        <v>61</v>
      </c>
      <c r="G18" s="691" t="s">
        <v>209</v>
      </c>
      <c r="H18" s="696" t="s">
        <v>51</v>
      </c>
      <c r="I18" s="691" t="s">
        <v>49</v>
      </c>
      <c r="J18" s="696" t="s">
        <v>51</v>
      </c>
      <c r="K18" s="695" t="s">
        <v>210</v>
      </c>
      <c r="L18" s="689" t="s">
        <v>79</v>
      </c>
      <c r="M18" s="697" t="str">
        <f t="shared" si="1"/>
        <v>VC</v>
      </c>
      <c r="N18" s="698"/>
      <c r="O18" s="699" t="e">
        <f t="shared" si="2"/>
        <v>#N/A</v>
      </c>
      <c r="P18" s="695"/>
      <c r="Q18" s="688" t="e">
        <f>VLOOKUP(P18,'[4]- DLiêu Gốc -'!$C$2:$H$115,2,0)</f>
        <v>#N/A</v>
      </c>
      <c r="R18" s="695" t="s">
        <v>211</v>
      </c>
      <c r="S18" s="700" t="s">
        <v>128</v>
      </c>
      <c r="T18" s="685" t="str">
        <f>VLOOKUP(Y18,'[4]- DLiêu Gốc -'!$C$2:$H$60,5,0)</f>
        <v>A1</v>
      </c>
      <c r="U18" s="701" t="str">
        <f>VLOOKUP(Y18,'[4]- DLiêu Gốc -'!$C$2:$H$60,6,0)</f>
        <v>- - -</v>
      </c>
      <c r="V18" s="692" t="s">
        <v>69</v>
      </c>
      <c r="W18" s="702" t="str">
        <f t="shared" si="3"/>
        <v>Giảng viên (hạng III)</v>
      </c>
      <c r="X18" s="692" t="str">
        <f t="shared" si="4"/>
        <v>V.07.01.03</v>
      </c>
      <c r="Y18" s="684" t="s">
        <v>73</v>
      </c>
      <c r="Z18" s="684" t="str">
        <f>VLOOKUP(Y18,'[4]- DLiêu Gốc -'!$C$1:$H$133,2,0)</f>
        <v>V.07.01.03</v>
      </c>
      <c r="AA18" s="697" t="str">
        <f t="shared" si="5"/>
        <v>Lương</v>
      </c>
      <c r="AB18" s="703">
        <v>3</v>
      </c>
      <c r="AC18" s="704" t="str">
        <f t="shared" si="6"/>
        <v>/</v>
      </c>
      <c r="AD18" s="704">
        <f t="shared" si="7"/>
        <v>9</v>
      </c>
      <c r="AE18" s="685">
        <f t="shared" si="8"/>
        <v>3</v>
      </c>
      <c r="AF18" s="685"/>
      <c r="AG18" s="685"/>
      <c r="AH18" s="685"/>
      <c r="AI18" s="689" t="s">
        <v>51</v>
      </c>
      <c r="AJ18" s="685"/>
      <c r="AK18" s="689" t="s">
        <v>51</v>
      </c>
      <c r="AL18" s="693"/>
      <c r="AM18" s="705"/>
      <c r="AN18" s="706"/>
      <c r="AO18" s="707">
        <f t="shared" si="9"/>
        <v>4</v>
      </c>
      <c r="AP18" s="689" t="str">
        <f t="shared" si="10"/>
        <v>/</v>
      </c>
      <c r="AQ18" s="693">
        <f t="shared" si="11"/>
        <v>9</v>
      </c>
      <c r="AR18" s="689">
        <f t="shared" si="12"/>
        <v>3.33</v>
      </c>
      <c r="AS18" s="689"/>
      <c r="AT18" s="708" t="s">
        <v>41</v>
      </c>
      <c r="AU18" s="690" t="s">
        <v>51</v>
      </c>
      <c r="AV18" s="709" t="s">
        <v>47</v>
      </c>
      <c r="AW18" s="690" t="s">
        <v>51</v>
      </c>
      <c r="AX18" s="695">
        <v>2016</v>
      </c>
      <c r="AY18" s="695"/>
      <c r="AZ18" s="710"/>
      <c r="BA18" s="711"/>
      <c r="BB18" s="712">
        <f t="shared" si="13"/>
        <v>3</v>
      </c>
      <c r="BC18" s="713">
        <f t="shared" si="14"/>
        <v>-24199</v>
      </c>
      <c r="BD18" s="685">
        <f>VLOOKUP(Y18,'[4]- DLiêu Gốc -'!$C$1:$F$60,3,0)</f>
        <v>2.34</v>
      </c>
      <c r="BE18" s="685">
        <f>VLOOKUP(Y18,'[4]- DLiêu Gốc -'!$C$1:$F$60,4,0)</f>
        <v>0.33</v>
      </c>
      <c r="BF18" s="714">
        <v>10</v>
      </c>
      <c r="BG18" s="715" t="s">
        <v>39</v>
      </c>
      <c r="BH18" s="716" t="s">
        <v>41</v>
      </c>
      <c r="BI18" s="690" t="s">
        <v>51</v>
      </c>
      <c r="BJ18" s="691">
        <v>7</v>
      </c>
      <c r="BK18" s="690" t="s">
        <v>51</v>
      </c>
      <c r="BL18" s="695">
        <v>2017</v>
      </c>
      <c r="BM18" s="705"/>
      <c r="BN18" s="717"/>
      <c r="BO18" s="714">
        <f t="shared" si="15"/>
        <v>11</v>
      </c>
      <c r="BP18" s="706" t="s">
        <v>39</v>
      </c>
      <c r="BQ18" s="716" t="s">
        <v>41</v>
      </c>
      <c r="BR18" s="690" t="s">
        <v>51</v>
      </c>
      <c r="BS18" s="691">
        <v>7</v>
      </c>
      <c r="BT18" s="690" t="s">
        <v>51</v>
      </c>
      <c r="BU18" s="695">
        <v>2018</v>
      </c>
      <c r="BV18" s="747"/>
      <c r="BW18" s="718"/>
      <c r="BX18" s="719">
        <v>7</v>
      </c>
      <c r="BY18" s="720">
        <f t="shared" si="16"/>
        <v>-24223</v>
      </c>
      <c r="BZ18" s="721" t="str">
        <f t="shared" si="17"/>
        <v>- - -</v>
      </c>
      <c r="CA18" s="695" t="str">
        <f>IF(OR(S18="Ban Tổ chức - Cán bộ",S18="Văn phòng Học viện",S18="Phó Giám đốc Thường trực Học viện",S18="Phó Giám đốc Học viện"),"Chánh Văn phòng Học viện, Trưởng Ban Tổ chức - Cán bộ",IF(OR(S18="Trung tâm Ngoại ngữ",S18="Trung tâm Tin học hành chính và Công nghệ thông tin",S18="Trung tâm Tin học - Thư viện",S18="Phân viện khu vực Tây Nguyên"),"Chánh Văn phòng Học viện, Trưởng Ban Tổ chức - Cán bộ, "&amp;CONCATENATE("Giám đốc ",S18),IF(S18="Tạp chí Quản lý nhà nước","Chánh Văn phòng Học viện, Trưởng Ban Tổ chức - Cán bộ, "&amp;CONCATENATE("Tổng Biên tập ",S18),IF(S18="Văn phòng Đảng uỷ Học viện","Chánh Văn phòng Học viện, Trưởng Ban Tổ chức - Cán bộ, "&amp;CONCATENATE("Chánh",S18),IF(S18="Viện Nghiên cứu Khoa học hành chính","Chánh Văn phòng Học viện, Trưởng Ban Tổ chức - Cán bộ, "&amp;CONCATENATE("Viện Trưởng ",S18),IF(OR(S18="Cơ sở Học viện Hành chính Quốc gia khu vực miền Trung",S18="Cơ sở Học viện Hành chính Quốc gia tại Thành phố Hồ Chí Minh"),"Chánh Văn phòng Học viện, Trưởng Ban Tổ chức - Cán bộ, "&amp;CONCATENATE("Thủ trưởng ",S18),"Chánh Văn phòng Học viện, Trưởng Ban Tổ chức - Cán bộ, "&amp;CONCATENATE("Trưởng ",S18)))))))</f>
        <v>Chánh Văn phòng Học viện, Trưởng Ban Tổ chức - Cán bộ, Trưởng Ban Quản lý bồi dưỡng</v>
      </c>
      <c r="CB18" s="722" t="str">
        <f t="shared" si="18"/>
        <v>A</v>
      </c>
      <c r="CC18" s="723" t="str">
        <f t="shared" si="19"/>
        <v>=&gt; s</v>
      </c>
      <c r="CD18" s="697">
        <f t="shared" si="20"/>
        <v>24223</v>
      </c>
      <c r="CE18" s="694" t="str">
        <f t="shared" si="21"/>
        <v>---</v>
      </c>
      <c r="CF18" s="694"/>
      <c r="CG18" s="724"/>
      <c r="CH18" s="694"/>
      <c r="CI18" s="692"/>
      <c r="CJ18" s="694" t="str">
        <f t="shared" si="22"/>
        <v>- - -</v>
      </c>
      <c r="CK18" s="725" t="str">
        <f t="shared" si="23"/>
        <v>- - -</v>
      </c>
      <c r="CL18" s="726"/>
      <c r="CM18" s="727"/>
      <c r="CN18" s="726"/>
      <c r="CO18" s="728"/>
      <c r="CP18" s="725" t="str">
        <f t="shared" si="24"/>
        <v>- - -</v>
      </c>
      <c r="CQ18" s="726"/>
      <c r="CR18" s="727"/>
      <c r="CS18" s="726"/>
      <c r="CT18" s="728"/>
      <c r="CU18" s="729" t="str">
        <f t="shared" si="25"/>
        <v>---</v>
      </c>
      <c r="CV18" s="730" t="str">
        <f t="shared" si="26"/>
        <v>/-/ /-/</v>
      </c>
      <c r="CW18" s="731">
        <f t="shared" si="27"/>
        <v>1</v>
      </c>
      <c r="CX18" s="732">
        <f t="shared" si="28"/>
        <v>2031</v>
      </c>
      <c r="CY18" s="731">
        <f t="shared" si="29"/>
        <v>10</v>
      </c>
      <c r="CZ18" s="732">
        <f t="shared" si="30"/>
        <v>2030</v>
      </c>
      <c r="DA18" s="731">
        <f t="shared" si="31"/>
        <v>7</v>
      </c>
      <c r="DB18" s="732">
        <f t="shared" si="32"/>
        <v>2030</v>
      </c>
      <c r="DC18" s="733" t="str">
        <f t="shared" si="33"/>
        <v>- - -</v>
      </c>
      <c r="DD18" s="734" t="str">
        <f t="shared" si="34"/>
        <v>. .</v>
      </c>
      <c r="DE18" s="734"/>
      <c r="DF18" s="697">
        <f t="shared" si="35"/>
        <v>660</v>
      </c>
      <c r="DG18" s="697">
        <f t="shared" si="36"/>
        <v>-23700</v>
      </c>
      <c r="DH18" s="697">
        <f t="shared" si="37"/>
        <v>-1975</v>
      </c>
      <c r="DI18" s="697" t="str">
        <f t="shared" si="38"/>
        <v>Nữ dưới 30</v>
      </c>
      <c r="DJ18" s="697"/>
      <c r="DK18" s="697"/>
      <c r="DL18" s="721" t="str">
        <f t="shared" si="39"/>
        <v>Đến 30</v>
      </c>
      <c r="DM18" s="726" t="str">
        <f t="shared" si="40"/>
        <v>TD</v>
      </c>
      <c r="DN18" s="735">
        <v>2012</v>
      </c>
      <c r="DO18" s="694"/>
      <c r="DP18" s="736"/>
      <c r="DQ18" s="735"/>
      <c r="DR18" s="728"/>
      <c r="DS18" s="737"/>
      <c r="DT18" s="704"/>
      <c r="DU18" s="738"/>
      <c r="DV18" s="739"/>
      <c r="DW18" s="740" t="s">
        <v>211</v>
      </c>
      <c r="DX18" s="741" t="s">
        <v>155</v>
      </c>
      <c r="DY18" s="740" t="s">
        <v>211</v>
      </c>
      <c r="DZ18" s="742" t="s">
        <v>41</v>
      </c>
      <c r="EA18" s="743" t="s">
        <v>51</v>
      </c>
      <c r="EB18" s="743" t="s">
        <v>47</v>
      </c>
      <c r="EC18" s="743" t="s">
        <v>51</v>
      </c>
      <c r="ED18" s="744">
        <v>2013</v>
      </c>
      <c r="EE18" s="743">
        <f t="shared" si="41"/>
        <v>0</v>
      </c>
      <c r="EF18" s="745" t="str">
        <f t="shared" si="42"/>
        <v>- - -</v>
      </c>
      <c r="EG18" s="742" t="s">
        <v>41</v>
      </c>
      <c r="EH18" s="743" t="s">
        <v>51</v>
      </c>
      <c r="EI18" s="743" t="s">
        <v>47</v>
      </c>
      <c r="EJ18" s="743" t="s">
        <v>51</v>
      </c>
      <c r="EK18" s="744">
        <v>2013</v>
      </c>
      <c r="EL18" s="694"/>
      <c r="EM18" s="725" t="str">
        <f t="shared" si="43"/>
        <v>- - -</v>
      </c>
      <c r="EN18" s="746" t="str">
        <f t="shared" si="44"/>
        <v>---</v>
      </c>
      <c r="EO18" s="739"/>
      <c r="EP18" s="686"/>
      <c r="EQ18" s="686"/>
      <c r="ER18" s="686"/>
      <c r="ES18" s="686"/>
      <c r="ET18" s="686"/>
      <c r="EU18" s="686"/>
      <c r="EV18" s="686"/>
      <c r="EW18" s="686"/>
      <c r="EX18" s="686"/>
      <c r="EY18" s="686"/>
      <c r="EZ18" s="686"/>
      <c r="FA18" s="686"/>
      <c r="FB18" s="686"/>
      <c r="FC18" s="686"/>
      <c r="FD18" s="686"/>
      <c r="FE18" s="686"/>
      <c r="FF18" s="686"/>
      <c r="FG18" s="686"/>
      <c r="FH18" s="686"/>
      <c r="FI18" s="686"/>
      <c r="FJ18" s="686"/>
      <c r="FK18" s="686"/>
      <c r="FL18" s="686"/>
      <c r="FM18" s="686"/>
      <c r="FN18" s="686"/>
      <c r="FO18" s="686"/>
      <c r="FP18" s="686"/>
      <c r="FQ18" s="686"/>
      <c r="FR18" s="686"/>
    </row>
    <row r="19" spans="1:232" s="686" customFormat="1" ht="34.5" customHeight="1" x14ac:dyDescent="0.2">
      <c r="A19" s="687">
        <v>116</v>
      </c>
      <c r="B19" s="688">
        <v>3</v>
      </c>
      <c r="C19" s="694"/>
      <c r="D19" s="694" t="str">
        <f t="shared" si="0"/>
        <v>Bà</v>
      </c>
      <c r="E19" s="695" t="s">
        <v>212</v>
      </c>
      <c r="F19" s="694" t="s">
        <v>61</v>
      </c>
      <c r="G19" s="691" t="s">
        <v>156</v>
      </c>
      <c r="H19" s="696" t="s">
        <v>51</v>
      </c>
      <c r="I19" s="691">
        <v>3</v>
      </c>
      <c r="J19" s="696" t="s">
        <v>51</v>
      </c>
      <c r="K19" s="695">
        <v>1980</v>
      </c>
      <c r="L19" s="689" t="s">
        <v>79</v>
      </c>
      <c r="M19" s="697" t="str">
        <f t="shared" si="1"/>
        <v>VC</v>
      </c>
      <c r="N19" s="698"/>
      <c r="O19" s="699" t="e">
        <f t="shared" si="2"/>
        <v>#N/A</v>
      </c>
      <c r="P19" s="695"/>
      <c r="Q19" s="688" t="e">
        <f>VLOOKUP(P19,'[4]- DLiêu Gốc -'!$C$2:$H$115,2,0)</f>
        <v>#N/A</v>
      </c>
      <c r="R19" s="695"/>
      <c r="S19" s="700" t="s">
        <v>192</v>
      </c>
      <c r="T19" s="685" t="str">
        <f>VLOOKUP(Y19,'[4]- DLiêu Gốc -'!$C$2:$H$60,5,0)</f>
        <v>A1</v>
      </c>
      <c r="U19" s="701" t="str">
        <f>VLOOKUP(Y19,'[4]- DLiêu Gốc -'!$C$2:$H$60,6,0)</f>
        <v>- - -</v>
      </c>
      <c r="V19" s="692" t="s">
        <v>69</v>
      </c>
      <c r="W19" s="702" t="str">
        <f t="shared" si="3"/>
        <v>Giảng viên (hạng III)</v>
      </c>
      <c r="X19" s="692" t="str">
        <f t="shared" si="4"/>
        <v>V.07.01.03</v>
      </c>
      <c r="Y19" s="684" t="s">
        <v>73</v>
      </c>
      <c r="Z19" s="684" t="str">
        <f>VLOOKUP(Y19,'[4]- DLiêu Gốc -'!$C$1:$H$133,2,0)</f>
        <v>V.07.01.03</v>
      </c>
      <c r="AA19" s="697" t="str">
        <f t="shared" si="5"/>
        <v>Lương</v>
      </c>
      <c r="AB19" s="703">
        <v>4</v>
      </c>
      <c r="AC19" s="704" t="str">
        <f t="shared" si="6"/>
        <v>/</v>
      </c>
      <c r="AD19" s="704">
        <f t="shared" si="7"/>
        <v>9</v>
      </c>
      <c r="AE19" s="685">
        <f t="shared" si="8"/>
        <v>3.33</v>
      </c>
      <c r="AF19" s="685"/>
      <c r="AG19" s="685"/>
      <c r="AH19" s="685"/>
      <c r="AI19" s="689" t="s">
        <v>51</v>
      </c>
      <c r="AJ19" s="685"/>
      <c r="AK19" s="689" t="s">
        <v>51</v>
      </c>
      <c r="AL19" s="685"/>
      <c r="AM19" s="705"/>
      <c r="AN19" s="706"/>
      <c r="AO19" s="707">
        <f t="shared" si="9"/>
        <v>5</v>
      </c>
      <c r="AP19" s="689" t="str">
        <f t="shared" si="10"/>
        <v>/</v>
      </c>
      <c r="AQ19" s="693">
        <f t="shared" si="11"/>
        <v>9</v>
      </c>
      <c r="AR19" s="689">
        <f t="shared" si="12"/>
        <v>3.66</v>
      </c>
      <c r="AS19" s="689"/>
      <c r="AT19" s="708" t="s">
        <v>41</v>
      </c>
      <c r="AU19" s="690" t="s">
        <v>51</v>
      </c>
      <c r="AV19" s="709" t="s">
        <v>47</v>
      </c>
      <c r="AW19" s="690" t="s">
        <v>51</v>
      </c>
      <c r="AX19" s="695">
        <v>2017</v>
      </c>
      <c r="AY19" s="695"/>
      <c r="AZ19" s="710"/>
      <c r="BA19" s="711"/>
      <c r="BB19" s="712">
        <f t="shared" si="13"/>
        <v>3</v>
      </c>
      <c r="BC19" s="713">
        <f t="shared" si="14"/>
        <v>-24211</v>
      </c>
      <c r="BD19" s="685">
        <f>VLOOKUP(Y19,'[4]- DLiêu Gốc -'!$C$1:$F$60,3,0)</f>
        <v>2.34</v>
      </c>
      <c r="BE19" s="685">
        <f>VLOOKUP(Y19,'[4]- DLiêu Gốc -'!$C$1:$F$60,4,0)</f>
        <v>0.33</v>
      </c>
      <c r="BF19" s="714">
        <v>12</v>
      </c>
      <c r="BG19" s="715" t="s">
        <v>39</v>
      </c>
      <c r="BH19" s="716" t="s">
        <v>41</v>
      </c>
      <c r="BI19" s="690" t="s">
        <v>51</v>
      </c>
      <c r="BJ19" s="691">
        <v>7</v>
      </c>
      <c r="BK19" s="690" t="s">
        <v>51</v>
      </c>
      <c r="BL19" s="695">
        <v>2017</v>
      </c>
      <c r="BM19" s="705"/>
      <c r="BN19" s="717"/>
      <c r="BO19" s="714">
        <f t="shared" si="15"/>
        <v>13</v>
      </c>
      <c r="BP19" s="706" t="s">
        <v>39</v>
      </c>
      <c r="BQ19" s="716" t="s">
        <v>41</v>
      </c>
      <c r="BR19" s="690" t="s">
        <v>51</v>
      </c>
      <c r="BS19" s="691">
        <v>7</v>
      </c>
      <c r="BT19" s="690" t="s">
        <v>51</v>
      </c>
      <c r="BU19" s="695">
        <v>2018</v>
      </c>
      <c r="BV19" s="692"/>
      <c r="BW19" s="718"/>
      <c r="BX19" s="719">
        <v>7</v>
      </c>
      <c r="BY19" s="720">
        <f t="shared" si="16"/>
        <v>-24223</v>
      </c>
      <c r="BZ19" s="721" t="str">
        <f t="shared" si="17"/>
        <v>- - -</v>
      </c>
      <c r="CA19" s="695" t="str">
        <f>IF(OR(S19="Ban Tổ chức - Cán bộ",S19="Văn phòng Học viện",S19="Phó Giám đốc Thường trực Học viện",S19="Phó Giám đốc Học viện"),"Chánh Văn phòng Học viện, Trưởng Ban Tổ chức - Cán bộ",IF(OR(S19="Trung tâm Ngoại ngữ",S19="Trung tâm Tin học hành chính và Công nghệ thông tin",S19="Trung tâm Tin học - Thư viện",S19="Phân viện khu vực Tây Nguyên"),"Chánh Văn phòng Học viện, Trưởng Ban Tổ chức - Cán bộ, "&amp;CONCATENATE("Giám đốc ",S19),IF(S19="Tạp chí Quản lý nhà nước","Chánh Văn phòng Học viện, Trưởng Ban Tổ chức - Cán bộ, "&amp;CONCATENATE("Tổng Biên tập ",S19),IF(S19="Văn phòng Đảng uỷ Học viện","Chánh Văn phòng Học viện, Trưởng Ban Tổ chức - Cán bộ, "&amp;CONCATENATE("Chánh",S19),IF(S19="Viện Nghiên cứu Khoa học hành chính","Chánh Văn phòng Học viện, Trưởng Ban Tổ chức - Cán bộ, "&amp;CONCATENATE("Viện Trưởng ",S19),IF(OR(S19="Cơ sở Học viện Hành chính Quốc gia khu vực miền Trung",S19="Cơ sở Học viện Hành chính Quốc gia tại Thành phố Hồ Chí Minh"),"Chánh Văn phòng Học viện, Trưởng Ban Tổ chức - Cán bộ, "&amp;CONCATENATE("Thủ trưởng ",S19),"Chánh Văn phòng Học viện, Trưởng Ban Tổ chức - Cán bộ, "&amp;CONCATENATE("Trưởng ",S19)))))))</f>
        <v>Chánh Văn phòng Học viện, Trưởng Ban Tổ chức - Cán bộ, Trưởng Bộ môn Ngoại ngữ</v>
      </c>
      <c r="CB19" s="722" t="str">
        <f t="shared" si="18"/>
        <v>A</v>
      </c>
      <c r="CC19" s="723" t="str">
        <f t="shared" si="19"/>
        <v>=&gt; s</v>
      </c>
      <c r="CD19" s="697">
        <f t="shared" si="20"/>
        <v>24235</v>
      </c>
      <c r="CE19" s="694" t="str">
        <f t="shared" si="21"/>
        <v>---</v>
      </c>
      <c r="CF19" s="694"/>
      <c r="CG19" s="724"/>
      <c r="CH19" s="694"/>
      <c r="CI19" s="694"/>
      <c r="CJ19" s="694" t="str">
        <f t="shared" si="22"/>
        <v>- - -</v>
      </c>
      <c r="CK19" s="725" t="str">
        <f t="shared" si="23"/>
        <v>- - -</v>
      </c>
      <c r="CL19" s="726"/>
      <c r="CM19" s="727"/>
      <c r="CN19" s="726"/>
      <c r="CO19" s="728"/>
      <c r="CP19" s="725" t="str">
        <f t="shared" si="24"/>
        <v>- - -</v>
      </c>
      <c r="CQ19" s="726"/>
      <c r="CR19" s="727"/>
      <c r="CS19" s="726"/>
      <c r="CT19" s="728"/>
      <c r="CU19" s="729" t="str">
        <f t="shared" si="25"/>
        <v>---</v>
      </c>
      <c r="CV19" s="730" t="str">
        <f t="shared" si="26"/>
        <v>/-/ /-/</v>
      </c>
      <c r="CW19" s="731">
        <f t="shared" si="27"/>
        <v>4</v>
      </c>
      <c r="CX19" s="732">
        <f t="shared" si="28"/>
        <v>2035</v>
      </c>
      <c r="CY19" s="731">
        <f t="shared" si="29"/>
        <v>1</v>
      </c>
      <c r="CZ19" s="732">
        <f t="shared" si="30"/>
        <v>2035</v>
      </c>
      <c r="DA19" s="731">
        <f t="shared" si="31"/>
        <v>10</v>
      </c>
      <c r="DB19" s="732">
        <f t="shared" si="32"/>
        <v>2034</v>
      </c>
      <c r="DC19" s="733" t="str">
        <f t="shared" si="33"/>
        <v>- - -</v>
      </c>
      <c r="DD19" s="734" t="str">
        <f t="shared" si="34"/>
        <v>. .</v>
      </c>
      <c r="DE19" s="734"/>
      <c r="DF19" s="697">
        <f t="shared" si="35"/>
        <v>660</v>
      </c>
      <c r="DG19" s="697">
        <f t="shared" si="36"/>
        <v>-23751</v>
      </c>
      <c r="DH19" s="697">
        <f t="shared" si="37"/>
        <v>-1980</v>
      </c>
      <c r="DI19" s="697" t="str">
        <f t="shared" si="38"/>
        <v>Nữ dưới 30</v>
      </c>
      <c r="DJ19" s="697"/>
      <c r="DK19" s="697"/>
      <c r="DL19" s="721" t="str">
        <f t="shared" si="39"/>
        <v>Đến 30</v>
      </c>
      <c r="DM19" s="726" t="str">
        <f t="shared" si="40"/>
        <v>--</v>
      </c>
      <c r="DN19" s="735"/>
      <c r="DO19" s="749"/>
      <c r="DP19" s="750"/>
      <c r="DQ19" s="728"/>
      <c r="DR19" s="735"/>
      <c r="DS19" s="751"/>
      <c r="DT19" s="695"/>
      <c r="DU19" s="738"/>
      <c r="DV19" s="739"/>
      <c r="DW19" s="740"/>
      <c r="DX19" s="741" t="s">
        <v>192</v>
      </c>
      <c r="DY19" s="740"/>
      <c r="DZ19" s="742" t="s">
        <v>41</v>
      </c>
      <c r="EA19" s="743" t="s">
        <v>51</v>
      </c>
      <c r="EB19" s="743" t="s">
        <v>47</v>
      </c>
      <c r="EC19" s="743" t="s">
        <v>51</v>
      </c>
      <c r="ED19" s="744" t="s">
        <v>53</v>
      </c>
      <c r="EE19" s="743">
        <f t="shared" si="41"/>
        <v>0</v>
      </c>
      <c r="EF19" s="745" t="str">
        <f t="shared" si="42"/>
        <v>- - -</v>
      </c>
      <c r="EG19" s="742" t="s">
        <v>41</v>
      </c>
      <c r="EH19" s="743" t="s">
        <v>51</v>
      </c>
      <c r="EI19" s="743" t="s">
        <v>47</v>
      </c>
      <c r="EJ19" s="743" t="s">
        <v>51</v>
      </c>
      <c r="EK19" s="744" t="s">
        <v>53</v>
      </c>
      <c r="EL19" s="694"/>
      <c r="EM19" s="725" t="str">
        <f t="shared" si="43"/>
        <v>- - -</v>
      </c>
      <c r="EN19" s="746" t="str">
        <f t="shared" si="44"/>
        <v>---</v>
      </c>
      <c r="EO19" s="739"/>
    </row>
    <row r="20" spans="1:232" s="686" customFormat="1" ht="51" customHeight="1" x14ac:dyDescent="0.3">
      <c r="A20" s="687">
        <v>124</v>
      </c>
      <c r="B20" s="688">
        <v>4</v>
      </c>
      <c r="C20" s="694"/>
      <c r="D20" s="694" t="str">
        <f t="shared" si="0"/>
        <v>Bà</v>
      </c>
      <c r="E20" s="700" t="s">
        <v>213</v>
      </c>
      <c r="F20" s="694" t="s">
        <v>61</v>
      </c>
      <c r="G20" s="691" t="s">
        <v>138</v>
      </c>
      <c r="H20" s="696" t="s">
        <v>51</v>
      </c>
      <c r="I20" s="691" t="s">
        <v>44</v>
      </c>
      <c r="J20" s="696" t="s">
        <v>51</v>
      </c>
      <c r="K20" s="695" t="s">
        <v>186</v>
      </c>
      <c r="L20" s="689" t="s">
        <v>79</v>
      </c>
      <c r="M20" s="697" t="str">
        <f t="shared" si="1"/>
        <v>VC</v>
      </c>
      <c r="N20" s="698"/>
      <c r="O20" s="699" t="str">
        <f t="shared" si="2"/>
        <v>CVụ</v>
      </c>
      <c r="P20" s="695" t="s">
        <v>214</v>
      </c>
      <c r="Q20" s="688">
        <f>VLOOKUP(P20,'[4]- DLiêu Gốc -'!$C$2:$H$115,2,0)</f>
        <v>1.1000000000000001</v>
      </c>
      <c r="R20" s="695"/>
      <c r="S20" s="700" t="s">
        <v>132</v>
      </c>
      <c r="T20" s="685" t="str">
        <f>VLOOKUP(Y20,'[4]- DLiêu Gốc -'!$C$2:$H$60,5,0)</f>
        <v>A3</v>
      </c>
      <c r="U20" s="701" t="str">
        <f>VLOOKUP(Y20,'[4]- DLiêu Gốc -'!$C$2:$H$60,6,0)</f>
        <v>A3.1</v>
      </c>
      <c r="V20" s="692" t="s">
        <v>69</v>
      </c>
      <c r="W20" s="702" t="str">
        <f t="shared" si="3"/>
        <v>Giảng viên cao cấp (hạng I)</v>
      </c>
      <c r="X20" s="692" t="str">
        <f t="shared" si="4"/>
        <v>V.07.01.01</v>
      </c>
      <c r="Y20" s="684" t="s">
        <v>72</v>
      </c>
      <c r="Z20" s="684" t="str">
        <f>VLOOKUP(Y20,'[4]- DLiêu Gốc -'!$C$1:$H$133,2,0)</f>
        <v>V.07.01.01</v>
      </c>
      <c r="AA20" s="697" t="str">
        <f t="shared" si="5"/>
        <v>Lương</v>
      </c>
      <c r="AB20" s="703">
        <v>2</v>
      </c>
      <c r="AC20" s="704" t="str">
        <f t="shared" si="6"/>
        <v>/</v>
      </c>
      <c r="AD20" s="704">
        <f t="shared" si="7"/>
        <v>6</v>
      </c>
      <c r="AE20" s="685">
        <f t="shared" si="8"/>
        <v>6.5600000000000005</v>
      </c>
      <c r="AF20" s="685"/>
      <c r="AG20" s="685"/>
      <c r="AH20" s="685"/>
      <c r="AI20" s="689" t="s">
        <v>51</v>
      </c>
      <c r="AJ20" s="685"/>
      <c r="AK20" s="689" t="s">
        <v>51</v>
      </c>
      <c r="AL20" s="693"/>
      <c r="AM20" s="705"/>
      <c r="AN20" s="706"/>
      <c r="AO20" s="707">
        <f t="shared" si="9"/>
        <v>3</v>
      </c>
      <c r="AP20" s="689" t="str">
        <f t="shared" si="10"/>
        <v>/</v>
      </c>
      <c r="AQ20" s="693">
        <f t="shared" si="11"/>
        <v>6</v>
      </c>
      <c r="AR20" s="689">
        <f t="shared" si="12"/>
        <v>6.9200000000000008</v>
      </c>
      <c r="AS20" s="689"/>
      <c r="AT20" s="708" t="s">
        <v>41</v>
      </c>
      <c r="AU20" s="690" t="s">
        <v>51</v>
      </c>
      <c r="AV20" s="709" t="s">
        <v>45</v>
      </c>
      <c r="AW20" s="690" t="s">
        <v>51</v>
      </c>
      <c r="AX20" s="695">
        <v>2017</v>
      </c>
      <c r="AY20" s="695"/>
      <c r="AZ20" s="710"/>
      <c r="BA20" s="711"/>
      <c r="BB20" s="712">
        <f t="shared" si="13"/>
        <v>3</v>
      </c>
      <c r="BC20" s="713">
        <f t="shared" si="14"/>
        <v>-24212</v>
      </c>
      <c r="BD20" s="685">
        <f>VLOOKUP(Y20,'[4]- DLiêu Gốc -'!$C$1:$F$60,3,0)</f>
        <v>6.2</v>
      </c>
      <c r="BE20" s="685">
        <f>VLOOKUP(Y20,'[4]- DLiêu Gốc -'!$C$1:$F$60,4,0)</f>
        <v>0.36</v>
      </c>
      <c r="BF20" s="714">
        <v>22</v>
      </c>
      <c r="BG20" s="715" t="s">
        <v>39</v>
      </c>
      <c r="BH20" s="716" t="s">
        <v>41</v>
      </c>
      <c r="BI20" s="690" t="s">
        <v>51</v>
      </c>
      <c r="BJ20" s="691">
        <v>7</v>
      </c>
      <c r="BK20" s="690" t="s">
        <v>51</v>
      </c>
      <c r="BL20" s="695">
        <v>2017</v>
      </c>
      <c r="BM20" s="705"/>
      <c r="BN20" s="717"/>
      <c r="BO20" s="714">
        <f t="shared" si="15"/>
        <v>23</v>
      </c>
      <c r="BP20" s="706" t="s">
        <v>39</v>
      </c>
      <c r="BQ20" s="716" t="s">
        <v>41</v>
      </c>
      <c r="BR20" s="690" t="s">
        <v>51</v>
      </c>
      <c r="BS20" s="691">
        <v>7</v>
      </c>
      <c r="BT20" s="690" t="s">
        <v>51</v>
      </c>
      <c r="BU20" s="695">
        <v>2018</v>
      </c>
      <c r="BV20" s="692"/>
      <c r="BW20" s="718"/>
      <c r="BX20" s="719">
        <v>7</v>
      </c>
      <c r="BY20" s="720">
        <f t="shared" si="16"/>
        <v>-24223</v>
      </c>
      <c r="BZ20" s="721" t="str">
        <f t="shared" si="17"/>
        <v>- - -</v>
      </c>
      <c r="CA20" s="695" t="str">
        <f>IF(OR(S20="Ban Tổ chức - Cán bộ",S20="Văn phòng Học viện",S20="Phó Giám đốc Thường trực Học viện",S20="Phó Giám đốc Học viện",S20="Nguyên Giám đốc Học viện"),"Chánh Văn phòng Học viện, Trưởng Ban Tổ chức - Cán bộ",IF(OR(S20="Trung tâm Ngoại ngữ",S20="Trung tâm Tin học hành chính và Công nghệ thông tin",S20="Trung tâm Tin học - Thư viện",S20="Phân viện khu vực Tây Nguyên"),"Chánh Văn phòng Học viện, Trưởng Ban Tổ chức - Cán bộ, "&amp;CONCATENATE("Giám đốc ",S20),IF(S20="Tạp chí Quản lý nhà nước","Chánh Văn phòng Học viện, Trưởng Ban Tổ chức - Cán bộ, "&amp;CONCATENATE("Tổng Biên tập ",S20),IF(S20="Văn phòng Đảng uỷ Học viện","Chánh Văn phòng Học viện, Trưởng Ban Tổ chức - Cán bộ, "&amp;CONCATENATE("Chánh",S20),IF(S20="Viện Nghiên cứu Khoa học hành chính","Chánh Văn phòng Học viện, Trưởng Ban Tổ chức - Cán bộ, "&amp;CONCATENATE("Viện Trưởng ",S20),IF(OR(S20="Cơ sở Học viện Hành chính Quốc gia khu vực miền Trung",S20="Cơ sở Học viện Hành chính Quốc gia tại Thành phố Hồ Chí Minh"),"Chánh Văn phòng Học viện, Trưởng Ban Tổ chức - Cán bộ, "&amp;CONCATENATE("Thủ trưởng ",S20),"Chánh Văn phòng Học viện, Trưởng Ban Tổ chức - Cán bộ, "&amp;CONCATENATE("Trưởng ",S20)))))))</f>
        <v>Chánh Văn phòng Học viện, Trưởng Ban Tổ chức - Cán bộ, Trưởng Khoa Khoa học hành chính và Tổ chức nhân sự</v>
      </c>
      <c r="CB20" s="722" t="str">
        <f t="shared" si="18"/>
        <v>A</v>
      </c>
      <c r="CC20" s="723" t="str">
        <f t="shared" si="19"/>
        <v>=&gt; s</v>
      </c>
      <c r="CD20" s="697">
        <f t="shared" si="20"/>
        <v>24236</v>
      </c>
      <c r="CE20" s="694" t="str">
        <f t="shared" si="21"/>
        <v>S</v>
      </c>
      <c r="CF20" s="694">
        <v>2017</v>
      </c>
      <c r="CG20" s="724" t="s">
        <v>207</v>
      </c>
      <c r="CH20" s="694"/>
      <c r="CI20" s="694"/>
      <c r="CJ20" s="694" t="str">
        <f t="shared" si="22"/>
        <v>- - -</v>
      </c>
      <c r="CK20" s="725" t="str">
        <f t="shared" si="23"/>
        <v>NN</v>
      </c>
      <c r="CL20" s="726">
        <v>5</v>
      </c>
      <c r="CM20" s="727">
        <v>2012</v>
      </c>
      <c r="CN20" s="726"/>
      <c r="CO20" s="728"/>
      <c r="CP20" s="725" t="str">
        <f t="shared" si="24"/>
        <v>- - -</v>
      </c>
      <c r="CQ20" s="726"/>
      <c r="CR20" s="727"/>
      <c r="CS20" s="726"/>
      <c r="CT20" s="728"/>
      <c r="CU20" s="729" t="str">
        <f t="shared" si="25"/>
        <v>---</v>
      </c>
      <c r="CV20" s="730" t="str">
        <f t="shared" si="26"/>
        <v>/-/ /-/</v>
      </c>
      <c r="CW20" s="731">
        <f t="shared" si="27"/>
        <v>7</v>
      </c>
      <c r="CX20" s="732">
        <f t="shared" si="28"/>
        <v>2024</v>
      </c>
      <c r="CY20" s="731">
        <f t="shared" si="29"/>
        <v>4</v>
      </c>
      <c r="CZ20" s="732">
        <f t="shared" si="30"/>
        <v>2024</v>
      </c>
      <c r="DA20" s="731">
        <f t="shared" si="31"/>
        <v>1</v>
      </c>
      <c r="DB20" s="732">
        <f t="shared" si="32"/>
        <v>2024</v>
      </c>
      <c r="DC20" s="733" t="str">
        <f t="shared" si="33"/>
        <v>- - -</v>
      </c>
      <c r="DD20" s="734" t="str">
        <f t="shared" si="34"/>
        <v>K.Dài</v>
      </c>
      <c r="DE20" s="734">
        <v>7</v>
      </c>
      <c r="DF20" s="697">
        <f t="shared" si="35"/>
        <v>744</v>
      </c>
      <c r="DG20" s="697">
        <f t="shared" si="36"/>
        <v>-23538</v>
      </c>
      <c r="DH20" s="697">
        <f t="shared" si="37"/>
        <v>-1962</v>
      </c>
      <c r="DI20" s="697" t="str">
        <f t="shared" si="38"/>
        <v>Nữ dưới 30</v>
      </c>
      <c r="DJ20" s="692" t="s">
        <v>215</v>
      </c>
      <c r="DK20" s="752" t="e">
        <f>SUM(#REF!)</f>
        <v>#REF!</v>
      </c>
      <c r="DL20" s="721" t="str">
        <f t="shared" si="39"/>
        <v>Đến 30</v>
      </c>
      <c r="DM20" s="726" t="str">
        <f t="shared" si="40"/>
        <v>--</v>
      </c>
      <c r="DN20" s="735"/>
      <c r="DO20" s="694"/>
      <c r="DP20" s="750"/>
      <c r="DQ20" s="728"/>
      <c r="DR20" s="735" t="s">
        <v>216</v>
      </c>
      <c r="DS20" s="751">
        <v>6</v>
      </c>
      <c r="DT20" s="696" t="s">
        <v>217</v>
      </c>
      <c r="DU20" s="738"/>
      <c r="DV20" s="753"/>
      <c r="DW20" s="740"/>
      <c r="DX20" s="741" t="s">
        <v>157</v>
      </c>
      <c r="DY20" s="740"/>
      <c r="DZ20" s="754" t="s">
        <v>41</v>
      </c>
      <c r="EA20" s="743" t="s">
        <v>51</v>
      </c>
      <c r="EB20" s="743" t="s">
        <v>43</v>
      </c>
      <c r="EC20" s="743" t="s">
        <v>51</v>
      </c>
      <c r="ED20" s="744">
        <v>2012</v>
      </c>
      <c r="EE20" s="743">
        <f t="shared" si="41"/>
        <v>0</v>
      </c>
      <c r="EF20" s="745" t="str">
        <f t="shared" si="42"/>
        <v>- - -</v>
      </c>
      <c r="EG20" s="754" t="s">
        <v>41</v>
      </c>
      <c r="EH20" s="743" t="s">
        <v>51</v>
      </c>
      <c r="EI20" s="743" t="s">
        <v>43</v>
      </c>
      <c r="EJ20" s="743" t="s">
        <v>51</v>
      </c>
      <c r="EK20" s="744">
        <v>2012</v>
      </c>
      <c r="EL20" s="755">
        <v>5.76</v>
      </c>
      <c r="EM20" s="725" t="str">
        <f t="shared" si="43"/>
        <v>- - -</v>
      </c>
      <c r="EN20" s="746" t="str">
        <f t="shared" si="44"/>
        <v>---</v>
      </c>
      <c r="EO20" s="739"/>
    </row>
    <row r="21" spans="1:232" s="686" customFormat="1" ht="51" customHeight="1" x14ac:dyDescent="0.2">
      <c r="A21" s="687">
        <v>190</v>
      </c>
      <c r="B21" s="688">
        <v>5</v>
      </c>
      <c r="C21" s="694"/>
      <c r="D21" s="694" t="str">
        <f t="shared" si="0"/>
        <v>Bà</v>
      </c>
      <c r="E21" s="695" t="s">
        <v>218</v>
      </c>
      <c r="F21" s="694" t="s">
        <v>61</v>
      </c>
      <c r="G21" s="691" t="s">
        <v>32</v>
      </c>
      <c r="H21" s="696" t="s">
        <v>51</v>
      </c>
      <c r="I21" s="691" t="s">
        <v>49</v>
      </c>
      <c r="J21" s="696" t="s">
        <v>51</v>
      </c>
      <c r="K21" s="695">
        <v>1959</v>
      </c>
      <c r="L21" s="689" t="s">
        <v>79</v>
      </c>
      <c r="M21" s="697" t="str">
        <f t="shared" si="1"/>
        <v>VC</v>
      </c>
      <c r="N21" s="698"/>
      <c r="O21" s="699" t="str">
        <f t="shared" si="2"/>
        <v>CVụ</v>
      </c>
      <c r="P21" s="695" t="s">
        <v>219</v>
      </c>
      <c r="Q21" s="688">
        <f>VLOOKUP(P21,'[4]- DLiêu Gốc -'!$C$2:$H$115,2,0)</f>
        <v>1</v>
      </c>
      <c r="R21" s="695"/>
      <c r="S21" s="700" t="s">
        <v>146</v>
      </c>
      <c r="T21" s="685" t="str">
        <f>VLOOKUP(Y21,'[4]- DLiêu Gốc -'!$C$2:$H$60,5,0)</f>
        <v>A3</v>
      </c>
      <c r="U21" s="701" t="str">
        <f>VLOOKUP(Y21,'[4]- DLiêu Gốc -'!$C$2:$H$60,6,0)</f>
        <v>A3.1</v>
      </c>
      <c r="V21" s="692" t="s">
        <v>69</v>
      </c>
      <c r="W21" s="702" t="str">
        <f t="shared" si="3"/>
        <v>Giảng viên cao cấp (hạng I)</v>
      </c>
      <c r="X21" s="692" t="str">
        <f t="shared" si="4"/>
        <v>V.07.01.01</v>
      </c>
      <c r="Y21" s="684" t="s">
        <v>72</v>
      </c>
      <c r="Z21" s="684" t="str">
        <f>VLOOKUP(Y21,'[4]- DLiêu Gốc -'!$C$1:$H$133,2,0)</f>
        <v>V.07.01.01</v>
      </c>
      <c r="AA21" s="697" t="str">
        <f t="shared" si="5"/>
        <v>Lương</v>
      </c>
      <c r="AB21" s="707">
        <v>2</v>
      </c>
      <c r="AC21" s="704" t="str">
        <f t="shared" si="6"/>
        <v>/</v>
      </c>
      <c r="AD21" s="704">
        <f t="shared" si="7"/>
        <v>6</v>
      </c>
      <c r="AE21" s="685">
        <f t="shared" si="8"/>
        <v>6.5600000000000005</v>
      </c>
      <c r="AF21" s="685"/>
      <c r="AG21" s="685"/>
      <c r="AH21" s="685"/>
      <c r="AI21" s="689" t="s">
        <v>51</v>
      </c>
      <c r="AJ21" s="685"/>
      <c r="AK21" s="689" t="s">
        <v>51</v>
      </c>
      <c r="AL21" s="693"/>
      <c r="AM21" s="705"/>
      <c r="AN21" s="706"/>
      <c r="AO21" s="707">
        <f t="shared" si="9"/>
        <v>3</v>
      </c>
      <c r="AP21" s="689" t="str">
        <f t="shared" si="10"/>
        <v>/</v>
      </c>
      <c r="AQ21" s="693">
        <f t="shared" si="11"/>
        <v>6</v>
      </c>
      <c r="AR21" s="689">
        <f t="shared" si="12"/>
        <v>6.9200000000000008</v>
      </c>
      <c r="AS21" s="689"/>
      <c r="AT21" s="708" t="s">
        <v>41</v>
      </c>
      <c r="AU21" s="690" t="s">
        <v>51</v>
      </c>
      <c r="AV21" s="709">
        <v>10</v>
      </c>
      <c r="AW21" s="690" t="s">
        <v>51</v>
      </c>
      <c r="AX21" s="695">
        <v>2016</v>
      </c>
      <c r="AY21" s="695"/>
      <c r="AZ21" s="710"/>
      <c r="BA21" s="711"/>
      <c r="BB21" s="712">
        <f t="shared" si="13"/>
        <v>3</v>
      </c>
      <c r="BC21" s="713">
        <f t="shared" si="14"/>
        <v>-24202</v>
      </c>
      <c r="BD21" s="685">
        <f>VLOOKUP(Y21,'[4]- DLiêu Gốc -'!$C$1:$F$60,3,0)</f>
        <v>6.2</v>
      </c>
      <c r="BE21" s="685">
        <f>VLOOKUP(Y21,'[4]- DLiêu Gốc -'!$C$1:$F$60,4,0)</f>
        <v>0.36</v>
      </c>
      <c r="BF21" s="714">
        <v>33</v>
      </c>
      <c r="BG21" s="715" t="s">
        <v>39</v>
      </c>
      <c r="BH21" s="716" t="s">
        <v>41</v>
      </c>
      <c r="BI21" s="690" t="s">
        <v>51</v>
      </c>
      <c r="BJ21" s="691">
        <v>7</v>
      </c>
      <c r="BK21" s="690" t="s">
        <v>51</v>
      </c>
      <c r="BL21" s="695">
        <v>2017</v>
      </c>
      <c r="BM21" s="705"/>
      <c r="BN21" s="717"/>
      <c r="BO21" s="714">
        <f t="shared" si="15"/>
        <v>34</v>
      </c>
      <c r="BP21" s="706" t="s">
        <v>39</v>
      </c>
      <c r="BQ21" s="716" t="s">
        <v>41</v>
      </c>
      <c r="BR21" s="690" t="s">
        <v>51</v>
      </c>
      <c r="BS21" s="691">
        <v>7</v>
      </c>
      <c r="BT21" s="690" t="s">
        <v>51</v>
      </c>
      <c r="BU21" s="695">
        <v>2018</v>
      </c>
      <c r="BV21" s="692"/>
      <c r="BW21" s="718"/>
      <c r="BX21" s="719">
        <v>7</v>
      </c>
      <c r="BY21" s="720">
        <f t="shared" si="16"/>
        <v>-24223</v>
      </c>
      <c r="BZ21" s="721" t="str">
        <f t="shared" si="17"/>
        <v>- - -</v>
      </c>
      <c r="CA21" s="695" t="str">
        <f>IF(OR(S21="Ban Tổ chức - Cán bộ",S21="Văn phòng Học viện",S21="Phó Giám đốc Thường trực Học viện",S21="Phó Giám đốc Học viện"),"Chánh Văn phòng Học viện, Trưởng Ban Tổ chức - Cán bộ",IF(OR(S21="Trung tâm Ngoại ngữ",S21="Trung tâm Tin học hành chính và Công nghệ thông tin",S21="Trung tâm Tin học - Thư viện",S21="Phân viện khu vực Tây Nguyên"),"Chánh Văn phòng Học viện, Trưởng Ban Tổ chức - Cán bộ, "&amp;CONCATENATE("Giám đốc ",S21),IF(S21="Tạp chí Quản lý nhà nước","Chánh Văn phòng Học viện, Trưởng Ban Tổ chức - Cán bộ, "&amp;CONCATENATE("Tổng Biên tập ",S21),IF(S21="Văn phòng Đảng uỷ Học viện","Chánh Văn phòng Học viện, Trưởng Ban Tổ chức - Cán bộ, "&amp;CONCATENATE("Chánh",S21),IF(S21="Viện Nghiên cứu Khoa học hành chính","Chánh Văn phòng Học viện, Trưởng Ban Tổ chức - Cán bộ, "&amp;CONCATENATE("Viện Trưởng ",S21),IF(OR(S21="Cơ sở Học viện Hành chính Quốc gia khu vực miền Trung",S21="Cơ sở Học viện Hành chính Quốc gia tại Thành phố Hồ Chí Minh"),"Chánh Văn phòng Học viện, Trưởng Ban Tổ chức - Cán bộ, "&amp;CONCATENATE("Thủ trưởng ",S21),"Chánh Văn phòng Học viện, Trưởng Ban Tổ chức - Cán bộ, "&amp;CONCATENATE("Trưởng ",S21)))))))</f>
        <v>Chánh Văn phòng Học viện, Trưởng Ban Tổ chức - Cán bộ, Trưởng Khoa Nhà nước - Pháp luật và Lý luận cơ sở</v>
      </c>
      <c r="CB21" s="722" t="str">
        <f t="shared" si="18"/>
        <v>A</v>
      </c>
      <c r="CC21" s="723" t="str">
        <f t="shared" si="19"/>
        <v>=&gt; s</v>
      </c>
      <c r="CD21" s="697">
        <f t="shared" si="20"/>
        <v>24226</v>
      </c>
      <c r="CE21" s="694" t="str">
        <f t="shared" si="21"/>
        <v>S</v>
      </c>
      <c r="CF21" s="694">
        <v>2013</v>
      </c>
      <c r="CG21" s="724" t="s">
        <v>220</v>
      </c>
      <c r="CH21" s="694">
        <v>2009</v>
      </c>
      <c r="CI21" s="692" t="s">
        <v>221</v>
      </c>
      <c r="CJ21" s="694" t="str">
        <f t="shared" si="22"/>
        <v>Cùg Ng</v>
      </c>
      <c r="CK21" s="725" t="str">
        <f t="shared" si="23"/>
        <v>NN</v>
      </c>
      <c r="CL21" s="726">
        <v>5</v>
      </c>
      <c r="CM21" s="727">
        <v>2012</v>
      </c>
      <c r="CN21" s="726"/>
      <c r="CO21" s="728"/>
      <c r="CP21" s="725" t="str">
        <f t="shared" si="24"/>
        <v>- - -</v>
      </c>
      <c r="CQ21" s="726"/>
      <c r="CR21" s="727"/>
      <c r="CS21" s="726"/>
      <c r="CT21" s="728"/>
      <c r="CU21" s="729" t="str">
        <f t="shared" si="25"/>
        <v>---</v>
      </c>
      <c r="CV21" s="730" t="str">
        <f t="shared" si="26"/>
        <v>/-/ /-/</v>
      </c>
      <c r="CW21" s="731">
        <f t="shared" si="27"/>
        <v>1</v>
      </c>
      <c r="CX21" s="732">
        <f t="shared" si="28"/>
        <v>2022</v>
      </c>
      <c r="CY21" s="731">
        <f t="shared" si="29"/>
        <v>10</v>
      </c>
      <c r="CZ21" s="732">
        <f t="shared" si="30"/>
        <v>2021</v>
      </c>
      <c r="DA21" s="731">
        <f t="shared" si="31"/>
        <v>7</v>
      </c>
      <c r="DB21" s="732">
        <f t="shared" si="32"/>
        <v>2021</v>
      </c>
      <c r="DC21" s="733" t="str">
        <f t="shared" si="33"/>
        <v>- - -</v>
      </c>
      <c r="DD21" s="734" t="str">
        <f t="shared" si="34"/>
        <v>K.Dài</v>
      </c>
      <c r="DE21" s="734">
        <v>7</v>
      </c>
      <c r="DF21" s="697">
        <f t="shared" si="35"/>
        <v>744</v>
      </c>
      <c r="DG21" s="697">
        <f t="shared" si="36"/>
        <v>-23508</v>
      </c>
      <c r="DH21" s="697">
        <f t="shared" si="37"/>
        <v>-1959</v>
      </c>
      <c r="DI21" s="697" t="str">
        <f t="shared" si="38"/>
        <v>Nữ dưới 30</v>
      </c>
      <c r="DJ21" s="697"/>
      <c r="DK21" s="697"/>
      <c r="DL21" s="721" t="str">
        <f t="shared" si="39"/>
        <v>Đến 30</v>
      </c>
      <c r="DM21" s="726" t="str">
        <f t="shared" si="40"/>
        <v>--</v>
      </c>
      <c r="DN21" s="735"/>
      <c r="DO21" s="694"/>
      <c r="DP21" s="736"/>
      <c r="DQ21" s="735"/>
      <c r="DR21" s="728" t="s">
        <v>216</v>
      </c>
      <c r="DS21" s="737">
        <v>6</v>
      </c>
      <c r="DT21" s="704" t="s">
        <v>53</v>
      </c>
      <c r="DU21" s="738" t="s">
        <v>222</v>
      </c>
      <c r="DV21" s="739" t="s">
        <v>223</v>
      </c>
      <c r="DW21" s="740"/>
      <c r="DX21" s="741" t="s">
        <v>194</v>
      </c>
      <c r="DY21" s="740"/>
      <c r="DZ21" s="742" t="s">
        <v>41</v>
      </c>
      <c r="EA21" s="743" t="s">
        <v>51</v>
      </c>
      <c r="EB21" s="743">
        <v>10</v>
      </c>
      <c r="EC21" s="743" t="s">
        <v>51</v>
      </c>
      <c r="ED21" s="744">
        <v>2013</v>
      </c>
      <c r="EE21" s="743">
        <f t="shared" si="41"/>
        <v>0</v>
      </c>
      <c r="EF21" s="745" t="str">
        <f t="shared" si="42"/>
        <v>- - -</v>
      </c>
      <c r="EG21" s="742" t="s">
        <v>41</v>
      </c>
      <c r="EH21" s="743" t="s">
        <v>51</v>
      </c>
      <c r="EI21" s="743">
        <v>10</v>
      </c>
      <c r="EJ21" s="743" t="s">
        <v>51</v>
      </c>
      <c r="EK21" s="744">
        <v>2013</v>
      </c>
      <c r="EL21" s="694">
        <v>6.1</v>
      </c>
      <c r="EM21" s="725" t="str">
        <f t="shared" si="43"/>
        <v>- - -</v>
      </c>
      <c r="EN21" s="746" t="str">
        <f t="shared" si="44"/>
        <v>---</v>
      </c>
      <c r="EO21" s="739"/>
    </row>
    <row r="22" spans="1:232" s="686" customFormat="1" ht="51" customHeight="1" x14ac:dyDescent="0.2">
      <c r="A22" s="687">
        <v>278</v>
      </c>
      <c r="B22" s="688">
        <v>6</v>
      </c>
      <c r="C22" s="694"/>
      <c r="D22" s="694" t="str">
        <f t="shared" si="0"/>
        <v>Bà</v>
      </c>
      <c r="E22" s="695" t="s">
        <v>224</v>
      </c>
      <c r="F22" s="694" t="s">
        <v>61</v>
      </c>
      <c r="G22" s="691" t="s">
        <v>55</v>
      </c>
      <c r="H22" s="696" t="s">
        <v>51</v>
      </c>
      <c r="I22" s="691" t="s">
        <v>56</v>
      </c>
      <c r="J22" s="696" t="s">
        <v>51</v>
      </c>
      <c r="K22" s="695" t="s">
        <v>137</v>
      </c>
      <c r="L22" s="689" t="s">
        <v>79</v>
      </c>
      <c r="M22" s="697" t="str">
        <f t="shared" si="1"/>
        <v>VC</v>
      </c>
      <c r="N22" s="698"/>
      <c r="O22" s="699" t="e">
        <f t="shared" si="2"/>
        <v>#N/A</v>
      </c>
      <c r="P22" s="695"/>
      <c r="Q22" s="688" t="e">
        <f>VLOOKUP(P22,'[4]- DLiêu Gốc -'!$C$2:$H$115,2,0)</f>
        <v>#N/A</v>
      </c>
      <c r="R22" s="695" t="s">
        <v>198</v>
      </c>
      <c r="S22" s="700" t="s">
        <v>147</v>
      </c>
      <c r="T22" s="685" t="str">
        <f>VLOOKUP(Y22,'[4]- DLiêu Gốc -'!$C$2:$H$60,5,0)</f>
        <v>A1</v>
      </c>
      <c r="U22" s="701" t="str">
        <f>VLOOKUP(Y22,'[4]- DLiêu Gốc -'!$C$2:$H$60,6,0)</f>
        <v>- - -</v>
      </c>
      <c r="V22" s="692" t="s">
        <v>69</v>
      </c>
      <c r="W22" s="702" t="str">
        <f t="shared" si="3"/>
        <v>Giảng viên (hạng III)</v>
      </c>
      <c r="X22" s="692" t="str">
        <f t="shared" si="4"/>
        <v>V.07.01.03</v>
      </c>
      <c r="Y22" s="684" t="s">
        <v>73</v>
      </c>
      <c r="Z22" s="684" t="str">
        <f>VLOOKUP(Y22,'[4]- DLiêu Gốc -'!$C$1:$H$133,2,0)</f>
        <v>V.07.01.03</v>
      </c>
      <c r="AA22" s="697" t="str">
        <f t="shared" si="5"/>
        <v>Lương</v>
      </c>
      <c r="AB22" s="703">
        <v>5</v>
      </c>
      <c r="AC22" s="704" t="str">
        <f t="shared" si="6"/>
        <v>/</v>
      </c>
      <c r="AD22" s="704">
        <f t="shared" si="7"/>
        <v>9</v>
      </c>
      <c r="AE22" s="685">
        <f t="shared" si="8"/>
        <v>3.66</v>
      </c>
      <c r="AF22" s="685"/>
      <c r="AG22" s="685"/>
      <c r="AH22" s="685"/>
      <c r="AI22" s="689" t="s">
        <v>51</v>
      </c>
      <c r="AJ22" s="685"/>
      <c r="AK22" s="689" t="s">
        <v>51</v>
      </c>
      <c r="AL22" s="693"/>
      <c r="AM22" s="705"/>
      <c r="AN22" s="706"/>
      <c r="AO22" s="707">
        <f t="shared" si="9"/>
        <v>6</v>
      </c>
      <c r="AP22" s="689" t="str">
        <f t="shared" si="10"/>
        <v>/</v>
      </c>
      <c r="AQ22" s="693">
        <f t="shared" si="11"/>
        <v>9</v>
      </c>
      <c r="AR22" s="689">
        <f t="shared" si="12"/>
        <v>3.99</v>
      </c>
      <c r="AS22" s="689"/>
      <c r="AT22" s="708" t="s">
        <v>41</v>
      </c>
      <c r="AU22" s="690" t="s">
        <v>51</v>
      </c>
      <c r="AV22" s="709" t="s">
        <v>47</v>
      </c>
      <c r="AW22" s="690" t="s">
        <v>51</v>
      </c>
      <c r="AX22" s="695">
        <v>2016</v>
      </c>
      <c r="AY22" s="695"/>
      <c r="AZ22" s="710"/>
      <c r="BA22" s="711"/>
      <c r="BB22" s="712">
        <f t="shared" si="13"/>
        <v>3</v>
      </c>
      <c r="BC22" s="713">
        <f t="shared" si="14"/>
        <v>-24199</v>
      </c>
      <c r="BD22" s="685">
        <f>VLOOKUP(Y22,'[4]- DLiêu Gốc -'!$C$1:$F$60,3,0)</f>
        <v>2.34</v>
      </c>
      <c r="BE22" s="685">
        <f>VLOOKUP(Y22,'[4]- DLiêu Gốc -'!$C$1:$F$60,4,0)</f>
        <v>0.33</v>
      </c>
      <c r="BF22" s="714">
        <v>13</v>
      </c>
      <c r="BG22" s="715" t="s">
        <v>39</v>
      </c>
      <c r="BH22" s="716" t="s">
        <v>41</v>
      </c>
      <c r="BI22" s="690" t="s">
        <v>51</v>
      </c>
      <c r="BJ22" s="691">
        <v>7</v>
      </c>
      <c r="BK22" s="690" t="s">
        <v>51</v>
      </c>
      <c r="BL22" s="695">
        <v>2017</v>
      </c>
      <c r="BM22" s="705"/>
      <c r="BN22" s="717"/>
      <c r="BO22" s="714">
        <f t="shared" si="15"/>
        <v>14</v>
      </c>
      <c r="BP22" s="706" t="s">
        <v>39</v>
      </c>
      <c r="BQ22" s="716" t="s">
        <v>41</v>
      </c>
      <c r="BR22" s="690" t="s">
        <v>51</v>
      </c>
      <c r="BS22" s="691">
        <v>7</v>
      </c>
      <c r="BT22" s="690" t="s">
        <v>51</v>
      </c>
      <c r="BU22" s="695">
        <v>2018</v>
      </c>
      <c r="BV22" s="692"/>
      <c r="BW22" s="718"/>
      <c r="BX22" s="719">
        <v>7</v>
      </c>
      <c r="BY22" s="720">
        <f t="shared" si="16"/>
        <v>-24223</v>
      </c>
      <c r="BZ22" s="721" t="str">
        <f t="shared" si="17"/>
        <v>- - -</v>
      </c>
      <c r="CA22" s="695" t="str">
        <f>IF(OR(S22="Ban Tổ chức - Cán bộ",S22="Văn phòng Học viện",S22="Phó Giám đốc Thường trực Học viện",S22="Phó Giám đốc Học viện"),"Chánh Văn phòng Học viện, Trưởng Ban Tổ chức - Cán bộ",IF(OR(S22="Trung tâm Ngoại ngữ",S22="Trung tâm Tin học hành chính và Công nghệ thông tin",S22="Trung tâm Tin học - Thư viện",S22="Phân viện khu vực Tây Nguyên"),"Chánh Văn phòng Học viện, Trưởng Ban Tổ chức - Cán bộ, "&amp;CONCATENATE("Giám đốc ",S22),IF(S22="Tạp chí Quản lý nhà nước","Chánh Văn phòng Học viện, Trưởng Ban Tổ chức - Cán bộ, "&amp;CONCATENATE("Tổng Biên tập ",S22),IF(S22="Văn phòng Đảng uỷ Học viện","Chánh Văn phòng Học viện, Trưởng Ban Tổ chức - Cán bộ, "&amp;CONCATENATE("Chánh",S22),IF(S22="Viện Nghiên cứu Khoa học hành chính","Chánh Văn phòng Học viện, Trưởng Ban Tổ chức - Cán bộ, "&amp;CONCATENATE("Viện Trưởng ",S22),IF(OR(S22="Cơ sở Học viện Hành chính Quốc gia khu vực miền Trung",S22="Cơ sở Học viện Hành chính Quốc gia tại Thành phố Hồ Chí Minh"),"Chánh Văn phòng Học viện, Trưởng Ban Tổ chức - Cán bộ, "&amp;CONCATENATE("Thủ trưởng ",S22),"Chánh Văn phòng Học viện, Trưởng Ban Tổ chức - Cán bộ, "&amp;CONCATENATE("Trưởng ",S22)))))))</f>
        <v>Chánh Văn phòng Học viện, Trưởng Ban Tổ chức - Cán bộ, Trưởng Khoa Quản lý nhà nước về Kinh tế và Tài chính công</v>
      </c>
      <c r="CB22" s="722" t="str">
        <f t="shared" si="18"/>
        <v>A</v>
      </c>
      <c r="CC22" s="723" t="str">
        <f t="shared" si="19"/>
        <v>=&gt; s</v>
      </c>
      <c r="CD22" s="697">
        <f t="shared" si="20"/>
        <v>24223</v>
      </c>
      <c r="CE22" s="694" t="str">
        <f t="shared" si="21"/>
        <v>---</v>
      </c>
      <c r="CF22" s="694"/>
      <c r="CG22" s="724"/>
      <c r="CH22" s="694"/>
      <c r="CI22" s="692"/>
      <c r="CJ22" s="694" t="str">
        <f t="shared" si="22"/>
        <v>- - -</v>
      </c>
      <c r="CK22" s="725" t="str">
        <f t="shared" si="23"/>
        <v>- - -</v>
      </c>
      <c r="CL22" s="726"/>
      <c r="CM22" s="727"/>
      <c r="CN22" s="726"/>
      <c r="CO22" s="728"/>
      <c r="CP22" s="725" t="str">
        <f t="shared" si="24"/>
        <v>- - -</v>
      </c>
      <c r="CQ22" s="726"/>
      <c r="CR22" s="727"/>
      <c r="CS22" s="726"/>
      <c r="CT22" s="728"/>
      <c r="CU22" s="729" t="str">
        <f t="shared" si="25"/>
        <v>---</v>
      </c>
      <c r="CV22" s="730" t="str">
        <f t="shared" si="26"/>
        <v>/-/ /-/</v>
      </c>
      <c r="CW22" s="731">
        <f t="shared" si="27"/>
        <v>12</v>
      </c>
      <c r="CX22" s="732">
        <f t="shared" si="28"/>
        <v>2032</v>
      </c>
      <c r="CY22" s="731">
        <f t="shared" si="29"/>
        <v>9</v>
      </c>
      <c r="CZ22" s="732">
        <f t="shared" si="30"/>
        <v>2032</v>
      </c>
      <c r="DA22" s="731">
        <f t="shared" si="31"/>
        <v>6</v>
      </c>
      <c r="DB22" s="732">
        <f t="shared" si="32"/>
        <v>2032</v>
      </c>
      <c r="DC22" s="733" t="str">
        <f t="shared" si="33"/>
        <v>- - -</v>
      </c>
      <c r="DD22" s="734" t="str">
        <f t="shared" si="34"/>
        <v>. .</v>
      </c>
      <c r="DE22" s="734"/>
      <c r="DF22" s="697">
        <f t="shared" si="35"/>
        <v>660</v>
      </c>
      <c r="DG22" s="697">
        <f t="shared" si="36"/>
        <v>-23723</v>
      </c>
      <c r="DH22" s="697">
        <f t="shared" si="37"/>
        <v>-1977</v>
      </c>
      <c r="DI22" s="697" t="str">
        <f t="shared" si="38"/>
        <v>Nữ dưới 30</v>
      </c>
      <c r="DJ22" s="697"/>
      <c r="DK22" s="697"/>
      <c r="DL22" s="721" t="str">
        <f t="shared" si="39"/>
        <v>Đến 30</v>
      </c>
      <c r="DM22" s="726" t="str">
        <f t="shared" si="40"/>
        <v>--</v>
      </c>
      <c r="DN22" s="735"/>
      <c r="DO22" s="694"/>
      <c r="DP22" s="736"/>
      <c r="DQ22" s="735"/>
      <c r="DR22" s="728"/>
      <c r="DS22" s="737"/>
      <c r="DT22" s="704"/>
      <c r="DU22" s="738"/>
      <c r="DV22" s="739"/>
      <c r="DW22" s="740" t="s">
        <v>198</v>
      </c>
      <c r="DX22" s="741" t="s">
        <v>196</v>
      </c>
      <c r="DY22" s="740" t="s">
        <v>198</v>
      </c>
      <c r="DZ22" s="742" t="s">
        <v>41</v>
      </c>
      <c r="EA22" s="743" t="s">
        <v>51</v>
      </c>
      <c r="EB22" s="743" t="s">
        <v>47</v>
      </c>
      <c r="EC22" s="743" t="s">
        <v>51</v>
      </c>
      <c r="ED22" s="744">
        <v>2013</v>
      </c>
      <c r="EE22" s="743">
        <f t="shared" si="41"/>
        <v>0</v>
      </c>
      <c r="EF22" s="745" t="str">
        <f t="shared" si="42"/>
        <v>- - -</v>
      </c>
      <c r="EG22" s="742" t="s">
        <v>41</v>
      </c>
      <c r="EH22" s="743" t="s">
        <v>51</v>
      </c>
      <c r="EI22" s="743" t="s">
        <v>47</v>
      </c>
      <c r="EJ22" s="743" t="s">
        <v>51</v>
      </c>
      <c r="EK22" s="744">
        <v>2013</v>
      </c>
      <c r="EL22" s="694"/>
      <c r="EM22" s="725" t="str">
        <f t="shared" si="43"/>
        <v>- - -</v>
      </c>
      <c r="EN22" s="746" t="str">
        <f t="shared" si="44"/>
        <v>---</v>
      </c>
      <c r="EO22" s="739"/>
    </row>
    <row r="23" spans="1:232" s="686" customFormat="1" ht="51" customHeight="1" x14ac:dyDescent="0.3">
      <c r="A23" s="687">
        <v>351</v>
      </c>
      <c r="B23" s="688">
        <v>7</v>
      </c>
      <c r="C23" s="694"/>
      <c r="D23" s="694" t="str">
        <f t="shared" si="0"/>
        <v>Bà</v>
      </c>
      <c r="E23" s="695" t="s">
        <v>225</v>
      </c>
      <c r="F23" s="694" t="s">
        <v>61</v>
      </c>
      <c r="G23" s="691" t="s">
        <v>33</v>
      </c>
      <c r="H23" s="696" t="s">
        <v>51</v>
      </c>
      <c r="I23" s="691">
        <v>8</v>
      </c>
      <c r="J23" s="696" t="s">
        <v>51</v>
      </c>
      <c r="K23" s="695">
        <v>1979</v>
      </c>
      <c r="L23" s="689" t="s">
        <v>79</v>
      </c>
      <c r="M23" s="697" t="str">
        <f t="shared" si="1"/>
        <v>VC</v>
      </c>
      <c r="N23" s="698"/>
      <c r="O23" s="699" t="e">
        <f t="shared" si="2"/>
        <v>#N/A</v>
      </c>
      <c r="P23" s="695"/>
      <c r="Q23" s="688" t="e">
        <f>VLOOKUP(P23,'[4]- DLiêu Gốc -'!$C$2:$H$115,2,0)</f>
        <v>#N/A</v>
      </c>
      <c r="R23" s="695" t="s">
        <v>226</v>
      </c>
      <c r="S23" s="700" t="s">
        <v>6</v>
      </c>
      <c r="T23" s="685" t="str">
        <f>VLOOKUP(Y23,'[4]- DLiêu Gốc -'!$C$2:$H$60,5,0)</f>
        <v>A1</v>
      </c>
      <c r="U23" s="701" t="str">
        <f>VLOOKUP(Y23,'[4]- DLiêu Gốc -'!$C$2:$H$60,6,0)</f>
        <v>- - -</v>
      </c>
      <c r="V23" s="692" t="s">
        <v>69</v>
      </c>
      <c r="W23" s="702" t="str">
        <f t="shared" si="3"/>
        <v>Giảng viên (hạng III)</v>
      </c>
      <c r="X23" s="692" t="str">
        <f t="shared" si="4"/>
        <v>V.07.01.03</v>
      </c>
      <c r="Y23" s="684" t="s">
        <v>73</v>
      </c>
      <c r="Z23" s="684" t="str">
        <f>VLOOKUP(Y23,'[4]- DLiêu Gốc -'!$C$1:$H$133,2,0)</f>
        <v>V.07.01.03</v>
      </c>
      <c r="AA23" s="697" t="str">
        <f t="shared" si="5"/>
        <v>Lương</v>
      </c>
      <c r="AB23" s="703">
        <v>5</v>
      </c>
      <c r="AC23" s="704" t="str">
        <f t="shared" si="6"/>
        <v>/</v>
      </c>
      <c r="AD23" s="704">
        <f t="shared" si="7"/>
        <v>9</v>
      </c>
      <c r="AE23" s="685">
        <f t="shared" si="8"/>
        <v>3.66</v>
      </c>
      <c r="AF23" s="685"/>
      <c r="AG23" s="685"/>
      <c r="AH23" s="685" t="s">
        <v>41</v>
      </c>
      <c r="AI23" s="689" t="s">
        <v>51</v>
      </c>
      <c r="AJ23" s="685" t="s">
        <v>58</v>
      </c>
      <c r="AK23" s="689" t="s">
        <v>51</v>
      </c>
      <c r="AL23" s="693">
        <v>2015</v>
      </c>
      <c r="AM23" s="705"/>
      <c r="AN23" s="706"/>
      <c r="AO23" s="707">
        <f t="shared" si="9"/>
        <v>6</v>
      </c>
      <c r="AP23" s="689" t="str">
        <f t="shared" si="10"/>
        <v>/</v>
      </c>
      <c r="AQ23" s="693">
        <f t="shared" si="11"/>
        <v>9</v>
      </c>
      <c r="AR23" s="689">
        <f t="shared" si="12"/>
        <v>3.99</v>
      </c>
      <c r="AS23" s="689"/>
      <c r="AT23" s="708" t="s">
        <v>41</v>
      </c>
      <c r="AU23" s="690" t="s">
        <v>51</v>
      </c>
      <c r="AV23" s="709" t="s">
        <v>58</v>
      </c>
      <c r="AW23" s="690" t="s">
        <v>51</v>
      </c>
      <c r="AX23" s="695">
        <v>2018</v>
      </c>
      <c r="AY23" s="695"/>
      <c r="AZ23" s="710"/>
      <c r="BA23" s="711">
        <v>4.18</v>
      </c>
      <c r="BB23" s="712">
        <f t="shared" si="13"/>
        <v>3</v>
      </c>
      <c r="BC23" s="713">
        <f t="shared" si="14"/>
        <v>-24220</v>
      </c>
      <c r="BD23" s="685">
        <f>VLOOKUP(Y23,'[4]- DLiêu Gốc -'!$C$1:$F$60,3,0)</f>
        <v>2.34</v>
      </c>
      <c r="BE23" s="685">
        <f>VLOOKUP(Y23,'[4]- DLiêu Gốc -'!$C$1:$F$60,4,0)</f>
        <v>0.33</v>
      </c>
      <c r="BF23" s="714">
        <v>8</v>
      </c>
      <c r="BG23" s="715" t="s">
        <v>39</v>
      </c>
      <c r="BH23" s="716" t="s">
        <v>41</v>
      </c>
      <c r="BI23" s="690" t="s">
        <v>51</v>
      </c>
      <c r="BJ23" s="691" t="s">
        <v>47</v>
      </c>
      <c r="BK23" s="690" t="s">
        <v>51</v>
      </c>
      <c r="BL23" s="695">
        <v>2017</v>
      </c>
      <c r="BM23" s="705"/>
      <c r="BN23" s="717"/>
      <c r="BO23" s="714">
        <f t="shared" si="15"/>
        <v>9</v>
      </c>
      <c r="BP23" s="706" t="s">
        <v>39</v>
      </c>
      <c r="BQ23" s="716" t="s">
        <v>41</v>
      </c>
      <c r="BR23" s="690" t="s">
        <v>51</v>
      </c>
      <c r="BS23" s="691" t="s">
        <v>47</v>
      </c>
      <c r="BT23" s="690" t="s">
        <v>51</v>
      </c>
      <c r="BU23" s="695">
        <v>2018</v>
      </c>
      <c r="BV23" s="692"/>
      <c r="BW23" s="718" t="s">
        <v>227</v>
      </c>
      <c r="BX23" s="719">
        <v>7</v>
      </c>
      <c r="BY23" s="720">
        <f t="shared" si="16"/>
        <v>-24223</v>
      </c>
      <c r="BZ23" s="721" t="str">
        <f t="shared" si="17"/>
        <v>- - -</v>
      </c>
      <c r="CA23" s="695" t="str">
        <f>IF(OR(S23="Ban Tổ chức - Cán bộ",S23="Văn phòng Học viện",S23="Phó Giám đốc Thường trực Học viện",S23="Phó Giám đốc Học viện"),"Chánh Văn phòng Học viện, Trưởng Ban Tổ chức - Cán bộ",IF(OR(S23="Trung tâm Ngoại ngữ",S23="Trung tâm Tin học hành chính và Công nghệ thông tin",S23="Trung tâm Tin học - Thư viện",S23="Phân viện khu vực Tây Nguyên"),"Chánh Văn phòng Học viện, Trưởng Ban Tổ chức - Cán bộ, "&amp;CONCATENATE("Giám đốc ",S23),IF(S23="Tạp chí Quản lý nhà nước","Chánh Văn phòng Học viện, Trưởng Ban Tổ chức - Cán bộ, "&amp;CONCATENATE("Tổng Biên tập ",S23),IF(S23="Văn phòng Đảng uỷ Học viện","Chánh Văn phòng Học viện, Trưởng Ban Tổ chức - Cán bộ, "&amp;CONCATENATE("Chánh",S23),IF(S23="Viện Nghiên cứu Khoa học hành chính","Chánh Văn phòng Học viện, Trưởng Ban Tổ chức - Cán bộ, "&amp;CONCATENATE("Viện Trưởng ",S23),IF(OR(S23="Cơ sở Học viện Hành chính Quốc gia khu vực miền Trung",S23="Cơ sở Học viện Hành chính Quốc gia tại Thành phố Hồ Chí Minh"),"Chánh Văn phòng Học viện, Trưởng Ban Tổ chức - Cán bộ, "&amp;CONCATENATE("Thủ trưởng ",S23),"Chánh Văn phòng Học viện, Trưởng Ban Tổ chức - Cán bộ, "&amp;CONCATENATE("Trưởng ",S23)))))))</f>
        <v>Chánh Văn phòng Học viện, Trưởng Ban Tổ chức - Cán bộ, Trưởng Khoa Văn bản và Công nghệ hành chính</v>
      </c>
      <c r="CB23" s="722" t="str">
        <f t="shared" si="18"/>
        <v>A</v>
      </c>
      <c r="CC23" s="723" t="str">
        <f t="shared" si="19"/>
        <v>=&gt; s</v>
      </c>
      <c r="CD23" s="697">
        <f t="shared" si="20"/>
        <v>24244</v>
      </c>
      <c r="CE23" s="694" t="str">
        <f t="shared" si="21"/>
        <v>S</v>
      </c>
      <c r="CF23" s="694">
        <v>2012</v>
      </c>
      <c r="CG23" s="756" t="s">
        <v>71</v>
      </c>
      <c r="CH23" s="694"/>
      <c r="CI23" s="692"/>
      <c r="CJ23" s="694" t="str">
        <f t="shared" si="22"/>
        <v>Cùg Ng</v>
      </c>
      <c r="CK23" s="725" t="str">
        <f t="shared" si="23"/>
        <v>- - -</v>
      </c>
      <c r="CL23" s="726"/>
      <c r="CM23" s="727"/>
      <c r="CN23" s="726"/>
      <c r="CO23" s="728"/>
      <c r="CP23" s="725" t="str">
        <f t="shared" si="24"/>
        <v>- - -</v>
      </c>
      <c r="CQ23" s="726"/>
      <c r="CR23" s="727"/>
      <c r="CS23" s="726"/>
      <c r="CT23" s="728"/>
      <c r="CU23" s="729" t="str">
        <f t="shared" si="25"/>
        <v>---</v>
      </c>
      <c r="CV23" s="730" t="str">
        <f t="shared" si="26"/>
        <v>/-/ /-/</v>
      </c>
      <c r="CW23" s="731">
        <f t="shared" si="27"/>
        <v>9</v>
      </c>
      <c r="CX23" s="732">
        <f t="shared" si="28"/>
        <v>2034</v>
      </c>
      <c r="CY23" s="731">
        <f t="shared" si="29"/>
        <v>6</v>
      </c>
      <c r="CZ23" s="732">
        <f t="shared" si="30"/>
        <v>2034</v>
      </c>
      <c r="DA23" s="731">
        <f t="shared" si="31"/>
        <v>3</v>
      </c>
      <c r="DB23" s="732">
        <f t="shared" si="32"/>
        <v>2034</v>
      </c>
      <c r="DC23" s="733" t="str">
        <f t="shared" si="33"/>
        <v>- - -</v>
      </c>
      <c r="DD23" s="734" t="str">
        <f t="shared" si="34"/>
        <v>. .</v>
      </c>
      <c r="DE23" s="734"/>
      <c r="DF23" s="697">
        <f t="shared" si="35"/>
        <v>660</v>
      </c>
      <c r="DG23" s="697">
        <f t="shared" si="36"/>
        <v>-23744</v>
      </c>
      <c r="DH23" s="697">
        <f t="shared" si="37"/>
        <v>-1979</v>
      </c>
      <c r="DI23" s="697" t="str">
        <f t="shared" si="38"/>
        <v>Nữ dưới 30</v>
      </c>
      <c r="DJ23" s="757"/>
      <c r="DK23" s="697"/>
      <c r="DL23" s="721" t="str">
        <f t="shared" si="39"/>
        <v>Đến 30</v>
      </c>
      <c r="DM23" s="726" t="str">
        <f t="shared" si="40"/>
        <v>--</v>
      </c>
      <c r="DN23" s="735"/>
      <c r="DO23" s="749"/>
      <c r="DP23" s="736"/>
      <c r="DQ23" s="735"/>
      <c r="DR23" s="728"/>
      <c r="DS23" s="737"/>
      <c r="DT23" s="704"/>
      <c r="DU23" s="738"/>
      <c r="DV23" s="739"/>
      <c r="DW23" s="740" t="s">
        <v>226</v>
      </c>
      <c r="DX23" s="741" t="s">
        <v>6</v>
      </c>
      <c r="DY23" s="740" t="s">
        <v>226</v>
      </c>
      <c r="DZ23" s="742" t="s">
        <v>41</v>
      </c>
      <c r="EA23" s="743" t="s">
        <v>51</v>
      </c>
      <c r="EB23" s="758" t="s">
        <v>58</v>
      </c>
      <c r="EC23" s="743" t="s">
        <v>51</v>
      </c>
      <c r="ED23" s="744">
        <v>2012</v>
      </c>
      <c r="EE23" s="743">
        <f t="shared" si="41"/>
        <v>0</v>
      </c>
      <c r="EF23" s="745" t="str">
        <f t="shared" si="42"/>
        <v>- - -</v>
      </c>
      <c r="EG23" s="742" t="s">
        <v>41</v>
      </c>
      <c r="EH23" s="743" t="s">
        <v>51</v>
      </c>
      <c r="EI23" s="758" t="s">
        <v>58</v>
      </c>
      <c r="EJ23" s="743" t="s">
        <v>51</v>
      </c>
      <c r="EK23" s="744">
        <v>2012</v>
      </c>
      <c r="EL23" s="694"/>
      <c r="EM23" s="725" t="str">
        <f t="shared" si="43"/>
        <v>- - -</v>
      </c>
      <c r="EN23" s="746" t="str">
        <f t="shared" si="44"/>
        <v>---</v>
      </c>
      <c r="EO23" s="739"/>
    </row>
    <row r="24" spans="1:232" s="686" customFormat="1" ht="78" customHeight="1" x14ac:dyDescent="0.2">
      <c r="A24" s="687">
        <v>685</v>
      </c>
      <c r="B24" s="688">
        <v>8</v>
      </c>
      <c r="C24" s="694"/>
      <c r="D24" s="694" t="str">
        <f t="shared" si="0"/>
        <v>Bà</v>
      </c>
      <c r="E24" s="695" t="s">
        <v>228</v>
      </c>
      <c r="F24" s="694" t="s">
        <v>61</v>
      </c>
      <c r="G24" s="691" t="s">
        <v>182</v>
      </c>
      <c r="H24" s="696" t="s">
        <v>51</v>
      </c>
      <c r="I24" s="691">
        <v>5</v>
      </c>
      <c r="J24" s="696" t="s">
        <v>51</v>
      </c>
      <c r="K24" s="695">
        <v>1972</v>
      </c>
      <c r="L24" s="689" t="s">
        <v>79</v>
      </c>
      <c r="M24" s="697" t="str">
        <f t="shared" si="1"/>
        <v>VC</v>
      </c>
      <c r="N24" s="698"/>
      <c r="O24" s="699" t="e">
        <f t="shared" si="2"/>
        <v>#N/A</v>
      </c>
      <c r="P24" s="695" t="s">
        <v>229</v>
      </c>
      <c r="Q24" s="688" t="e">
        <f>VLOOKUP(P24,'[3]- DLiêu Gốc (Không sửa)'!$C$2:$H$116,2,0)</f>
        <v>#N/A</v>
      </c>
      <c r="R24" s="695" t="s">
        <v>201</v>
      </c>
      <c r="S24" s="700" t="s">
        <v>143</v>
      </c>
      <c r="T24" s="685" t="str">
        <f>VLOOKUP(Y24,'[4]- DLiêu Gốc -'!$C$2:$H$60,5,0)</f>
        <v>A1</v>
      </c>
      <c r="U24" s="701" t="str">
        <f>VLOOKUP(Y24,'[4]- DLiêu Gốc -'!$C$2:$H$60,6,0)</f>
        <v>- - -</v>
      </c>
      <c r="V24" s="692" t="s">
        <v>69</v>
      </c>
      <c r="W24" s="702" t="str">
        <f t="shared" si="3"/>
        <v>Giảng viên (hạng III)</v>
      </c>
      <c r="X24" s="692" t="str">
        <f t="shared" si="4"/>
        <v>V.07.01.03</v>
      </c>
      <c r="Y24" s="684" t="s">
        <v>73</v>
      </c>
      <c r="Z24" s="684" t="str">
        <f>VLOOKUP(Y24,'[4]- DLiêu Gốc -'!$C$1:$H$133,2,0)</f>
        <v>V.07.01.03</v>
      </c>
      <c r="AA24" s="697" t="str">
        <f t="shared" si="5"/>
        <v>Lương</v>
      </c>
      <c r="AB24" s="703">
        <v>5</v>
      </c>
      <c r="AC24" s="704" t="str">
        <f t="shared" si="6"/>
        <v>/</v>
      </c>
      <c r="AD24" s="704">
        <f t="shared" si="7"/>
        <v>9</v>
      </c>
      <c r="AE24" s="685">
        <f t="shared" si="8"/>
        <v>3.66</v>
      </c>
      <c r="AF24" s="685"/>
      <c r="AG24" s="685"/>
      <c r="AH24" s="685"/>
      <c r="AI24" s="689" t="s">
        <v>51</v>
      </c>
      <c r="AJ24" s="685"/>
      <c r="AK24" s="689" t="s">
        <v>51</v>
      </c>
      <c r="AL24" s="685"/>
      <c r="AM24" s="705"/>
      <c r="AN24" s="706"/>
      <c r="AO24" s="707">
        <f t="shared" si="9"/>
        <v>6</v>
      </c>
      <c r="AP24" s="689" t="str">
        <f t="shared" si="10"/>
        <v>/</v>
      </c>
      <c r="AQ24" s="693">
        <f t="shared" si="11"/>
        <v>9</v>
      </c>
      <c r="AR24" s="689">
        <f t="shared" si="12"/>
        <v>3.99</v>
      </c>
      <c r="AS24" s="689"/>
      <c r="AT24" s="708" t="s">
        <v>41</v>
      </c>
      <c r="AU24" s="690" t="s">
        <v>51</v>
      </c>
      <c r="AV24" s="709" t="s">
        <v>41</v>
      </c>
      <c r="AW24" s="690" t="s">
        <v>51</v>
      </c>
      <c r="AX24" s="695">
        <v>2017</v>
      </c>
      <c r="AY24" s="695"/>
      <c r="AZ24" s="710"/>
      <c r="BA24" s="711"/>
      <c r="BB24" s="712">
        <f t="shared" si="13"/>
        <v>3</v>
      </c>
      <c r="BC24" s="713">
        <f t="shared" si="14"/>
        <v>-24205</v>
      </c>
      <c r="BD24" s="685">
        <f>VLOOKUP(Y24,'[4]- DLiêu Gốc -'!$C$1:$F$60,3,0)</f>
        <v>2.34</v>
      </c>
      <c r="BE24" s="685">
        <f>VLOOKUP(Y24,'[4]- DLiêu Gốc -'!$C$1:$F$60,4,0)</f>
        <v>0.33</v>
      </c>
      <c r="BF24" s="714">
        <v>12</v>
      </c>
      <c r="BG24" s="715" t="s">
        <v>39</v>
      </c>
      <c r="BH24" s="716" t="s">
        <v>41</v>
      </c>
      <c r="BI24" s="690" t="s">
        <v>51</v>
      </c>
      <c r="BJ24" s="691">
        <v>7</v>
      </c>
      <c r="BK24" s="690" t="s">
        <v>51</v>
      </c>
      <c r="BL24" s="695">
        <v>2017</v>
      </c>
      <c r="BM24" s="705"/>
      <c r="BN24" s="717"/>
      <c r="BO24" s="714">
        <f t="shared" si="15"/>
        <v>13</v>
      </c>
      <c r="BP24" s="706" t="s">
        <v>39</v>
      </c>
      <c r="BQ24" s="716" t="s">
        <v>41</v>
      </c>
      <c r="BR24" s="690" t="s">
        <v>51</v>
      </c>
      <c r="BS24" s="691">
        <v>7</v>
      </c>
      <c r="BT24" s="690" t="s">
        <v>51</v>
      </c>
      <c r="BU24" s="695">
        <v>2018</v>
      </c>
      <c r="BV24" s="692"/>
      <c r="BW24" s="718"/>
      <c r="BX24" s="719">
        <v>7</v>
      </c>
      <c r="BY24" s="720">
        <f t="shared" si="16"/>
        <v>-24223</v>
      </c>
      <c r="BZ24" s="721" t="str">
        <f t="shared" si="17"/>
        <v>- - -</v>
      </c>
      <c r="CA24" s="695" t="str">
        <f>IF(OR(S24="Ban Tổ chức - Cán bộ",S24="Văn phòng Học viện",S24="Phó Giám đốc Thường trực Học viện",S24="Phó Giám đốc Học viện"),"Chánh Văn phòng Học viện, Trưởng Ban Tổ chức - Cán bộ",IF(OR(S24="Trung tâm Ngoại ngữ",S24="Trung tâm Tin học hành chính và Công nghệ thông tin",S24="Trung tâm Tin học - Thư viện",S24="Phân viện khu vực Tây Nguyên"),"Chánh Văn phòng Học viện, Trưởng Ban Tổ chức - Cán bộ, "&amp;CONCATENATE("Giám đốc ",S24),IF(S24="Tạp chí Quản lý nhà nước","Chánh Văn phòng Học viện, Trưởng Ban Tổ chức - Cán bộ, "&amp;CONCATENATE("Tổng Biên tập ",S24),IF(S24="Văn phòng Đảng uỷ Học viện","Chánh Văn phòng Học viện, Trưởng Ban Tổ chức - Cán bộ, "&amp;CONCATENATE("Chánh",S24),IF(S24="Viện Nghiên cứu Khoa học hành chính","Chánh Văn phòng Học viện, Trưởng Ban Tổ chức - Cán bộ, "&amp;CONCATENATE("Viện Trưởng ",S24),IF(OR(S24="Cơ sở Học viện Hành chính Quốc gia khu vực miền Trung",S24="Cơ sở Học viện Hành chính Quốc gia tại Thành phố Hồ Chí Minh"),"Chánh Văn phòng Học viện, Trưởng Ban Tổ chức - Cán bộ, "&amp;CONCATENATE("Thủ trưởng ",S24),"Chánh Văn phòng Học viện, Trưởng Ban Tổ chức - Cán bộ, "&amp;CONCATENATE("Trưởng ",S24)))))))</f>
        <v>Chánh Văn phòng Học viện, Trưởng Ban Tổ chức - Cán bộ, Trưởng Phân viện Học viện Hành chính Quốc gia tại Thành phố Hồ Chí Minh</v>
      </c>
      <c r="CB24" s="722" t="str">
        <f t="shared" si="18"/>
        <v>A</v>
      </c>
      <c r="CC24" s="723" t="str">
        <f t="shared" si="19"/>
        <v>=&gt; s</v>
      </c>
      <c r="CD24" s="697">
        <f t="shared" si="20"/>
        <v>24229</v>
      </c>
      <c r="CE24" s="694" t="str">
        <f t="shared" si="21"/>
        <v>---</v>
      </c>
      <c r="CF24" s="694"/>
      <c r="CG24" s="724"/>
      <c r="CH24" s="694"/>
      <c r="CI24" s="692"/>
      <c r="CJ24" s="694" t="str">
        <f t="shared" si="22"/>
        <v>- - -</v>
      </c>
      <c r="CK24" s="725" t="str">
        <f t="shared" si="23"/>
        <v>- - -</v>
      </c>
      <c r="CL24" s="726"/>
      <c r="CM24" s="727"/>
      <c r="CN24" s="726"/>
      <c r="CO24" s="728"/>
      <c r="CP24" s="725" t="str">
        <f t="shared" si="24"/>
        <v>- - -</v>
      </c>
      <c r="CQ24" s="726"/>
      <c r="CR24" s="727"/>
      <c r="CS24" s="726"/>
      <c r="CT24" s="728"/>
      <c r="CU24" s="729" t="str">
        <f t="shared" si="25"/>
        <v>---</v>
      </c>
      <c r="CV24" s="730" t="str">
        <f t="shared" si="26"/>
        <v>/-/ /-/</v>
      </c>
      <c r="CW24" s="731">
        <f t="shared" si="27"/>
        <v>6</v>
      </c>
      <c r="CX24" s="732">
        <f t="shared" si="28"/>
        <v>2027</v>
      </c>
      <c r="CY24" s="731">
        <f t="shared" si="29"/>
        <v>3</v>
      </c>
      <c r="CZ24" s="732">
        <f t="shared" si="30"/>
        <v>2027</v>
      </c>
      <c r="DA24" s="731">
        <f t="shared" si="31"/>
        <v>12</v>
      </c>
      <c r="DB24" s="732">
        <f t="shared" si="32"/>
        <v>2026</v>
      </c>
      <c r="DC24" s="733" t="str">
        <f t="shared" si="33"/>
        <v>- - -</v>
      </c>
      <c r="DD24" s="734" t="str">
        <f t="shared" si="34"/>
        <v>. .</v>
      </c>
      <c r="DE24" s="734"/>
      <c r="DF24" s="697">
        <f t="shared" si="35"/>
        <v>660</v>
      </c>
      <c r="DG24" s="697">
        <f t="shared" si="36"/>
        <v>-23657</v>
      </c>
      <c r="DH24" s="697">
        <f t="shared" si="37"/>
        <v>-1972</v>
      </c>
      <c r="DI24" s="697" t="str">
        <f t="shared" si="38"/>
        <v>Nữ dưới 30</v>
      </c>
      <c r="DJ24" s="697"/>
      <c r="DK24" s="697"/>
      <c r="DL24" s="721" t="str">
        <f t="shared" si="39"/>
        <v>Đến 30</v>
      </c>
      <c r="DM24" s="726" t="str">
        <f t="shared" si="40"/>
        <v>TD</v>
      </c>
      <c r="DN24" s="735">
        <v>2008</v>
      </c>
      <c r="DO24" s="694"/>
      <c r="DP24" s="736"/>
      <c r="DQ24" s="735"/>
      <c r="DR24" s="728"/>
      <c r="DS24" s="737"/>
      <c r="DT24" s="704"/>
      <c r="DU24" s="738"/>
      <c r="DV24" s="739"/>
      <c r="DW24" s="740" t="s">
        <v>201</v>
      </c>
      <c r="DX24" s="741" t="s">
        <v>184</v>
      </c>
      <c r="DY24" s="740" t="s">
        <v>201</v>
      </c>
      <c r="DZ24" s="742" t="s">
        <v>41</v>
      </c>
      <c r="EA24" s="743" t="s">
        <v>51</v>
      </c>
      <c r="EB24" s="743" t="s">
        <v>41</v>
      </c>
      <c r="EC24" s="743" t="s">
        <v>51</v>
      </c>
      <c r="ED24" s="744">
        <v>2014</v>
      </c>
      <c r="EE24" s="743">
        <f t="shared" si="41"/>
        <v>0</v>
      </c>
      <c r="EF24" s="745" t="str">
        <f t="shared" si="42"/>
        <v>- - -</v>
      </c>
      <c r="EG24" s="742" t="s">
        <v>41</v>
      </c>
      <c r="EH24" s="743" t="s">
        <v>51</v>
      </c>
      <c r="EI24" s="743" t="s">
        <v>41</v>
      </c>
      <c r="EJ24" s="743" t="s">
        <v>51</v>
      </c>
      <c r="EK24" s="744">
        <v>2014</v>
      </c>
      <c r="EL24" s="694"/>
      <c r="EM24" s="725" t="str">
        <f t="shared" si="43"/>
        <v>- - -</v>
      </c>
      <c r="EN24" s="746" t="str">
        <f t="shared" si="44"/>
        <v>---</v>
      </c>
      <c r="EO24" s="739"/>
    </row>
    <row r="25" spans="1:232" s="64" customFormat="1" ht="28.5" customHeight="1" x14ac:dyDescent="0.3">
      <c r="A25" s="65"/>
      <c r="B25" s="60"/>
      <c r="C25" s="72"/>
      <c r="D25" s="834"/>
      <c r="E25" s="834"/>
      <c r="F25" s="834"/>
      <c r="G25" s="834"/>
      <c r="H25" s="834"/>
      <c r="I25" s="834"/>
      <c r="J25" s="834"/>
      <c r="K25" s="834"/>
      <c r="L25" s="834"/>
      <c r="M25" s="834"/>
      <c r="N25" s="834"/>
      <c r="O25" s="834"/>
      <c r="P25" s="834"/>
      <c r="Q25" s="834"/>
      <c r="R25" s="834"/>
      <c r="S25" s="62"/>
      <c r="T25" s="62"/>
      <c r="U25" s="62"/>
      <c r="V25" s="63"/>
      <c r="W25" s="532"/>
      <c r="X25" s="835" t="s">
        <v>10</v>
      </c>
      <c r="Y25" s="835"/>
      <c r="Z25" s="835"/>
      <c r="AA25" s="835"/>
      <c r="AB25" s="835"/>
      <c r="AC25" s="835"/>
      <c r="AD25" s="835"/>
      <c r="AE25" s="835"/>
      <c r="AF25" s="835"/>
      <c r="AG25" s="835"/>
      <c r="AH25" s="835"/>
      <c r="AI25" s="835"/>
      <c r="AJ25" s="835"/>
      <c r="AK25" s="835"/>
      <c r="AL25" s="835"/>
      <c r="AM25" s="835"/>
      <c r="AN25" s="835"/>
      <c r="AO25" s="835"/>
      <c r="AP25" s="835"/>
      <c r="AQ25" s="835"/>
      <c r="AR25" s="835"/>
      <c r="AS25" s="835"/>
      <c r="AT25" s="835"/>
      <c r="AU25" s="835"/>
      <c r="AV25" s="835"/>
      <c r="AW25" s="835"/>
      <c r="AX25" s="835"/>
      <c r="AY25" s="835"/>
      <c r="AZ25" s="835"/>
      <c r="BA25" s="835"/>
      <c r="BB25" s="835"/>
      <c r="BC25" s="835"/>
      <c r="BD25" s="835"/>
      <c r="BE25" s="835"/>
      <c r="BF25" s="835"/>
      <c r="BG25" s="835"/>
      <c r="BH25" s="835"/>
      <c r="BI25" s="835"/>
      <c r="BJ25" s="835"/>
      <c r="BK25" s="835"/>
      <c r="BL25" s="835"/>
      <c r="BM25" s="835"/>
      <c r="BN25" s="835"/>
      <c r="BO25" s="835"/>
      <c r="BP25" s="835"/>
      <c r="BQ25" s="835"/>
      <c r="BR25" s="835"/>
      <c r="BS25" s="835"/>
      <c r="BT25" s="835"/>
      <c r="BU25" s="835"/>
      <c r="BV25" s="193"/>
      <c r="BW25" s="588"/>
      <c r="BX25" s="589"/>
      <c r="BY25" s="589"/>
      <c r="BZ25" s="589"/>
      <c r="CA25" s="589"/>
      <c r="CB25" s="589"/>
      <c r="CC25" s="589"/>
      <c r="CD25" s="577"/>
      <c r="CE25" s="590"/>
      <c r="CF25" s="591"/>
      <c r="CG25" s="577"/>
      <c r="CH25" s="592"/>
      <c r="CI25" s="577"/>
      <c r="CJ25" s="577"/>
      <c r="CK25" s="577"/>
      <c r="CL25" s="577"/>
      <c r="CM25" s="577"/>
      <c r="CN25" s="577"/>
      <c r="CO25" s="577"/>
      <c r="CP25" s="577"/>
      <c r="CQ25" s="577"/>
      <c r="CR25" s="555"/>
      <c r="CS25" s="555"/>
      <c r="CT25" s="555"/>
      <c r="CU25" s="555"/>
      <c r="CV25" s="555"/>
      <c r="CW25" s="555"/>
      <c r="CX25" s="555"/>
      <c r="CY25" s="555"/>
      <c r="CZ25" s="555"/>
      <c r="DA25" s="555"/>
      <c r="FP25" s="673"/>
      <c r="FQ25" s="673"/>
      <c r="FR25" s="673"/>
      <c r="FS25" s="673"/>
      <c r="FT25" s="673"/>
      <c r="FU25" s="673"/>
      <c r="FV25" s="673"/>
      <c r="FW25" s="673"/>
      <c r="FX25" s="673"/>
      <c r="FY25" s="673"/>
      <c r="FZ25" s="673"/>
      <c r="GA25" s="673"/>
      <c r="GB25" s="673"/>
      <c r="GC25" s="673"/>
      <c r="GD25" s="673"/>
      <c r="GE25" s="673"/>
      <c r="GF25" s="673"/>
      <c r="GG25" s="673"/>
      <c r="GH25" s="673"/>
      <c r="GI25" s="673"/>
      <c r="GJ25" s="673"/>
      <c r="GK25" s="673"/>
      <c r="GL25" s="673"/>
      <c r="GM25" s="673"/>
      <c r="GN25" s="673"/>
      <c r="GO25" s="673"/>
      <c r="GP25" s="673"/>
      <c r="GQ25" s="673"/>
      <c r="GR25" s="673"/>
      <c r="GS25" s="673"/>
      <c r="GT25" s="673"/>
      <c r="GU25" s="673"/>
      <c r="GV25" s="673"/>
      <c r="GW25" s="673"/>
      <c r="GX25" s="673"/>
      <c r="GY25" s="673"/>
      <c r="GZ25" s="673"/>
      <c r="HA25" s="673"/>
      <c r="HB25" s="673"/>
      <c r="HC25" s="673"/>
      <c r="HD25" s="673"/>
      <c r="HE25" s="673"/>
      <c r="HF25" s="673"/>
      <c r="HG25" s="673"/>
      <c r="HH25" s="673"/>
      <c r="HI25" s="673"/>
      <c r="HJ25" s="673"/>
      <c r="HK25" s="673"/>
      <c r="HL25" s="673"/>
      <c r="HM25" s="673"/>
      <c r="HN25" s="673"/>
      <c r="HO25" s="673"/>
      <c r="HP25" s="673"/>
      <c r="HQ25" s="628"/>
      <c r="HR25" s="628"/>
      <c r="HS25" s="628"/>
      <c r="HT25" s="628"/>
      <c r="HU25" s="628"/>
      <c r="HV25" s="628"/>
      <c r="HW25" s="628"/>
      <c r="HX25" s="628"/>
    </row>
    <row r="26" spans="1:232" s="61" customFormat="1" ht="18" customHeight="1" x14ac:dyDescent="0.3">
      <c r="A26" s="59"/>
      <c r="B26" s="66"/>
      <c r="C26" s="67"/>
      <c r="D26" s="176"/>
      <c r="E26" s="177"/>
      <c r="F26" s="178"/>
      <c r="G26" s="179"/>
      <c r="H26" s="176"/>
      <c r="I26" s="180"/>
      <c r="J26" s="180"/>
      <c r="K26" s="180"/>
      <c r="L26" s="180"/>
      <c r="M26" s="180"/>
      <c r="N26" s="180"/>
      <c r="O26" s="180"/>
      <c r="P26" s="180"/>
      <c r="Q26" s="181"/>
      <c r="R26" s="181"/>
      <c r="S26" s="69"/>
      <c r="T26" s="69"/>
      <c r="U26" s="69"/>
      <c r="V26" s="70"/>
      <c r="W26" s="68"/>
      <c r="X26" s="836" t="s">
        <v>331</v>
      </c>
      <c r="Y26" s="836"/>
      <c r="Z26" s="836"/>
      <c r="AA26" s="836"/>
      <c r="AB26" s="836"/>
      <c r="AC26" s="836"/>
      <c r="AD26" s="836"/>
      <c r="AE26" s="836"/>
      <c r="AF26" s="836"/>
      <c r="AG26" s="836"/>
      <c r="AH26" s="836"/>
      <c r="AI26" s="836"/>
      <c r="AJ26" s="836"/>
      <c r="AK26" s="836"/>
      <c r="AL26" s="836"/>
      <c r="AM26" s="836"/>
      <c r="AN26" s="836"/>
      <c r="AO26" s="836"/>
      <c r="AP26" s="836"/>
      <c r="AQ26" s="836"/>
      <c r="AR26" s="836"/>
      <c r="AS26" s="836"/>
      <c r="AT26" s="836"/>
      <c r="AU26" s="836"/>
      <c r="AV26" s="836"/>
      <c r="AW26" s="836"/>
      <c r="AX26" s="836"/>
      <c r="AY26" s="836"/>
      <c r="AZ26" s="836"/>
      <c r="BA26" s="836"/>
      <c r="BB26" s="836"/>
      <c r="BC26" s="836"/>
      <c r="BD26" s="836"/>
      <c r="BE26" s="836"/>
      <c r="BF26" s="836"/>
      <c r="BG26" s="836"/>
      <c r="BH26" s="836"/>
      <c r="BI26" s="836"/>
      <c r="BJ26" s="836"/>
      <c r="BK26" s="836"/>
      <c r="BL26" s="836"/>
      <c r="BM26" s="836"/>
      <c r="BN26" s="836"/>
      <c r="BO26" s="836"/>
      <c r="BP26" s="836"/>
      <c r="BQ26" s="836"/>
      <c r="BR26" s="836"/>
      <c r="BS26" s="836"/>
      <c r="BT26" s="836"/>
      <c r="BU26" s="836"/>
      <c r="BV26" s="192"/>
      <c r="BW26" s="593"/>
      <c r="BX26" s="594"/>
      <c r="BY26" s="594"/>
      <c r="BZ26" s="594"/>
      <c r="CA26" s="594"/>
      <c r="CB26" s="594"/>
      <c r="CC26" s="594"/>
      <c r="CD26" s="595"/>
      <c r="CE26" s="596"/>
      <c r="CF26" s="597"/>
      <c r="CG26" s="595"/>
      <c r="CH26" s="598"/>
      <c r="CI26" s="599"/>
      <c r="CJ26" s="595"/>
      <c r="CK26" s="595"/>
      <c r="CL26" s="595"/>
      <c r="CM26" s="595"/>
      <c r="CN26" s="595"/>
      <c r="CO26" s="595"/>
      <c r="CP26" s="595"/>
      <c r="CQ26" s="595"/>
      <c r="CR26" s="564"/>
      <c r="CS26" s="564"/>
      <c r="CT26" s="564"/>
      <c r="CU26" s="564"/>
      <c r="CV26" s="564"/>
      <c r="CW26" s="564"/>
      <c r="CX26" s="564"/>
      <c r="CY26" s="564"/>
      <c r="CZ26" s="564"/>
      <c r="DA26" s="564"/>
      <c r="FP26" s="565"/>
      <c r="FQ26" s="565"/>
      <c r="FR26" s="565"/>
      <c r="FS26" s="565"/>
      <c r="FT26" s="565"/>
      <c r="FU26" s="565"/>
      <c r="FV26" s="565"/>
      <c r="FW26" s="565"/>
      <c r="FX26" s="565"/>
      <c r="FY26" s="565"/>
      <c r="FZ26" s="565"/>
      <c r="GA26" s="565"/>
      <c r="GB26" s="565"/>
      <c r="GC26" s="565"/>
      <c r="GD26" s="565"/>
      <c r="GE26" s="565"/>
      <c r="GF26" s="565"/>
      <c r="GG26" s="565"/>
      <c r="GH26" s="565"/>
      <c r="GI26" s="565"/>
      <c r="GJ26" s="565"/>
      <c r="GK26" s="565"/>
      <c r="GL26" s="565"/>
      <c r="GM26" s="565"/>
      <c r="GN26" s="565"/>
      <c r="GO26" s="565"/>
      <c r="GP26" s="565"/>
      <c r="GQ26" s="565"/>
      <c r="GR26" s="565"/>
      <c r="GS26" s="565"/>
      <c r="GT26" s="565"/>
      <c r="GU26" s="565"/>
      <c r="GV26" s="565"/>
      <c r="GW26" s="565"/>
      <c r="GX26" s="565"/>
      <c r="GY26" s="565"/>
      <c r="GZ26" s="565"/>
      <c r="HA26" s="565"/>
      <c r="HB26" s="565"/>
      <c r="HC26" s="565"/>
      <c r="HD26" s="565"/>
      <c r="HE26" s="565"/>
      <c r="HF26" s="565"/>
      <c r="HG26" s="565"/>
      <c r="HH26" s="565"/>
      <c r="HI26" s="160"/>
      <c r="HJ26" s="160"/>
      <c r="HK26" s="160"/>
      <c r="HL26" s="160"/>
      <c r="HM26" s="160"/>
      <c r="HN26" s="160"/>
      <c r="HO26" s="160"/>
      <c r="HP26" s="160"/>
      <c r="HQ26" s="160"/>
      <c r="HR26" s="160"/>
      <c r="HS26" s="160"/>
      <c r="HT26" s="160"/>
      <c r="HU26" s="160"/>
      <c r="HV26" s="160"/>
      <c r="HW26" s="160"/>
      <c r="HX26" s="160"/>
    </row>
    <row r="27" spans="1:232" ht="49.5" customHeight="1" x14ac:dyDescent="0.2">
      <c r="BJ27" s="826" t="s">
        <v>35</v>
      </c>
      <c r="BK27" s="826"/>
      <c r="BL27" s="826"/>
      <c r="BM27" s="826"/>
      <c r="BN27" s="826"/>
    </row>
    <row r="28" spans="1:232" s="58" customFormat="1" ht="6" customHeight="1" x14ac:dyDescent="0.25">
      <c r="A28" s="10">
        <v>721</v>
      </c>
      <c r="B28" s="66"/>
      <c r="C28" s="67"/>
      <c r="D28" s="176"/>
      <c r="E28" s="177"/>
      <c r="F28" s="178"/>
      <c r="G28" s="179"/>
      <c r="H28" s="176"/>
      <c r="I28" s="182"/>
      <c r="J28" s="182"/>
      <c r="K28" s="182"/>
      <c r="L28" s="182"/>
      <c r="M28" s="182"/>
      <c r="N28" s="182"/>
      <c r="O28" s="182"/>
      <c r="P28" s="182"/>
      <c r="Q28" s="183"/>
      <c r="R28" s="183"/>
      <c r="S28" s="73"/>
      <c r="T28" s="73"/>
      <c r="U28" s="73"/>
      <c r="V28" s="74"/>
      <c r="W28" s="90"/>
      <c r="X28" s="90"/>
      <c r="Y28" s="71"/>
      <c r="Z28" s="71"/>
      <c r="AA28" s="837" t="s">
        <v>35</v>
      </c>
      <c r="AB28" s="837"/>
      <c r="AC28" s="837"/>
      <c r="AD28" s="837"/>
      <c r="AE28" s="837"/>
      <c r="AF28" s="837"/>
      <c r="AG28" s="837"/>
      <c r="AH28" s="837"/>
      <c r="AI28" s="837"/>
      <c r="AJ28" s="837"/>
      <c r="AK28" s="837"/>
      <c r="AL28" s="837"/>
      <c r="AM28" s="837"/>
      <c r="AN28" s="837"/>
      <c r="AO28" s="837"/>
      <c r="AP28" s="837"/>
      <c r="AQ28" s="837"/>
      <c r="AR28" s="837"/>
      <c r="AS28" s="837"/>
      <c r="AT28" s="837"/>
      <c r="AU28" s="837"/>
      <c r="AV28" s="837"/>
      <c r="AW28" s="837"/>
      <c r="AX28" s="837"/>
      <c r="AY28" s="837"/>
      <c r="AZ28" s="837"/>
      <c r="BA28" s="837"/>
      <c r="BB28" s="837"/>
      <c r="BC28" s="837"/>
      <c r="BD28" s="837"/>
      <c r="BE28" s="837"/>
      <c r="BF28" s="837"/>
      <c r="BG28" s="837"/>
      <c r="BH28" s="837"/>
      <c r="BI28" s="837"/>
      <c r="BJ28" s="837"/>
      <c r="BK28" s="837"/>
      <c r="BL28" s="837"/>
      <c r="BM28" s="837"/>
      <c r="BN28" s="837"/>
      <c r="BO28" s="837"/>
      <c r="BP28" s="837"/>
      <c r="BQ28" s="837"/>
      <c r="BR28" s="837"/>
      <c r="BS28" s="837"/>
      <c r="BT28" s="837"/>
      <c r="BU28" s="837"/>
      <c r="BV28" s="837"/>
      <c r="BW28" s="837"/>
      <c r="BX28" s="837"/>
      <c r="BY28" s="837"/>
      <c r="BZ28" s="837"/>
      <c r="CA28" s="837"/>
      <c r="CB28" s="837"/>
      <c r="CC28" s="837"/>
      <c r="CD28" s="600"/>
      <c r="CE28" s="601"/>
      <c r="CF28" s="133"/>
      <c r="CG28" s="602"/>
      <c r="CH28" s="603"/>
      <c r="CI28" s="604"/>
      <c r="CJ28" s="605"/>
      <c r="CK28" s="606"/>
      <c r="CL28" s="607"/>
      <c r="CM28" s="608"/>
      <c r="CN28" s="609"/>
      <c r="CO28" s="609"/>
      <c r="CP28" s="607"/>
      <c r="CQ28" s="610"/>
      <c r="CR28" s="566"/>
      <c r="CS28" s="566"/>
      <c r="CT28" s="567"/>
      <c r="CU28" s="567"/>
      <c r="CV28" s="567"/>
      <c r="CW28" s="567"/>
      <c r="CX28" s="567"/>
      <c r="CY28" s="567"/>
      <c r="CZ28" s="567"/>
      <c r="DA28" s="567"/>
      <c r="DB28" s="8"/>
      <c r="DC28" s="8"/>
      <c r="DD28" s="8"/>
      <c r="DE28" s="8"/>
      <c r="DF28" s="8"/>
      <c r="DG28" s="8"/>
      <c r="DH28" s="8"/>
      <c r="DI28" s="8"/>
      <c r="DJ28" s="52"/>
      <c r="DK28" s="53"/>
      <c r="DL28" s="11"/>
      <c r="DM28" s="6"/>
      <c r="DN28" s="54"/>
      <c r="DO28" s="12"/>
      <c r="DP28" s="55"/>
      <c r="DQ28" s="56"/>
      <c r="DR28" s="57"/>
      <c r="DS28" s="15"/>
      <c r="DT28" s="15"/>
      <c r="DU28" s="55"/>
      <c r="DV28" s="13"/>
      <c r="DW28" s="4"/>
      <c r="DX28" s="14"/>
      <c r="DY28" s="14"/>
      <c r="FP28" s="632"/>
      <c r="FQ28" s="632"/>
      <c r="FR28" s="632"/>
      <c r="FS28" s="632"/>
      <c r="FT28" s="632"/>
      <c r="FU28" s="632"/>
      <c r="FV28" s="632"/>
      <c r="FW28" s="632"/>
      <c r="FX28" s="632"/>
      <c r="FY28" s="632"/>
      <c r="FZ28" s="632"/>
      <c r="GA28" s="632"/>
      <c r="GB28" s="632"/>
      <c r="GC28" s="632"/>
      <c r="GD28" s="632"/>
      <c r="GE28" s="632"/>
      <c r="GF28" s="632"/>
      <c r="GG28" s="632"/>
      <c r="GH28" s="632"/>
      <c r="GI28" s="632"/>
      <c r="GJ28" s="632"/>
      <c r="GK28" s="632"/>
      <c r="GL28" s="632"/>
      <c r="GM28" s="632"/>
      <c r="GN28" s="632"/>
      <c r="GO28" s="632"/>
      <c r="GP28" s="632"/>
      <c r="GQ28" s="632"/>
      <c r="GR28" s="632"/>
      <c r="GS28" s="632"/>
      <c r="GT28" s="632"/>
      <c r="GU28" s="632"/>
      <c r="GV28" s="632"/>
      <c r="GW28" s="632"/>
      <c r="GX28" s="632"/>
      <c r="GY28" s="632"/>
      <c r="GZ28" s="632"/>
      <c r="HA28" s="632"/>
      <c r="HB28" s="632"/>
      <c r="HC28" s="632"/>
      <c r="HD28" s="632"/>
      <c r="HE28" s="632"/>
      <c r="HF28" s="632"/>
      <c r="HG28" s="632"/>
      <c r="HH28" s="632"/>
      <c r="HI28" s="336"/>
      <c r="HJ28" s="336"/>
      <c r="HK28" s="336"/>
      <c r="HL28" s="336"/>
      <c r="HM28" s="336"/>
      <c r="HN28" s="336"/>
      <c r="HO28" s="336"/>
      <c r="HP28" s="336"/>
      <c r="HQ28" s="336"/>
      <c r="HR28" s="336"/>
      <c r="HS28" s="336"/>
      <c r="HT28" s="336"/>
      <c r="HU28" s="336"/>
      <c r="HV28" s="336"/>
      <c r="HW28" s="336"/>
      <c r="HX28" s="336"/>
    </row>
    <row r="29" spans="1:232" s="58" customFormat="1" ht="10.5" customHeight="1" x14ac:dyDescent="0.25">
      <c r="A29" s="10">
        <v>746</v>
      </c>
      <c r="C29" s="67"/>
      <c r="D29" s="176"/>
      <c r="E29" s="177"/>
      <c r="F29" s="178"/>
      <c r="G29" s="179"/>
      <c r="H29" s="176"/>
      <c r="I29" s="182"/>
      <c r="J29" s="182"/>
      <c r="K29" s="182"/>
      <c r="L29" s="182"/>
      <c r="M29" s="182"/>
      <c r="N29" s="182"/>
      <c r="O29" s="182"/>
      <c r="P29" s="182"/>
      <c r="Q29" s="183"/>
      <c r="R29" s="183"/>
      <c r="S29" s="73"/>
      <c r="T29" s="73"/>
      <c r="U29" s="73"/>
      <c r="V29" s="74"/>
      <c r="W29" s="90"/>
      <c r="X29" s="838" t="s">
        <v>153</v>
      </c>
      <c r="Y29" s="838"/>
      <c r="Z29" s="838"/>
      <c r="AA29" s="838"/>
      <c r="AB29" s="838"/>
      <c r="AC29" s="838"/>
      <c r="AD29" s="838"/>
      <c r="AE29" s="838"/>
      <c r="AF29" s="838"/>
      <c r="AG29" s="838"/>
      <c r="AH29" s="838"/>
      <c r="AI29" s="838"/>
      <c r="AJ29" s="838"/>
      <c r="AK29" s="838"/>
      <c r="AL29" s="838"/>
      <c r="AM29" s="838"/>
      <c r="AN29" s="838"/>
      <c r="AO29" s="838"/>
      <c r="AP29" s="838"/>
      <c r="AQ29" s="838"/>
      <c r="AR29" s="838"/>
      <c r="AS29" s="838"/>
      <c r="AT29" s="838"/>
      <c r="AU29" s="838"/>
      <c r="AV29" s="838"/>
      <c r="AW29" s="838"/>
      <c r="AX29" s="838"/>
      <c r="AY29" s="838"/>
      <c r="AZ29" s="838"/>
      <c r="BA29" s="838"/>
      <c r="BB29" s="838"/>
      <c r="BC29" s="838"/>
      <c r="BD29" s="838"/>
      <c r="BE29" s="838"/>
      <c r="BF29" s="838"/>
      <c r="BG29" s="838"/>
      <c r="BH29" s="838"/>
      <c r="BI29" s="838"/>
      <c r="BJ29" s="838"/>
      <c r="BK29" s="838"/>
      <c r="BL29" s="838"/>
      <c r="BM29" s="838"/>
      <c r="BN29" s="838"/>
      <c r="BO29" s="838"/>
      <c r="BP29" s="838"/>
      <c r="BQ29" s="838"/>
      <c r="BR29" s="838"/>
      <c r="BS29" s="838"/>
      <c r="BT29" s="838"/>
      <c r="BU29" s="838"/>
      <c r="BV29" s="535"/>
      <c r="BW29" s="611"/>
      <c r="BX29" s="612"/>
      <c r="BY29" s="612"/>
      <c r="BZ29" s="612"/>
      <c r="CA29" s="612"/>
      <c r="CB29" s="612"/>
      <c r="CC29" s="612"/>
      <c r="CD29" s="600"/>
      <c r="CE29" s="613"/>
      <c r="CF29" s="614"/>
      <c r="CG29" s="615"/>
      <c r="CH29" s="603"/>
      <c r="CI29" s="604"/>
      <c r="CJ29" s="605"/>
      <c r="CK29" s="606"/>
      <c r="CL29" s="607"/>
      <c r="CM29" s="608"/>
      <c r="CN29" s="609"/>
      <c r="CO29" s="609"/>
      <c r="CP29" s="607"/>
      <c r="CQ29" s="610"/>
      <c r="CR29" s="566"/>
      <c r="CS29" s="566"/>
      <c r="CT29" s="567"/>
      <c r="CU29" s="567"/>
      <c r="CV29" s="567"/>
      <c r="CW29" s="567"/>
      <c r="CX29" s="567"/>
      <c r="CY29" s="567"/>
      <c r="CZ29" s="567"/>
      <c r="DA29" s="567"/>
      <c r="DB29" s="8"/>
      <c r="DC29" s="8"/>
      <c r="DD29" s="8"/>
      <c r="DE29" s="8"/>
      <c r="DF29" s="8"/>
      <c r="DG29" s="8"/>
      <c r="DH29" s="8"/>
      <c r="DI29" s="8"/>
      <c r="DJ29" s="52"/>
      <c r="DK29" s="53"/>
      <c r="DL29" s="11"/>
      <c r="DM29" s="6"/>
      <c r="DN29" s="54"/>
      <c r="DO29" s="12"/>
      <c r="DP29" s="55"/>
      <c r="DQ29" s="56"/>
      <c r="DR29" s="57"/>
      <c r="DS29" s="15"/>
      <c r="DT29" s="15"/>
      <c r="DU29" s="55"/>
      <c r="DV29" s="13"/>
      <c r="DW29" s="4"/>
      <c r="DX29" s="14"/>
      <c r="DY29" s="14"/>
      <c r="FP29" s="632"/>
      <c r="FQ29" s="632"/>
      <c r="FR29" s="632"/>
      <c r="FS29" s="632"/>
      <c r="FT29" s="632"/>
      <c r="FU29" s="632"/>
      <c r="FV29" s="632"/>
      <c r="FW29" s="632"/>
      <c r="FX29" s="632"/>
      <c r="FY29" s="632"/>
      <c r="FZ29" s="632"/>
      <c r="GA29" s="632"/>
      <c r="GB29" s="632"/>
      <c r="GC29" s="632"/>
      <c r="GD29" s="632"/>
      <c r="GE29" s="632"/>
      <c r="GF29" s="632"/>
      <c r="GG29" s="632"/>
      <c r="GH29" s="632"/>
      <c r="GI29" s="632"/>
      <c r="GJ29" s="632"/>
      <c r="GK29" s="632"/>
      <c r="GL29" s="632"/>
      <c r="GM29" s="632"/>
      <c r="GN29" s="632"/>
      <c r="GO29" s="632"/>
      <c r="GP29" s="632"/>
      <c r="GQ29" s="632"/>
      <c r="GR29" s="632"/>
      <c r="GS29" s="632"/>
      <c r="GT29" s="632"/>
      <c r="GU29" s="632"/>
      <c r="GV29" s="632"/>
      <c r="GW29" s="632"/>
      <c r="GX29" s="632"/>
      <c r="GY29" s="632"/>
      <c r="GZ29" s="632"/>
      <c r="HA29" s="632"/>
      <c r="HB29" s="632"/>
      <c r="HC29" s="632"/>
      <c r="HD29" s="632"/>
      <c r="HE29" s="632"/>
      <c r="HF29" s="632"/>
      <c r="HG29" s="632"/>
      <c r="HH29" s="632"/>
      <c r="HI29" s="336"/>
      <c r="HJ29" s="336"/>
      <c r="HK29" s="336"/>
      <c r="HL29" s="336"/>
      <c r="HM29" s="336"/>
      <c r="HN29" s="336"/>
      <c r="HO29" s="336"/>
      <c r="HP29" s="336"/>
      <c r="HQ29" s="336"/>
      <c r="HR29" s="336"/>
      <c r="HS29" s="336"/>
      <c r="HT29" s="336"/>
      <c r="HU29" s="336"/>
      <c r="HV29" s="336"/>
      <c r="HW29" s="336"/>
      <c r="HX29" s="336"/>
    </row>
    <row r="30" spans="1:232" s="58" customFormat="1" ht="41.25" customHeight="1" x14ac:dyDescent="0.3">
      <c r="A30" s="10">
        <v>749</v>
      </c>
      <c r="B30" s="75"/>
      <c r="C30" s="67"/>
      <c r="D30" s="830"/>
      <c r="E30" s="830"/>
      <c r="F30" s="830"/>
      <c r="G30" s="830"/>
      <c r="H30" s="830"/>
      <c r="I30" s="830"/>
      <c r="J30" s="830"/>
      <c r="K30" s="830"/>
      <c r="L30" s="830"/>
      <c r="M30" s="830"/>
      <c r="N30" s="830"/>
      <c r="O30" s="830"/>
      <c r="P30" s="830"/>
      <c r="Q30" s="830"/>
      <c r="R30" s="830"/>
      <c r="S30" s="73"/>
      <c r="T30" s="73"/>
      <c r="U30" s="73"/>
      <c r="V30" s="74"/>
      <c r="W30" s="90"/>
      <c r="X30" s="838"/>
      <c r="Y30" s="838"/>
      <c r="Z30" s="838"/>
      <c r="AA30" s="838"/>
      <c r="AB30" s="838"/>
      <c r="AC30" s="838"/>
      <c r="AD30" s="838"/>
      <c r="AE30" s="838"/>
      <c r="AF30" s="838"/>
      <c r="AG30" s="838"/>
      <c r="AH30" s="838"/>
      <c r="AI30" s="838"/>
      <c r="AJ30" s="838"/>
      <c r="AK30" s="838"/>
      <c r="AL30" s="838"/>
      <c r="AM30" s="838"/>
      <c r="AN30" s="838"/>
      <c r="AO30" s="838"/>
      <c r="AP30" s="838"/>
      <c r="AQ30" s="838"/>
      <c r="AR30" s="838"/>
      <c r="AS30" s="838"/>
      <c r="AT30" s="838"/>
      <c r="AU30" s="838"/>
      <c r="AV30" s="838"/>
      <c r="AW30" s="838"/>
      <c r="AX30" s="838"/>
      <c r="AY30" s="838"/>
      <c r="AZ30" s="838"/>
      <c r="BA30" s="838"/>
      <c r="BB30" s="838"/>
      <c r="BC30" s="838"/>
      <c r="BD30" s="838"/>
      <c r="BE30" s="838"/>
      <c r="BF30" s="838"/>
      <c r="BG30" s="838"/>
      <c r="BH30" s="838"/>
      <c r="BI30" s="838"/>
      <c r="BJ30" s="838"/>
      <c r="BK30" s="838"/>
      <c r="BL30" s="838"/>
      <c r="BM30" s="838"/>
      <c r="BN30" s="838"/>
      <c r="BO30" s="838"/>
      <c r="BP30" s="838"/>
      <c r="BQ30" s="838"/>
      <c r="BR30" s="838"/>
      <c r="BS30" s="838"/>
      <c r="BT30" s="838"/>
      <c r="BU30" s="838"/>
      <c r="BV30" s="191"/>
      <c r="BW30" s="616"/>
      <c r="BX30" s="617"/>
      <c r="BY30" s="617"/>
      <c r="BZ30" s="617"/>
      <c r="CA30" s="617"/>
      <c r="CB30" s="617"/>
      <c r="CC30" s="617"/>
      <c r="CD30" s="618"/>
      <c r="CE30" s="264"/>
      <c r="CF30" s="619"/>
      <c r="CG30" s="604"/>
      <c r="CH30" s="603"/>
      <c r="CI30" s="604"/>
      <c r="CJ30" s="605"/>
      <c r="CK30" s="606"/>
      <c r="CL30" s="607"/>
      <c r="CM30" s="608"/>
      <c r="CN30" s="609"/>
      <c r="CO30" s="609"/>
      <c r="CP30" s="607"/>
      <c r="CQ30" s="610"/>
      <c r="CR30" s="566"/>
      <c r="CS30" s="566"/>
      <c r="CT30" s="567"/>
      <c r="CU30" s="567"/>
      <c r="CV30" s="567"/>
      <c r="CW30" s="567"/>
      <c r="CX30" s="567"/>
      <c r="CY30" s="567"/>
      <c r="CZ30" s="567"/>
      <c r="DA30" s="567"/>
      <c r="DB30" s="8"/>
      <c r="DC30" s="8"/>
      <c r="DD30" s="8"/>
      <c r="DE30" s="8"/>
      <c r="DF30" s="8"/>
      <c r="DG30" s="8"/>
      <c r="DH30" s="8"/>
      <c r="DI30" s="8"/>
      <c r="DJ30" s="52"/>
      <c r="DK30" s="53"/>
      <c r="DL30" s="11"/>
      <c r="DM30" s="6"/>
      <c r="DN30" s="54"/>
      <c r="DO30" s="12"/>
      <c r="DP30" s="55"/>
      <c r="DQ30" s="56"/>
      <c r="DR30" s="57"/>
      <c r="DS30" s="15"/>
      <c r="DT30" s="15"/>
      <c r="DU30" s="55"/>
      <c r="DV30" s="13"/>
      <c r="DW30" s="4"/>
      <c r="DX30" s="14"/>
      <c r="DY30" s="14"/>
      <c r="FP30" s="632"/>
      <c r="FQ30" s="632"/>
      <c r="FR30" s="632"/>
      <c r="FS30" s="632"/>
      <c r="FT30" s="632"/>
      <c r="FU30" s="632"/>
      <c r="FV30" s="632"/>
      <c r="FW30" s="632"/>
      <c r="FX30" s="632"/>
      <c r="FY30" s="632"/>
      <c r="FZ30" s="632"/>
      <c r="GA30" s="632"/>
      <c r="GB30" s="632"/>
      <c r="GC30" s="632"/>
      <c r="GD30" s="632"/>
      <c r="GE30" s="632"/>
      <c r="GF30" s="632"/>
      <c r="GG30" s="632"/>
      <c r="GH30" s="632"/>
      <c r="GI30" s="632"/>
      <c r="GJ30" s="632"/>
      <c r="GK30" s="632"/>
      <c r="GL30" s="632"/>
      <c r="GM30" s="632"/>
      <c r="GN30" s="632"/>
      <c r="GO30" s="632"/>
      <c r="GP30" s="632"/>
      <c r="GQ30" s="632"/>
      <c r="GR30" s="632"/>
      <c r="GS30" s="632"/>
      <c r="GT30" s="632"/>
      <c r="GU30" s="632"/>
      <c r="GV30" s="632"/>
      <c r="GW30" s="632"/>
      <c r="GX30" s="632"/>
      <c r="GY30" s="632"/>
      <c r="GZ30" s="632"/>
      <c r="HA30" s="632"/>
      <c r="HB30" s="632"/>
      <c r="HC30" s="632"/>
      <c r="HD30" s="632"/>
      <c r="HE30" s="632"/>
      <c r="HF30" s="632"/>
      <c r="HG30" s="632"/>
      <c r="HH30" s="632"/>
      <c r="HI30" s="336"/>
      <c r="HJ30" s="336"/>
      <c r="HK30" s="336"/>
      <c r="HL30" s="336"/>
      <c r="HM30" s="336"/>
      <c r="HN30" s="336"/>
      <c r="HO30" s="336"/>
      <c r="HP30" s="336"/>
      <c r="HQ30" s="336"/>
      <c r="HR30" s="336"/>
      <c r="HS30" s="336"/>
      <c r="HT30" s="336"/>
      <c r="HU30" s="336"/>
      <c r="HV30" s="336"/>
      <c r="HW30" s="336"/>
      <c r="HX30" s="336"/>
    </row>
    <row r="32" spans="1:2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sheetData>
  <autoFilter ref="A16:ER27">
    <filterColumn colId="17" showButton="0"/>
    <filterColumn colId="21" showButton="0"/>
    <filterColumn colId="22" showButton="0"/>
    <filterColumn colId="57" showButton="0"/>
    <filterColumn colId="66" showButton="0"/>
    <filterColumn colId="70" showButton="0"/>
    <filterColumn colId="71" showButton="0"/>
  </autoFilter>
  <mergeCells count="38">
    <mergeCell ref="BX12:BX14"/>
    <mergeCell ref="CA12:CA14"/>
    <mergeCell ref="CB12:CB14"/>
    <mergeCell ref="BV12:BV14"/>
    <mergeCell ref="D30:R30"/>
    <mergeCell ref="R16:S16"/>
    <mergeCell ref="V16:X16"/>
    <mergeCell ref="BF16:BG16"/>
    <mergeCell ref="BJ16:BL16"/>
    <mergeCell ref="D25:R25"/>
    <mergeCell ref="X25:BU25"/>
    <mergeCell ref="X26:BU26"/>
    <mergeCell ref="AA28:CC28"/>
    <mergeCell ref="X29:BU30"/>
    <mergeCell ref="BO16:BP16"/>
    <mergeCell ref="BM16:BN16"/>
    <mergeCell ref="BS16:BU16"/>
    <mergeCell ref="BJ27:BN27"/>
    <mergeCell ref="BO12:BU12"/>
    <mergeCell ref="BS13:BU14"/>
    <mergeCell ref="BO13:BP14"/>
    <mergeCell ref="BM12:BN13"/>
    <mergeCell ref="BJ13:BL14"/>
    <mergeCell ref="BF13:BG14"/>
    <mergeCell ref="BF12:BL12"/>
    <mergeCell ref="W12:Y14"/>
    <mergeCell ref="R12:S14"/>
    <mergeCell ref="B1:R1"/>
    <mergeCell ref="S1:BU1"/>
    <mergeCell ref="B2:R2"/>
    <mergeCell ref="S2:BU2"/>
    <mergeCell ref="B5:BU5"/>
    <mergeCell ref="S4:BU4"/>
    <mergeCell ref="B10:E10"/>
    <mergeCell ref="B12:B14"/>
    <mergeCell ref="D12:D14"/>
    <mergeCell ref="E12:E14"/>
    <mergeCell ref="F12:F14"/>
  </mergeCells>
  <conditionalFormatting sqref="BX11">
    <cfRule type="cellIs" dxfId="72" priority="1056" stopIfTrue="1" operator="between">
      <formula>"720"</formula>
      <formula>"720"</formula>
    </cfRule>
    <cfRule type="cellIs" dxfId="71" priority="1057" stopIfTrue="1" operator="between">
      <formula>"660"</formula>
      <formula>"660"</formula>
    </cfRule>
  </conditionalFormatting>
  <conditionalFormatting sqref="DQ28:DQ30">
    <cfRule type="expression" dxfId="70" priority="1054" stopIfTrue="1">
      <formula>IF(DR28&gt;0,1,0)</formula>
    </cfRule>
    <cfRule type="expression" dxfId="69" priority="1055" stopIfTrue="1">
      <formula>IF(DR28=0,1,0)</formula>
    </cfRule>
  </conditionalFormatting>
  <conditionalFormatting sqref="DW28:DW30">
    <cfRule type="cellIs" dxfId="68" priority="1051" stopIfTrue="1" operator="between">
      <formula>"Hưu"</formula>
      <formula>"Hưu"</formula>
    </cfRule>
    <cfRule type="cellIs" dxfId="67" priority="1052" stopIfTrue="1" operator="between">
      <formula>"---"</formula>
      <formula>"---"</formula>
    </cfRule>
    <cfRule type="cellIs" dxfId="66" priority="1053" stopIfTrue="1" operator="between">
      <formula>"Quá"</formula>
      <formula>"Quá"</formula>
    </cfRule>
  </conditionalFormatting>
  <conditionalFormatting sqref="DN28:DN30">
    <cfRule type="cellIs" dxfId="65" priority="1048" stopIfTrue="1" operator="between">
      <formula>"Đến"</formula>
      <formula>"Đến"</formula>
    </cfRule>
    <cfRule type="cellIs" dxfId="64" priority="1049" stopIfTrue="1" operator="between">
      <formula>"Quá"</formula>
      <formula>"Quá"</formula>
    </cfRule>
    <cfRule type="expression" dxfId="63" priority="1050" stopIfTrue="1">
      <formula>IF(OR(DN28="Lương Sớm Hưu",DN28="Nâng Ngạch Hưu"),1,0)</formula>
    </cfRule>
  </conditionalFormatting>
  <conditionalFormatting sqref="DV28:DV30">
    <cfRule type="expression" dxfId="62" priority="1045" stopIfTrue="1">
      <formula>IF(DV28="Nâg Ngạch sau TB",1,0)</formula>
    </cfRule>
    <cfRule type="expression" dxfId="61" priority="1046" stopIfTrue="1">
      <formula>IF(DV28="Nâg Lươg Sớm sau TB",1,0)</formula>
    </cfRule>
    <cfRule type="expression" dxfId="60" priority="1047" stopIfTrue="1">
      <formula>IF(DV28="Nâg PC TNVK cùng QĐ",1,0)</formula>
    </cfRule>
  </conditionalFormatting>
  <conditionalFormatting sqref="A28:A30">
    <cfRule type="expression" dxfId="59" priority="1043" stopIfTrue="1">
      <formula>IF(#REF!="Hưu",1,0)</formula>
    </cfRule>
    <cfRule type="expression" dxfId="58" priority="1044" stopIfTrue="1">
      <formula>IF(#REF!="Quá",1,0)</formula>
    </cfRule>
  </conditionalFormatting>
  <conditionalFormatting sqref="C17:C24">
    <cfRule type="expression" dxfId="57" priority="1" stopIfTrue="1">
      <formula>IF(CY17="Hưu",1,0)</formula>
    </cfRule>
    <cfRule type="expression" dxfId="56" priority="2" stopIfTrue="1">
      <formula>IF(CY17="Quá",1,0)</formula>
    </cfRule>
    <cfRule type="expression" dxfId="55" priority="3" stopIfTrue="1">
      <formula>IF(BD17="Lùi",1,0)</formula>
    </cfRule>
  </conditionalFormatting>
  <conditionalFormatting sqref="A17:A24">
    <cfRule type="expression" dxfId="54" priority="1058" stopIfTrue="1">
      <formula>IF(CW17="Hưu",1,0)</formula>
    </cfRule>
    <cfRule type="expression" dxfId="53" priority="1058" stopIfTrue="1">
      <formula>IF(CW17="Quá",1,0)</formula>
    </cfRule>
    <cfRule type="expression" dxfId="52" priority="1058" stopIfTrue="1">
      <formula>IF(AM17="Lùi",1,0)</formula>
    </cfRule>
  </conditionalFormatting>
  <conditionalFormatting sqref="AG17:AG24">
    <cfRule type="cellIs" dxfId="51" priority="1059" stopIfTrue="1" operator="between">
      <formula>"%"</formula>
      <formula>"%"</formula>
    </cfRule>
    <cfRule type="expression" dxfId="50" priority="1059" stopIfTrue="1">
      <formula>IF(AF17=AQ17,1,0)</formula>
    </cfRule>
  </conditionalFormatting>
  <conditionalFormatting sqref="O17:O24">
    <cfRule type="expression" dxfId="49" priority="62" stopIfTrue="1">
      <formula>IF(P17=0,1,0)</formula>
    </cfRule>
  </conditionalFormatting>
  <conditionalFormatting sqref="E17:E18 E23:E24">
    <cfRule type="expression" dxfId="48" priority="60" stopIfTrue="1">
      <formula>IF(CW17="Hưu",1,0)</formula>
    </cfRule>
    <cfRule type="expression" dxfId="47" priority="61" stopIfTrue="1">
      <formula>IF(CW17="Quá",1,0)</formula>
    </cfRule>
  </conditionalFormatting>
  <conditionalFormatting sqref="DO17:DO18 DO20:DO24">
    <cfRule type="expression" dxfId="46" priority="57" stopIfTrue="1">
      <formula>IF(FI17="Hưu",1,0)</formula>
    </cfRule>
    <cfRule type="expression" dxfId="45" priority="58" stopIfTrue="1">
      <formula>IF(FI17="Quá",1,0)</formula>
    </cfRule>
    <cfRule type="expression" dxfId="44" priority="59" stopIfTrue="1">
      <formula>IF(EQ17="Lùi",1,0)</formula>
    </cfRule>
  </conditionalFormatting>
  <conditionalFormatting sqref="DV17:DV18 DV20 DV23:DV24">
    <cfRule type="expression" dxfId="43" priority="55" stopIfTrue="1">
      <formula>IF(FN17="Hưu",1,0)</formula>
    </cfRule>
    <cfRule type="expression" dxfId="42" priority="56" stopIfTrue="1">
      <formula>IF(FN17="Quá",1,0)</formula>
    </cfRule>
  </conditionalFormatting>
  <conditionalFormatting sqref="AB23:AB24">
    <cfRule type="cellIs" dxfId="41" priority="52" stopIfTrue="1" operator="between">
      <formula>0</formula>
      <formula>0</formula>
    </cfRule>
    <cfRule type="expression" dxfId="40" priority="53" stopIfTrue="1">
      <formula>IF(AND(AD23&gt;AB23,AB23&gt;0),1,0)</formula>
    </cfRule>
    <cfRule type="expression" dxfId="39" priority="54" stopIfTrue="1">
      <formula>IF(AD23&lt;AB23,1,0)</formula>
    </cfRule>
  </conditionalFormatting>
  <conditionalFormatting sqref="CV17:CV18 CV20:CV24">
    <cfRule type="cellIs" dxfId="38" priority="49" stopIfTrue="1" operator="between">
      <formula>"Hưu"</formula>
      <formula>"Hưu"</formula>
    </cfRule>
    <cfRule type="cellIs" dxfId="37" priority="50" stopIfTrue="1" operator="between">
      <formula>"---"</formula>
      <formula>"---"</formula>
    </cfRule>
    <cfRule type="cellIs" dxfId="36" priority="51" stopIfTrue="1" operator="between">
      <formula>"Quá"</formula>
      <formula>"Quá"</formula>
    </cfRule>
  </conditionalFormatting>
  <conditionalFormatting sqref="BF18 BF21:BF24">
    <cfRule type="cellIs" dxfId="35" priority="48" stopIfTrue="1" operator="between">
      <formula>4</formula>
      <formula>4</formula>
    </cfRule>
  </conditionalFormatting>
  <conditionalFormatting sqref="AA18 AA20:AA24">
    <cfRule type="cellIs" dxfId="34" priority="44" stopIfTrue="1" operator="between">
      <formula>"Đến $"</formula>
      <formula>"Đến $"</formula>
    </cfRule>
    <cfRule type="cellIs" dxfId="33" priority="45" stopIfTrue="1" operator="between">
      <formula>"Dừng $"</formula>
      <formula>"Dừng $"</formula>
    </cfRule>
  </conditionalFormatting>
  <conditionalFormatting sqref="BX17:BX24">
    <cfRule type="cellIs" dxfId="32" priority="43" stopIfTrue="1" operator="between">
      <formula>0</formula>
      <formula>13</formula>
    </cfRule>
  </conditionalFormatting>
  <conditionalFormatting sqref="AM17:AM18 AM20:AM24">
    <cfRule type="expression" dxfId="31" priority="42" stopIfTrue="1">
      <formula>IF(AND(BC17=0,AM17&gt;0),1,0)</formula>
    </cfRule>
  </conditionalFormatting>
  <conditionalFormatting sqref="EF17:EF18 EF20:EF24">
    <cfRule type="expression" dxfId="30" priority="41" stopIfTrue="1">
      <formula>IF(EF17="Sửa",1,0)</formula>
    </cfRule>
  </conditionalFormatting>
  <conditionalFormatting sqref="N17:N18 N20:N24">
    <cfRule type="cellIs" dxfId="29" priority="40" stopIfTrue="1" operator="between">
      <formula>"Ko hạn"</formula>
      <formula>"Ko hạn"</formula>
    </cfRule>
  </conditionalFormatting>
  <conditionalFormatting sqref="BS17:BS18 BS20:BS24">
    <cfRule type="expression" dxfId="28" priority="39" stopIfTrue="1">
      <formula>IF(AND(BY17=0,OR($AA$4-BS17&gt;BY17,$AA$4-BS17&lt;BY17)),1,0)</formula>
    </cfRule>
  </conditionalFormatting>
  <conditionalFormatting sqref="BM17:BM18 BM20:BM24">
    <cfRule type="expression" dxfId="27" priority="38" stopIfTrue="1">
      <formula>IF(AND(BY17=0,BM17&gt;0),1,0)</formula>
    </cfRule>
  </conditionalFormatting>
  <conditionalFormatting sqref="E19">
    <cfRule type="expression" dxfId="26" priority="36" stopIfTrue="1">
      <formula>IF(CW19="Hưu",1,0)</formula>
    </cfRule>
    <cfRule type="expression" dxfId="25" priority="37" stopIfTrue="1">
      <formula>IF(CW19="Quá",1,0)</formula>
    </cfRule>
  </conditionalFormatting>
  <conditionalFormatting sqref="DO19">
    <cfRule type="expression" dxfId="24" priority="33" stopIfTrue="1">
      <formula>IF(FI19="Hưu",1,0)</formula>
    </cfRule>
    <cfRule type="expression" dxfId="23" priority="34" stopIfTrue="1">
      <formula>IF(FI19="Quá",1,0)</formula>
    </cfRule>
    <cfRule type="expression" dxfId="22" priority="35" stopIfTrue="1">
      <formula>IF(EQ19="Lùi",1,0)</formula>
    </cfRule>
  </conditionalFormatting>
  <conditionalFormatting sqref="DV19">
    <cfRule type="expression" dxfId="21" priority="31" stopIfTrue="1">
      <formula>IF(FN19="Hưu",1,0)</formula>
    </cfRule>
    <cfRule type="expression" dxfId="20" priority="32" stopIfTrue="1">
      <formula>IF(FN19="Quá",1,0)</formula>
    </cfRule>
  </conditionalFormatting>
  <conditionalFormatting sqref="CV19">
    <cfRule type="cellIs" dxfId="19" priority="28" stopIfTrue="1" operator="between">
      <formula>"Hưu"</formula>
      <formula>"Hưu"</formula>
    </cfRule>
    <cfRule type="cellIs" dxfId="18" priority="29" stopIfTrue="1" operator="between">
      <formula>"---"</formula>
      <formula>"---"</formula>
    </cfRule>
    <cfRule type="cellIs" dxfId="17" priority="30" stopIfTrue="1" operator="between">
      <formula>"Quá"</formula>
      <formula>"Quá"</formula>
    </cfRule>
  </conditionalFormatting>
  <conditionalFormatting sqref="BF19">
    <cfRule type="cellIs" dxfId="16" priority="27" stopIfTrue="1" operator="between">
      <formula>4</formula>
      <formula>4</formula>
    </cfRule>
  </conditionalFormatting>
  <conditionalFormatting sqref="AA19">
    <cfRule type="cellIs" dxfId="15" priority="23" stopIfTrue="1" operator="between">
      <formula>"Đến $"</formula>
      <formula>"Đến $"</formula>
    </cfRule>
    <cfRule type="cellIs" dxfId="14" priority="24" stopIfTrue="1" operator="between">
      <formula>"Dừng $"</formula>
      <formula>"Dừng $"</formula>
    </cfRule>
  </conditionalFormatting>
  <conditionalFormatting sqref="AM19">
    <cfRule type="expression" dxfId="13" priority="22" stopIfTrue="1">
      <formula>IF(AND(BC19=0,AM19&gt;0),1,0)</formula>
    </cfRule>
  </conditionalFormatting>
  <conditionalFormatting sqref="BM19">
    <cfRule type="expression" dxfId="12" priority="21" stopIfTrue="1">
      <formula>IF(AND(BY19=0,BM19&gt;0),1,0)</formula>
    </cfRule>
  </conditionalFormatting>
  <conditionalFormatting sqref="EF19">
    <cfRule type="expression" dxfId="11" priority="20" stopIfTrue="1">
      <formula>IF(EF19="Sửa",1,0)</formula>
    </cfRule>
  </conditionalFormatting>
  <conditionalFormatting sqref="N19">
    <cfRule type="cellIs" dxfId="10" priority="19" stopIfTrue="1" operator="between">
      <formula>"Ko hạn"</formula>
      <formula>"Ko hạn"</formula>
    </cfRule>
  </conditionalFormatting>
  <conditionalFormatting sqref="BS19">
    <cfRule type="expression" dxfId="9" priority="18" stopIfTrue="1">
      <formula>IF(AND(BY19=0,OR($AA$4-BS19&gt;BY19,$AA$4-BS19&lt;BY19)),1,0)</formula>
    </cfRule>
  </conditionalFormatting>
  <conditionalFormatting sqref="AA17">
    <cfRule type="cellIs" dxfId="8" priority="16" stopIfTrue="1" operator="between">
      <formula>"Đến $"</formula>
      <formula>"Đến $"</formula>
    </cfRule>
    <cfRule type="cellIs" dxfId="7" priority="17" stopIfTrue="1" operator="between">
      <formula>"Dừng $"</formula>
      <formula>"Dừng $"</formula>
    </cfRule>
  </conditionalFormatting>
  <conditionalFormatting sqref="Q19:Q24">
    <cfRule type="expression" dxfId="6" priority="15">
      <formula>IF(P19=0,1,0)</formula>
    </cfRule>
  </conditionalFormatting>
  <conditionalFormatting sqref="Q17">
    <cfRule type="expression" dxfId="5" priority="14">
      <formula>IF(P17=0,1,0)</formula>
    </cfRule>
  </conditionalFormatting>
  <conditionalFormatting sqref="Q18">
    <cfRule type="expression" dxfId="4" priority="13">
      <formula>IF(P18=0,1,0)</formula>
    </cfRule>
  </conditionalFormatting>
  <conditionalFormatting sqref="BH22 BH19 BI18 BJ17:BJ18 BH24 BI19:BJ24">
    <cfRule type="expression" dxfId="3" priority="12" stopIfTrue="1">
      <formula>IF(AND(BQ17=0,OR($AA$4-BH17&gt;BQ17,$AA$4-BH17&lt;BQ17)),1,0)</formula>
    </cfRule>
  </conditionalFormatting>
  <conditionalFormatting sqref="BH18 BH20">
    <cfRule type="expression" dxfId="2" priority="11" stopIfTrue="1">
      <formula>IF(AND(BQ18=0,OR($AA$4-BH18&gt;BQ18,$AA$4-BH18&lt;BQ18)),1,0)</formula>
    </cfRule>
  </conditionalFormatting>
  <conditionalFormatting sqref="AJ17:AJ24 AV17:AV24">
    <cfRule type="expression" dxfId="1" priority="10" stopIfTrue="1">
      <formula>IF(AND(AQ17=0,OR($AA$4-AJ17&gt;0,O$4-AJ17&lt;0)),1,0)</formula>
    </cfRule>
  </conditionalFormatting>
  <conditionalFormatting sqref="BQ18:BQ24">
    <cfRule type="expression" dxfId="0" priority="9" stopIfTrue="1">
      <formula>IF(AND(BN18=0,OR($AA$4-BQ18&gt;BN18,$AA$4-BQ18&lt;BN18)),1,0)</formula>
    </cfRule>
  </conditionalFormatting>
  <pageMargins left="0.51" right="0.31496062992126" top="0.43" bottom="0.39" header="0.15748031496063" footer="0.196850393700787"/>
  <pageSetup paperSize="9" orientation="landscape" r:id="rId1"/>
  <headerFooter alignWithMargins="0">
    <oddHeader>&amp;R&amp;"Arial,Bold"&amp;14&amp;UBIỂU 2 -TB</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$-TBao1</vt:lpstr>
      <vt:lpstr>%-TBao2</vt:lpstr>
      <vt:lpstr>'$-TBao1'!Print_Area</vt:lpstr>
      <vt:lpstr>'$-TBao1'!Print_Titles</vt:lpstr>
      <vt:lpstr>'%-TBao2'!Print_Titles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HVHC</dc:creator>
  <cp:lastModifiedBy>TRAN MINH TUAN</cp:lastModifiedBy>
  <cp:lastPrinted>2018-03-14T09:35:48Z</cp:lastPrinted>
  <dcterms:created xsi:type="dcterms:W3CDTF">1996-10-14T23:33:28Z</dcterms:created>
  <dcterms:modified xsi:type="dcterms:W3CDTF">2018-07-18T00:50:41Z</dcterms:modified>
</cp:coreProperties>
</file>