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0" windowWidth="16785" windowHeight="7200" tabRatio="584"/>
  </bookViews>
  <sheets>
    <sheet name="$-TBao1" sheetId="88" r:id="rId1"/>
    <sheet name="%-TBao2" sheetId="89" r:id="rId2"/>
  </sheets>
  <externalReferences>
    <externalReference r:id="rId3"/>
    <externalReference r:id="rId4"/>
    <externalReference r:id="rId5"/>
  </externalReferences>
  <definedNames>
    <definedName name="_xlnm._FilterDatabase" localSheetId="0" hidden="1">'$-TBao1'!$A$39:$EF$43</definedName>
    <definedName name="_xlnm._FilterDatabase" localSheetId="1" hidden="1">'%-TBao2'!$A$16:$ER$34</definedName>
    <definedName name="_xlnm.Print_Area" localSheetId="0">'$-TBao1'!$B$1:$FO$75</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AS50" i="88" l="1"/>
  <c r="AR50" i="88"/>
  <c r="EE28" i="89" l="1"/>
  <c r="EF28" i="89" s="1"/>
  <c r="DM28" i="89"/>
  <c r="DH28" i="89"/>
  <c r="DI28" i="89" s="1"/>
  <c r="DG28" i="89"/>
  <c r="DF28" i="89"/>
  <c r="CX28" i="89" s="1"/>
  <c r="DD28" i="89"/>
  <c r="CW28" i="89"/>
  <c r="DB28" i="89" s="1"/>
  <c r="CP28" i="89"/>
  <c r="CK28" i="89"/>
  <c r="CE28" i="89"/>
  <c r="CB28" i="89"/>
  <c r="CA28" i="89"/>
  <c r="BY28" i="89"/>
  <c r="BO28" i="89"/>
  <c r="BE28" i="89"/>
  <c r="AD28" i="89" s="1"/>
  <c r="BD28" i="89"/>
  <c r="AE28" i="89" s="1"/>
  <c r="BC28" i="89"/>
  <c r="AO28" i="89"/>
  <c r="Z28" i="89"/>
  <c r="W28" i="89"/>
  <c r="U28" i="89"/>
  <c r="T28" i="89"/>
  <c r="O28" i="89"/>
  <c r="M28" i="89"/>
  <c r="D28" i="89"/>
  <c r="EF27" i="89"/>
  <c r="EE27" i="89"/>
  <c r="DM27" i="89"/>
  <c r="DH27" i="89"/>
  <c r="DL27" i="89" s="1"/>
  <c r="DG27" i="89"/>
  <c r="DF27" i="89"/>
  <c r="DD27" i="89"/>
  <c r="CX27" i="89"/>
  <c r="DB27" i="89" s="1"/>
  <c r="CW27" i="89"/>
  <c r="DA27" i="89" s="1"/>
  <c r="CV27" i="89"/>
  <c r="CP27" i="89"/>
  <c r="CK27" i="89"/>
  <c r="CE27" i="89"/>
  <c r="CB27" i="89"/>
  <c r="CA27" i="89"/>
  <c r="BZ27" i="89"/>
  <c r="BY27" i="89"/>
  <c r="BO27" i="89"/>
  <c r="BE27" i="89"/>
  <c r="BD27" i="89"/>
  <c r="BC27" i="89"/>
  <c r="AO27" i="89"/>
  <c r="AD27" i="89"/>
  <c r="Z27" i="89"/>
  <c r="W27" i="89"/>
  <c r="U27" i="89"/>
  <c r="T27" i="89"/>
  <c r="Q27" i="89"/>
  <c r="O27" i="89" s="1"/>
  <c r="M27" i="89"/>
  <c r="D27" i="89"/>
  <c r="EE26" i="89"/>
  <c r="EF26" i="89" s="1"/>
  <c r="DM26" i="89"/>
  <c r="DH26" i="89"/>
  <c r="DL26" i="89" s="1"/>
  <c r="DG26" i="89"/>
  <c r="DF26" i="89"/>
  <c r="CX26" i="89" s="1"/>
  <c r="DD26" i="89"/>
  <c r="CW26" i="89"/>
  <c r="DA26" i="89" s="1"/>
  <c r="CP26" i="89"/>
  <c r="CK26" i="89"/>
  <c r="CE26" i="89"/>
  <c r="CB26" i="89"/>
  <c r="CA26" i="89"/>
  <c r="BY26" i="89"/>
  <c r="BO26" i="89"/>
  <c r="BE26" i="89"/>
  <c r="BD26" i="89"/>
  <c r="AE26" i="89" s="1"/>
  <c r="BC26" i="89"/>
  <c r="AO26" i="89"/>
  <c r="Z26" i="89"/>
  <c r="W26" i="89"/>
  <c r="U26" i="89"/>
  <c r="T26" i="89"/>
  <c r="Q26" i="89"/>
  <c r="O26" i="89" s="1"/>
  <c r="M26" i="89"/>
  <c r="D26" i="89"/>
  <c r="EE25" i="89"/>
  <c r="EF25" i="89" s="1"/>
  <c r="DM25" i="89"/>
  <c r="DH25" i="89"/>
  <c r="DL25" i="89" s="1"/>
  <c r="DG25" i="89"/>
  <c r="DF25" i="89"/>
  <c r="CX25" i="89" s="1"/>
  <c r="DD25" i="89"/>
  <c r="CW25" i="89"/>
  <c r="DA25" i="89" s="1"/>
  <c r="CP25" i="89"/>
  <c r="CK25" i="89"/>
  <c r="CE25" i="89"/>
  <c r="CB25" i="89"/>
  <c r="CA25" i="89"/>
  <c r="BY25" i="89"/>
  <c r="BO25" i="89"/>
  <c r="BE25" i="89"/>
  <c r="BD25" i="89"/>
  <c r="BC25" i="89"/>
  <c r="AO25" i="89"/>
  <c r="Z25" i="89"/>
  <c r="W25" i="89"/>
  <c r="U25" i="89"/>
  <c r="T25" i="89"/>
  <c r="Q25" i="89"/>
  <c r="O25" i="89" s="1"/>
  <c r="M25" i="89"/>
  <c r="D25" i="89"/>
  <c r="EE24" i="89"/>
  <c r="EF24" i="89" s="1"/>
  <c r="DM24" i="89"/>
  <c r="DH24" i="89"/>
  <c r="DL24" i="89" s="1"/>
  <c r="DG24" i="89"/>
  <c r="DF24" i="89"/>
  <c r="CX24" i="89" s="1"/>
  <c r="DD24" i="89"/>
  <c r="CW24" i="89"/>
  <c r="DA24" i="89" s="1"/>
  <c r="CP24" i="89"/>
  <c r="CK24" i="89"/>
  <c r="CE24" i="89"/>
  <c r="CB24" i="89"/>
  <c r="CA24" i="89"/>
  <c r="BY24" i="89"/>
  <c r="BO24" i="89"/>
  <c r="BE24" i="89"/>
  <c r="BD24" i="89"/>
  <c r="AE24" i="89" s="1"/>
  <c r="BC24" i="89"/>
  <c r="AO24" i="89"/>
  <c r="Z24" i="89"/>
  <c r="W24" i="89"/>
  <c r="U24" i="89"/>
  <c r="T24" i="89"/>
  <c r="Q24" i="89"/>
  <c r="O24" i="89" s="1"/>
  <c r="M24" i="89"/>
  <c r="D24" i="89"/>
  <c r="EE23" i="89"/>
  <c r="EF23" i="89" s="1"/>
  <c r="DM23" i="89"/>
  <c r="DH23" i="89"/>
  <c r="DI23" i="89" s="1"/>
  <c r="DG23" i="89"/>
  <c r="DF23" i="89"/>
  <c r="DD23" i="89"/>
  <c r="CW23" i="89"/>
  <c r="CY23" i="89" s="1"/>
  <c r="CP23" i="89"/>
  <c r="CK23" i="89"/>
  <c r="CE23" i="89"/>
  <c r="CB23" i="89"/>
  <c r="CA23" i="89"/>
  <c r="BY23" i="89"/>
  <c r="BO23" i="89"/>
  <c r="BE23" i="89"/>
  <c r="AD23" i="89" s="1"/>
  <c r="AP23" i="89" s="1"/>
  <c r="BD23" i="89"/>
  <c r="BC23" i="89"/>
  <c r="AO23" i="89"/>
  <c r="Z23" i="89"/>
  <c r="W23" i="89"/>
  <c r="U23" i="89"/>
  <c r="T23" i="89"/>
  <c r="Q23" i="89"/>
  <c r="O23" i="89" s="1"/>
  <c r="M23" i="89"/>
  <c r="D23" i="89"/>
  <c r="EE22" i="89"/>
  <c r="EF22" i="89" s="1"/>
  <c r="DM22" i="89"/>
  <c r="DH22" i="89"/>
  <c r="DI22" i="89" s="1"/>
  <c r="DG22" i="89"/>
  <c r="DF22" i="89"/>
  <c r="CX22" i="89" s="1"/>
  <c r="DD22" i="89"/>
  <c r="CY22" i="89"/>
  <c r="CZ22" i="89" s="1"/>
  <c r="CW22" i="89"/>
  <c r="CV22" i="89"/>
  <c r="EN22" i="89" s="1"/>
  <c r="CP22" i="89"/>
  <c r="CK22" i="89"/>
  <c r="CE22" i="89"/>
  <c r="CB22" i="89"/>
  <c r="CA22" i="89"/>
  <c r="BZ22" i="89"/>
  <c r="BY22" i="89"/>
  <c r="BO22" i="89"/>
  <c r="BE22" i="89"/>
  <c r="BD22" i="89"/>
  <c r="BC22" i="89"/>
  <c r="AO22" i="89"/>
  <c r="AD22" i="89"/>
  <c r="BB22" i="89" s="1"/>
  <c r="Z22" i="89"/>
  <c r="W22" i="89"/>
  <c r="U22" i="89"/>
  <c r="T22" i="89"/>
  <c r="Q22" i="89"/>
  <c r="O22" i="89" s="1"/>
  <c r="M22" i="89"/>
  <c r="D22" i="89"/>
  <c r="EF21" i="89"/>
  <c r="EE21" i="89"/>
  <c r="DM21" i="89"/>
  <c r="DH21" i="89"/>
  <c r="DL21" i="89" s="1"/>
  <c r="DG21" i="89"/>
  <c r="DF21" i="89"/>
  <c r="DD21" i="89"/>
  <c r="CX21" i="89"/>
  <c r="DB21" i="89" s="1"/>
  <c r="CW21" i="89"/>
  <c r="DA21" i="89" s="1"/>
  <c r="CV21" i="89"/>
  <c r="EN21" i="89" s="1"/>
  <c r="CP21" i="89"/>
  <c r="CK21" i="89"/>
  <c r="CE21" i="89"/>
  <c r="CB21" i="89"/>
  <c r="CA21" i="89"/>
  <c r="BZ21" i="89"/>
  <c r="BY21" i="89"/>
  <c r="BO21" i="89"/>
  <c r="BE21" i="89"/>
  <c r="BD21" i="89"/>
  <c r="BC21" i="89"/>
  <c r="AO21" i="89"/>
  <c r="AD21" i="89"/>
  <c r="BB21" i="89" s="1"/>
  <c r="Z21" i="89"/>
  <c r="W21" i="89"/>
  <c r="U21" i="89"/>
  <c r="T21" i="89"/>
  <c r="Q21" i="89"/>
  <c r="O21" i="89" s="1"/>
  <c r="M21" i="89"/>
  <c r="D21" i="89"/>
  <c r="EF20" i="89"/>
  <c r="EE20" i="89"/>
  <c r="DM20" i="89"/>
  <c r="DH20" i="89"/>
  <c r="DL20" i="89" s="1"/>
  <c r="DG20" i="89"/>
  <c r="DF20" i="89"/>
  <c r="DD20" i="89"/>
  <c r="CX20" i="89"/>
  <c r="DB20" i="89" s="1"/>
  <c r="CW20" i="89"/>
  <c r="DA20" i="89" s="1"/>
  <c r="CV20" i="89"/>
  <c r="EN20" i="89" s="1"/>
  <c r="CP20" i="89"/>
  <c r="CK20" i="89"/>
  <c r="CE20" i="89"/>
  <c r="CB20" i="89"/>
  <c r="CA20" i="89"/>
  <c r="BZ20" i="89"/>
  <c r="BY20" i="89"/>
  <c r="BO20" i="89"/>
  <c r="BE20" i="89"/>
  <c r="BD20" i="89"/>
  <c r="BC20" i="89"/>
  <c r="AO20" i="89"/>
  <c r="AD20" i="89"/>
  <c r="BB20" i="89" s="1"/>
  <c r="Z20" i="89"/>
  <c r="W20" i="89"/>
  <c r="U20" i="89"/>
  <c r="T20" i="89"/>
  <c r="Q20" i="89"/>
  <c r="O20" i="89" s="1"/>
  <c r="M20" i="89"/>
  <c r="D20" i="89"/>
  <c r="EF19" i="89"/>
  <c r="EE19" i="89"/>
  <c r="DM19" i="89"/>
  <c r="DH19" i="89"/>
  <c r="DL19" i="89" s="1"/>
  <c r="DG19" i="89"/>
  <c r="DF19" i="89"/>
  <c r="DD19" i="89"/>
  <c r="CX19" i="89"/>
  <c r="DB19" i="89" s="1"/>
  <c r="CW19" i="89"/>
  <c r="DA19" i="89" s="1"/>
  <c r="CV19" i="89"/>
  <c r="EN19" i="89" s="1"/>
  <c r="CP19" i="89"/>
  <c r="CK19" i="89"/>
  <c r="CE19" i="89"/>
  <c r="CB19" i="89"/>
  <c r="CA19" i="89"/>
  <c r="BZ19" i="89"/>
  <c r="BY19" i="89"/>
  <c r="BO19" i="89"/>
  <c r="BE19" i="89"/>
  <c r="AD19" i="89" s="1"/>
  <c r="BB19" i="89" s="1"/>
  <c r="CD19" i="89" s="1"/>
  <c r="BD19" i="89"/>
  <c r="BC19" i="89"/>
  <c r="Z19" i="89"/>
  <c r="W19" i="89"/>
  <c r="U19" i="89"/>
  <c r="T19" i="89"/>
  <c r="Q19" i="89"/>
  <c r="O19" i="89" s="1"/>
  <c r="M19" i="89"/>
  <c r="D19" i="89"/>
  <c r="EE18" i="89"/>
  <c r="EF18" i="89" s="1"/>
  <c r="DM18" i="89"/>
  <c r="DH18" i="89"/>
  <c r="DL18" i="89" s="1"/>
  <c r="DG18" i="89"/>
  <c r="DF18" i="89"/>
  <c r="CX18" i="89" s="1"/>
  <c r="DD18" i="89"/>
  <c r="CW18" i="89"/>
  <c r="DA18" i="89" s="1"/>
  <c r="CP18" i="89"/>
  <c r="CK18" i="89"/>
  <c r="CE18" i="89"/>
  <c r="CB18" i="89"/>
  <c r="CA18" i="89"/>
  <c r="BY18" i="89"/>
  <c r="BO18" i="89"/>
  <c r="BE18" i="89"/>
  <c r="BD18" i="89"/>
  <c r="BC18" i="89"/>
  <c r="AO18" i="89"/>
  <c r="Z18" i="89"/>
  <c r="W18" i="89"/>
  <c r="U18" i="89"/>
  <c r="T18" i="89"/>
  <c r="Q18" i="89"/>
  <c r="O18" i="89" s="1"/>
  <c r="M18" i="89"/>
  <c r="D18" i="89"/>
  <c r="EE17" i="89"/>
  <c r="EF17" i="89" s="1"/>
  <c r="DM17" i="89"/>
  <c r="DH17" i="89"/>
  <c r="DL17" i="89" s="1"/>
  <c r="DG17" i="89"/>
  <c r="DF17" i="89"/>
  <c r="CX17" i="89" s="1"/>
  <c r="DD17" i="89"/>
  <c r="CW17" i="89"/>
  <c r="DA17" i="89" s="1"/>
  <c r="CP17" i="89"/>
  <c r="CK17" i="89"/>
  <c r="CE17" i="89"/>
  <c r="CB17" i="89"/>
  <c r="CA17" i="89"/>
  <c r="BY17" i="89"/>
  <c r="BO17" i="89"/>
  <c r="BE17" i="89"/>
  <c r="BD17" i="89"/>
  <c r="BC17" i="89"/>
  <c r="AO17" i="89"/>
  <c r="Z17" i="89"/>
  <c r="W17" i="89"/>
  <c r="U17" i="89"/>
  <c r="T17" i="89"/>
  <c r="Q17" i="89"/>
  <c r="O17" i="89" s="1"/>
  <c r="M17" i="89"/>
  <c r="D17" i="89"/>
  <c r="EE51" i="88"/>
  <c r="EF51" i="88" s="1"/>
  <c r="DM51" i="88"/>
  <c r="DH51" i="88"/>
  <c r="DI51" i="88" s="1"/>
  <c r="DG51" i="88"/>
  <c r="DF51" i="88"/>
  <c r="DD51" i="88"/>
  <c r="CX51" i="88"/>
  <c r="CW51" i="88"/>
  <c r="CV51" i="88"/>
  <c r="EN51" i="88" s="1"/>
  <c r="CP51" i="88"/>
  <c r="CK51" i="88"/>
  <c r="CE51" i="88"/>
  <c r="CB51" i="88"/>
  <c r="CA51" i="88"/>
  <c r="BZ51" i="88"/>
  <c r="BY51" i="88"/>
  <c r="BF51" i="88" s="1"/>
  <c r="BE51" i="88"/>
  <c r="BD51" i="88"/>
  <c r="BC51" i="88"/>
  <c r="AD51" i="88"/>
  <c r="BB51" i="88" s="1"/>
  <c r="Z51" i="88"/>
  <c r="W51" i="88"/>
  <c r="U51" i="88"/>
  <c r="T51" i="88"/>
  <c r="Q51" i="88"/>
  <c r="O51" i="88" s="1"/>
  <c r="M51" i="88"/>
  <c r="D51" i="88"/>
  <c r="EE48" i="88"/>
  <c r="EF48" i="88" s="1"/>
  <c r="DM48" i="88"/>
  <c r="DH48" i="88"/>
  <c r="DL48" i="88" s="1"/>
  <c r="DG48" i="88"/>
  <c r="DF48" i="88"/>
  <c r="CX48" i="88" s="1"/>
  <c r="DD48" i="88"/>
  <c r="CW48" i="88"/>
  <c r="DA48" i="88" s="1"/>
  <c r="CP48" i="88"/>
  <c r="CK48" i="88"/>
  <c r="CE48" i="88"/>
  <c r="CB48" i="88"/>
  <c r="CA48" i="88"/>
  <c r="BY48" i="88"/>
  <c r="BF48" i="88" s="1"/>
  <c r="BE48" i="88"/>
  <c r="BD48" i="88"/>
  <c r="AE48" i="88" s="1"/>
  <c r="BC48" i="88"/>
  <c r="AO48" i="88"/>
  <c r="Z48" i="88"/>
  <c r="W48" i="88"/>
  <c r="X48" i="88" s="1"/>
  <c r="CJ48" i="88" s="1"/>
  <c r="U48" i="88"/>
  <c r="T48" i="88"/>
  <c r="Q48" i="88"/>
  <c r="O48" i="88" s="1"/>
  <c r="M48" i="88"/>
  <c r="D48" i="88"/>
  <c r="EE47" i="88"/>
  <c r="EF47" i="88" s="1"/>
  <c r="DM47" i="88"/>
  <c r="DI47" i="88"/>
  <c r="DH47" i="88"/>
  <c r="DL47" i="88" s="1"/>
  <c r="DG47" i="88"/>
  <c r="CV47" i="88" s="1"/>
  <c r="BZ47" i="88" s="1"/>
  <c r="DF47" i="88"/>
  <c r="DD47" i="88"/>
  <c r="CX47" i="88"/>
  <c r="CW47" i="88"/>
  <c r="DA47" i="88" s="1"/>
  <c r="CP47" i="88"/>
  <c r="CK47" i="88"/>
  <c r="CE47" i="88"/>
  <c r="CB47" i="88"/>
  <c r="CA47" i="88"/>
  <c r="BY47" i="88"/>
  <c r="BF47" i="88" s="1"/>
  <c r="BE47" i="88"/>
  <c r="BD47" i="88"/>
  <c r="BC47" i="88"/>
  <c r="AO47" i="88"/>
  <c r="AD47" i="88"/>
  <c r="Z47" i="88"/>
  <c r="W47" i="88"/>
  <c r="X47" i="88" s="1"/>
  <c r="CJ47" i="88" s="1"/>
  <c r="U47" i="88"/>
  <c r="T47" i="88"/>
  <c r="Q47" i="88"/>
  <c r="O47" i="88" s="1"/>
  <c r="M47" i="88"/>
  <c r="D47" i="88"/>
  <c r="EF46" i="88"/>
  <c r="EE46" i="88"/>
  <c r="DM46" i="88"/>
  <c r="DH46" i="88"/>
  <c r="DL46" i="88" s="1"/>
  <c r="DG46" i="88"/>
  <c r="DF46" i="88"/>
  <c r="DD46" i="88"/>
  <c r="CX46" i="88"/>
  <c r="DB46" i="88" s="1"/>
  <c r="CW46" i="88"/>
  <c r="DA46" i="88" s="1"/>
  <c r="CV46" i="88"/>
  <c r="CP46" i="88"/>
  <c r="CK46" i="88"/>
  <c r="CE46" i="88"/>
  <c r="CB46" i="88"/>
  <c r="CA46" i="88"/>
  <c r="BZ46" i="88"/>
  <c r="BY46" i="88"/>
  <c r="BF46" i="88"/>
  <c r="BE46" i="88"/>
  <c r="BD46" i="88"/>
  <c r="AE46" i="88" s="1"/>
  <c r="BC46" i="88"/>
  <c r="AO46" i="88"/>
  <c r="AD46" i="88"/>
  <c r="Z46" i="88"/>
  <c r="W46" i="88"/>
  <c r="X46" i="88" s="1"/>
  <c r="CJ46" i="88" s="1"/>
  <c r="U46" i="88"/>
  <c r="T46" i="88"/>
  <c r="Q46" i="88"/>
  <c r="O46" i="88" s="1"/>
  <c r="M46" i="88"/>
  <c r="D46" i="88"/>
  <c r="EE45" i="88"/>
  <c r="EF45" i="88" s="1"/>
  <c r="DM45" i="88"/>
  <c r="DI45" i="88"/>
  <c r="DH45" i="88"/>
  <c r="DL45" i="88" s="1"/>
  <c r="DG45" i="88"/>
  <c r="CV45" i="88" s="1"/>
  <c r="BZ45" i="88" s="1"/>
  <c r="DF45" i="88"/>
  <c r="DD45" i="88"/>
  <c r="CX45" i="88"/>
  <c r="CW45" i="88"/>
  <c r="DA45" i="88" s="1"/>
  <c r="CP45" i="88"/>
  <c r="CK45" i="88"/>
  <c r="CE45" i="88"/>
  <c r="CB45" i="88"/>
  <c r="CA45" i="88"/>
  <c r="BY45" i="88"/>
  <c r="BF45" i="88" s="1"/>
  <c r="BE45" i="88"/>
  <c r="EM45" i="88" s="1"/>
  <c r="BD45" i="88"/>
  <c r="BC45" i="88"/>
  <c r="AO45" i="88"/>
  <c r="AD45" i="88"/>
  <c r="Z45" i="88"/>
  <c r="X45" i="88"/>
  <c r="CJ45" i="88" s="1"/>
  <c r="W45" i="88"/>
  <c r="U45" i="88"/>
  <c r="T45" i="88"/>
  <c r="Q45" i="88"/>
  <c r="O45" i="88" s="1"/>
  <c r="M45" i="88"/>
  <c r="D45" i="88"/>
  <c r="EE44" i="88"/>
  <c r="EF44" i="88" s="1"/>
  <c r="DM44" i="88"/>
  <c r="DI44" i="88"/>
  <c r="DH44" i="88"/>
  <c r="DL44" i="88" s="1"/>
  <c r="DG44" i="88"/>
  <c r="CV44" i="88" s="1"/>
  <c r="BZ44" i="88" s="1"/>
  <c r="DF44" i="88"/>
  <c r="DD44" i="88"/>
  <c r="CX44" i="88"/>
  <c r="CW44" i="88"/>
  <c r="DA44" i="88" s="1"/>
  <c r="CP44" i="88"/>
  <c r="CK44" i="88"/>
  <c r="CE44" i="88"/>
  <c r="CB44" i="88"/>
  <c r="CA44" i="88"/>
  <c r="BY44" i="88"/>
  <c r="BF44" i="88" s="1"/>
  <c r="BE44" i="88"/>
  <c r="EM44" i="88" s="1"/>
  <c r="BD44" i="88"/>
  <c r="BC44" i="88"/>
  <c r="AO44" i="88"/>
  <c r="AD44" i="88"/>
  <c r="Z44" i="88"/>
  <c r="X44" i="88"/>
  <c r="CJ44" i="88" s="1"/>
  <c r="W44" i="88"/>
  <c r="U44" i="88"/>
  <c r="T44" i="88"/>
  <c r="Q44" i="88"/>
  <c r="O44" i="88" s="1"/>
  <c r="M44" i="88"/>
  <c r="D44" i="88"/>
  <c r="EE43" i="88"/>
  <c r="EF43" i="88" s="1"/>
  <c r="DM43" i="88"/>
  <c r="DI43" i="88"/>
  <c r="DH43" i="88"/>
  <c r="DL43" i="88" s="1"/>
  <c r="DG43" i="88"/>
  <c r="CV43" i="88" s="1"/>
  <c r="DF43" i="88"/>
  <c r="DD43" i="88"/>
  <c r="CX43" i="88"/>
  <c r="CW43" i="88"/>
  <c r="DA43" i="88" s="1"/>
  <c r="CP43" i="88"/>
  <c r="CK43" i="88"/>
  <c r="CE43" i="88"/>
  <c r="CB43" i="88"/>
  <c r="CA43" i="88"/>
  <c r="BZ43" i="88"/>
  <c r="BY43" i="88"/>
  <c r="BF43" i="88" s="1"/>
  <c r="BE43" i="88"/>
  <c r="BD43" i="88"/>
  <c r="BC43" i="88"/>
  <c r="AO43" i="88"/>
  <c r="AD43" i="88"/>
  <c r="Z43" i="88"/>
  <c r="X43" i="88" s="1"/>
  <c r="CJ43" i="88" s="1"/>
  <c r="W43" i="88"/>
  <c r="U43" i="88"/>
  <c r="T43" i="88"/>
  <c r="Q43" i="88"/>
  <c r="O43" i="88" s="1"/>
  <c r="M43" i="88"/>
  <c r="D43" i="88"/>
  <c r="EE42" i="88"/>
  <c r="EF42" i="88" s="1"/>
  <c r="DM42" i="88"/>
  <c r="DI42" i="88"/>
  <c r="DH42" i="88"/>
  <c r="DL42" i="88" s="1"/>
  <c r="DG42" i="88"/>
  <c r="CV42" i="88" s="1"/>
  <c r="DF42" i="88"/>
  <c r="DD42" i="88"/>
  <c r="CX42" i="88"/>
  <c r="CW42" i="88"/>
  <c r="DA42" i="88" s="1"/>
  <c r="CP42" i="88"/>
  <c r="CK42" i="88"/>
  <c r="CE42" i="88"/>
  <c r="CB42" i="88"/>
  <c r="CA42" i="88"/>
  <c r="BY42" i="88"/>
  <c r="BP42" i="88"/>
  <c r="BF42" i="88"/>
  <c r="BE42" i="88"/>
  <c r="BD42" i="88"/>
  <c r="BC42" i="88"/>
  <c r="AO42" i="88"/>
  <c r="Z42" i="88"/>
  <c r="W42" i="88"/>
  <c r="U42" i="88"/>
  <c r="T42" i="88"/>
  <c r="Q42" i="88"/>
  <c r="O42" i="88" s="1"/>
  <c r="M42" i="88"/>
  <c r="D42" i="88"/>
  <c r="EE41" i="88"/>
  <c r="EF41" i="88" s="1"/>
  <c r="DM41" i="88"/>
  <c r="DH41" i="88"/>
  <c r="DL41" i="88" s="1"/>
  <c r="DG41" i="88"/>
  <c r="DF41" i="88"/>
  <c r="CX41" i="88" s="1"/>
  <c r="DD41" i="88"/>
  <c r="CW41" i="88"/>
  <c r="DA41" i="88" s="1"/>
  <c r="CP41" i="88"/>
  <c r="CK41" i="88"/>
  <c r="CE41" i="88"/>
  <c r="CB41" i="88"/>
  <c r="CA41" i="88"/>
  <c r="BY41" i="88"/>
  <c r="BP41" i="88"/>
  <c r="BF41" i="88"/>
  <c r="BE41" i="88"/>
  <c r="BD41" i="88"/>
  <c r="BC41" i="88"/>
  <c r="AO41" i="88"/>
  <c r="AD41" i="88"/>
  <c r="BB41" i="88" s="1"/>
  <c r="Z41" i="88"/>
  <c r="W41" i="88"/>
  <c r="U41" i="88"/>
  <c r="T41" i="88"/>
  <c r="Q41" i="88"/>
  <c r="O41" i="88" s="1"/>
  <c r="M41" i="88"/>
  <c r="D41" i="88"/>
  <c r="EF40" i="88"/>
  <c r="EE40" i="88"/>
  <c r="DM40" i="88"/>
  <c r="DH40" i="88"/>
  <c r="DL40" i="88" s="1"/>
  <c r="DG40" i="88"/>
  <c r="DF40" i="88"/>
  <c r="DD40" i="88"/>
  <c r="CX40" i="88"/>
  <c r="DB40" i="88" s="1"/>
  <c r="CW40" i="88"/>
  <c r="DA40" i="88" s="1"/>
  <c r="CV40" i="88"/>
  <c r="EN40" i="88" s="1"/>
  <c r="CP40" i="88"/>
  <c r="CK40" i="88"/>
  <c r="CE40" i="88"/>
  <c r="CB40" i="88"/>
  <c r="CA40" i="88"/>
  <c r="BZ40" i="88"/>
  <c r="BY40" i="88"/>
  <c r="BF40" i="88"/>
  <c r="BE40" i="88"/>
  <c r="BD40" i="88"/>
  <c r="BC40" i="88"/>
  <c r="AO40" i="88"/>
  <c r="AD40" i="88"/>
  <c r="BB40" i="88" s="1"/>
  <c r="Z40" i="88"/>
  <c r="W40" i="88"/>
  <c r="U40" i="88"/>
  <c r="T40" i="88"/>
  <c r="Q40" i="88"/>
  <c r="O40" i="88" s="1"/>
  <c r="M40" i="88"/>
  <c r="D40" i="88"/>
  <c r="EF39" i="88"/>
  <c r="EE39" i="88"/>
  <c r="DM39" i="88"/>
  <c r="DH39" i="88"/>
  <c r="DL39" i="88" s="1"/>
  <c r="DG39" i="88"/>
  <c r="DF39" i="88"/>
  <c r="DD39" i="88"/>
  <c r="CX39" i="88"/>
  <c r="DB39" i="88" s="1"/>
  <c r="CW39" i="88"/>
  <c r="DA39" i="88" s="1"/>
  <c r="CV39" i="88"/>
  <c r="EN39" i="88" s="1"/>
  <c r="CP39" i="88"/>
  <c r="CK39" i="88"/>
  <c r="CE39" i="88"/>
  <c r="CB39" i="88"/>
  <c r="CA39" i="88"/>
  <c r="BZ39" i="88"/>
  <c r="BY39" i="88"/>
  <c r="BF39" i="88"/>
  <c r="BE39" i="88"/>
  <c r="BD39" i="88"/>
  <c r="BC39" i="88"/>
  <c r="AO39" i="88"/>
  <c r="AD39" i="88"/>
  <c r="BB39" i="88" s="1"/>
  <c r="Z39" i="88"/>
  <c r="W39" i="88"/>
  <c r="U39" i="88"/>
  <c r="T39" i="88"/>
  <c r="Q39" i="88"/>
  <c r="O39" i="88" s="1"/>
  <c r="M39" i="88"/>
  <c r="D39" i="88"/>
  <c r="EF38" i="88"/>
  <c r="EE38" i="88"/>
  <c r="DM38" i="88"/>
  <c r="DH38" i="88"/>
  <c r="DL38" i="88" s="1"/>
  <c r="DG38" i="88"/>
  <c r="DF38" i="88"/>
  <c r="DD38" i="88"/>
  <c r="CX38" i="88"/>
  <c r="DB38" i="88" s="1"/>
  <c r="CW38" i="88"/>
  <c r="DA38" i="88" s="1"/>
  <c r="CV38" i="88"/>
  <c r="EN38" i="88" s="1"/>
  <c r="CP38" i="88"/>
  <c r="CK38" i="88"/>
  <c r="CE38" i="88"/>
  <c r="CB38" i="88"/>
  <c r="CA38" i="88"/>
  <c r="BZ38" i="88"/>
  <c r="BY38" i="88"/>
  <c r="BF38" i="88"/>
  <c r="BE38" i="88"/>
  <c r="BD38" i="88"/>
  <c r="BC38" i="88"/>
  <c r="AO38" i="88"/>
  <c r="AD38" i="88"/>
  <c r="BB38" i="88" s="1"/>
  <c r="Z38" i="88"/>
  <c r="W38" i="88"/>
  <c r="U38" i="88"/>
  <c r="T38" i="88"/>
  <c r="Q38" i="88"/>
  <c r="O38" i="88" s="1"/>
  <c r="M38" i="88"/>
  <c r="D38" i="88"/>
  <c r="EF37" i="88"/>
  <c r="EE37" i="88"/>
  <c r="DM37" i="88"/>
  <c r="DH37" i="88"/>
  <c r="DL37" i="88" s="1"/>
  <c r="DG37" i="88"/>
  <c r="DF37" i="88"/>
  <c r="DD37" i="88"/>
  <c r="CX37" i="88"/>
  <c r="DB37" i="88" s="1"/>
  <c r="CW37" i="88"/>
  <c r="DA37" i="88" s="1"/>
  <c r="CV37" i="88"/>
  <c r="EN37" i="88" s="1"/>
  <c r="CP37" i="88"/>
  <c r="CK37" i="88"/>
  <c r="CE37" i="88"/>
  <c r="CB37" i="88"/>
  <c r="CA37" i="88"/>
  <c r="BZ37" i="88"/>
  <c r="BY37" i="88"/>
  <c r="BF37" i="88"/>
  <c r="BE37" i="88"/>
  <c r="BD37" i="88"/>
  <c r="BC37" i="88"/>
  <c r="AO37" i="88"/>
  <c r="AD37" i="88"/>
  <c r="BB37" i="88" s="1"/>
  <c r="Z37" i="88"/>
  <c r="W37" i="88"/>
  <c r="U37" i="88"/>
  <c r="T37" i="88"/>
  <c r="Q37" i="88"/>
  <c r="O37" i="88" s="1"/>
  <c r="M37" i="88"/>
  <c r="D37" i="88"/>
  <c r="EF36" i="88"/>
  <c r="EE36" i="88"/>
  <c r="DM36" i="88"/>
  <c r="DH36" i="88"/>
  <c r="DL36" i="88" s="1"/>
  <c r="DG36" i="88"/>
  <c r="DF36" i="88"/>
  <c r="DD36" i="88"/>
  <c r="CX36" i="88"/>
  <c r="CW36" i="88"/>
  <c r="DA36" i="88" s="1"/>
  <c r="CV36" i="88"/>
  <c r="CP36" i="88"/>
  <c r="CK36" i="88"/>
  <c r="CE36" i="88"/>
  <c r="CB36" i="88"/>
  <c r="CA36" i="88"/>
  <c r="BZ36" i="88"/>
  <c r="BY36" i="88"/>
  <c r="BF36" i="88" s="1"/>
  <c r="BE36" i="88"/>
  <c r="EM36" i="88" s="1"/>
  <c r="BD36" i="88"/>
  <c r="BC36" i="88"/>
  <c r="AO36" i="88"/>
  <c r="AE36" i="88"/>
  <c r="Z36" i="88"/>
  <c r="W36" i="88"/>
  <c r="U36" i="88"/>
  <c r="T36" i="88"/>
  <c r="Q36" i="88"/>
  <c r="O36" i="88" s="1"/>
  <c r="M36" i="88"/>
  <c r="D36" i="88"/>
  <c r="EF35" i="88"/>
  <c r="EE35" i="88"/>
  <c r="DM35" i="88"/>
  <c r="DH35" i="88"/>
  <c r="DL35" i="88" s="1"/>
  <c r="DG35" i="88"/>
  <c r="DF35" i="88"/>
  <c r="DD35" i="88"/>
  <c r="CX35" i="88"/>
  <c r="DB35" i="88" s="1"/>
  <c r="CW35" i="88"/>
  <c r="DA35" i="88" s="1"/>
  <c r="CV35" i="88"/>
  <c r="EN35" i="88" s="1"/>
  <c r="CP35" i="88"/>
  <c r="CK35" i="88"/>
  <c r="CE35" i="88"/>
  <c r="CB35" i="88"/>
  <c r="CA35" i="88"/>
  <c r="BZ35" i="88"/>
  <c r="BY35" i="88"/>
  <c r="BF35" i="88"/>
  <c r="BE35" i="88"/>
  <c r="BD35" i="88"/>
  <c r="AE35" i="88" s="1"/>
  <c r="BC35" i="88"/>
  <c r="AO35" i="88"/>
  <c r="AD35" i="88"/>
  <c r="BB35" i="88" s="1"/>
  <c r="Z35" i="88"/>
  <c r="W35" i="88"/>
  <c r="U35" i="88"/>
  <c r="T35" i="88"/>
  <c r="Q35" i="88"/>
  <c r="O35" i="88" s="1"/>
  <c r="M35" i="88"/>
  <c r="D35" i="88"/>
  <c r="EF34" i="88"/>
  <c r="EE34" i="88"/>
  <c r="DM34" i="88"/>
  <c r="DH34" i="88"/>
  <c r="DL34" i="88" s="1"/>
  <c r="DG34" i="88"/>
  <c r="DF34" i="88"/>
  <c r="DD34" i="88"/>
  <c r="CX34" i="88"/>
  <c r="DB34" i="88" s="1"/>
  <c r="CW34" i="88"/>
  <c r="DA34" i="88" s="1"/>
  <c r="CV34" i="88"/>
  <c r="EN34" i="88" s="1"/>
  <c r="CP34" i="88"/>
  <c r="CK34" i="88"/>
  <c r="CE34" i="88"/>
  <c r="CB34" i="88"/>
  <c r="CA34" i="88"/>
  <c r="BZ34" i="88"/>
  <c r="BY34" i="88"/>
  <c r="BF34" i="88"/>
  <c r="BE34" i="88"/>
  <c r="AD34" i="88" s="1"/>
  <c r="BD34" i="88"/>
  <c r="BC34" i="88"/>
  <c r="AO34" i="88"/>
  <c r="Z34" i="88"/>
  <c r="W34" i="88"/>
  <c r="U34" i="88"/>
  <c r="T34" i="88"/>
  <c r="Q34" i="88"/>
  <c r="O34" i="88" s="1"/>
  <c r="M34" i="88"/>
  <c r="D34" i="88"/>
  <c r="EE33" i="88"/>
  <c r="EF33" i="88" s="1"/>
  <c r="DM33" i="88"/>
  <c r="DH33" i="88"/>
  <c r="DI33" i="88" s="1"/>
  <c r="DG33" i="88"/>
  <c r="DF33" i="88"/>
  <c r="CX33" i="88" s="1"/>
  <c r="DD33" i="88"/>
  <c r="CW33" i="88"/>
  <c r="DB33" i="88" s="1"/>
  <c r="CP33" i="88"/>
  <c r="CK33" i="88"/>
  <c r="CE33" i="88"/>
  <c r="CB33" i="88"/>
  <c r="CA33" i="88"/>
  <c r="BY33" i="88"/>
  <c r="BF33" i="88" s="1"/>
  <c r="BE33" i="88"/>
  <c r="AD33" i="88" s="1"/>
  <c r="BD33" i="88"/>
  <c r="BC33" i="88"/>
  <c r="AO33" i="88"/>
  <c r="Z33" i="88"/>
  <c r="W33" i="88"/>
  <c r="X33" i="88" s="1"/>
  <c r="CJ33" i="88" s="1"/>
  <c r="U33" i="88"/>
  <c r="T33" i="88"/>
  <c r="Q33" i="88"/>
  <c r="O33" i="88" s="1"/>
  <c r="M33" i="88"/>
  <c r="D33" i="88"/>
  <c r="EE32" i="88"/>
  <c r="EF32" i="88" s="1"/>
  <c r="DM32" i="88"/>
  <c r="DH32" i="88"/>
  <c r="DI32" i="88" s="1"/>
  <c r="DG32" i="88"/>
  <c r="DF32" i="88"/>
  <c r="CX32" i="88" s="1"/>
  <c r="DD32" i="88"/>
  <c r="CW32" i="88"/>
  <c r="DB32" i="88" s="1"/>
  <c r="CP32" i="88"/>
  <c r="CK32" i="88"/>
  <c r="CE32" i="88"/>
  <c r="CB32" i="88"/>
  <c r="CA32" i="88"/>
  <c r="BY32" i="88"/>
  <c r="BF32" i="88" s="1"/>
  <c r="BE32" i="88"/>
  <c r="AD32" i="88" s="1"/>
  <c r="BD32" i="88"/>
  <c r="BC32" i="88"/>
  <c r="AO32" i="88"/>
  <c r="Z32" i="88"/>
  <c r="W32" i="88"/>
  <c r="X32" i="88" s="1"/>
  <c r="CJ32" i="88" s="1"/>
  <c r="U32" i="88"/>
  <c r="T32" i="88"/>
  <c r="Q32" i="88"/>
  <c r="O32" i="88" s="1"/>
  <c r="M32" i="88"/>
  <c r="D32" i="88"/>
  <c r="EE31" i="88"/>
  <c r="EF31" i="88" s="1"/>
  <c r="DM31" i="88"/>
  <c r="DH31" i="88"/>
  <c r="DI31" i="88" s="1"/>
  <c r="DG31" i="88"/>
  <c r="DF31" i="88"/>
  <c r="CX31" i="88" s="1"/>
  <c r="DD31" i="88"/>
  <c r="CW31" i="88"/>
  <c r="DB31" i="88" s="1"/>
  <c r="CP31" i="88"/>
  <c r="CK31" i="88"/>
  <c r="CE31" i="88"/>
  <c r="CB31" i="88"/>
  <c r="CA31" i="88"/>
  <c r="BY31" i="88"/>
  <c r="BF31" i="88" s="1"/>
  <c r="BE31" i="88"/>
  <c r="AD31" i="88" s="1"/>
  <c r="BB31" i="88" s="1"/>
  <c r="BD31" i="88"/>
  <c r="BC31" i="88"/>
  <c r="Z31" i="88"/>
  <c r="X31" i="88" s="1"/>
  <c r="CJ31" i="88" s="1"/>
  <c r="W31" i="88"/>
  <c r="U31" i="88"/>
  <c r="T31" i="88"/>
  <c r="Q31" i="88"/>
  <c r="O31" i="88" s="1"/>
  <c r="M31" i="88"/>
  <c r="D31" i="88"/>
  <c r="EE30" i="88"/>
  <c r="EF30" i="88" s="1"/>
  <c r="DM30" i="88"/>
  <c r="DI30" i="88"/>
  <c r="DH30" i="88"/>
  <c r="DL30" i="88" s="1"/>
  <c r="DG30" i="88"/>
  <c r="CV30" i="88" s="1"/>
  <c r="BZ30" i="88" s="1"/>
  <c r="DF30" i="88"/>
  <c r="DD30" i="88"/>
  <c r="CX30" i="88"/>
  <c r="CW30" i="88"/>
  <c r="DA30" i="88" s="1"/>
  <c r="CP30" i="88"/>
  <c r="CK30" i="88"/>
  <c r="CE30" i="88"/>
  <c r="CB30" i="88"/>
  <c r="CA30" i="88"/>
  <c r="BY30" i="88"/>
  <c r="BF30" i="88" s="1"/>
  <c r="BE30" i="88"/>
  <c r="BD30" i="88"/>
  <c r="BC30" i="88"/>
  <c r="AO30" i="88"/>
  <c r="AD30" i="88"/>
  <c r="Z30" i="88"/>
  <c r="X30" i="88" s="1"/>
  <c r="CJ30" i="88" s="1"/>
  <c r="W30" i="88"/>
  <c r="U30" i="88"/>
  <c r="T30" i="88"/>
  <c r="Q30" i="88"/>
  <c r="O30" i="88" s="1"/>
  <c r="M30" i="88"/>
  <c r="D30" i="88"/>
  <c r="EE29" i="88"/>
  <c r="EF29" i="88" s="1"/>
  <c r="DM29" i="88"/>
  <c r="DI29" i="88"/>
  <c r="DH29" i="88"/>
  <c r="DL29" i="88" s="1"/>
  <c r="DG29" i="88"/>
  <c r="CV29" i="88" s="1"/>
  <c r="BZ29" i="88" s="1"/>
  <c r="DF29" i="88"/>
  <c r="DD29" i="88"/>
  <c r="CX29" i="88"/>
  <c r="CW29" i="88"/>
  <c r="DA29" i="88" s="1"/>
  <c r="CP29" i="88"/>
  <c r="CK29" i="88"/>
  <c r="CE29" i="88"/>
  <c r="CB29" i="88"/>
  <c r="CA29" i="88"/>
  <c r="BY29" i="88"/>
  <c r="BF29" i="88" s="1"/>
  <c r="BE29" i="88"/>
  <c r="BD29" i="88"/>
  <c r="BC29" i="88"/>
  <c r="AO29" i="88"/>
  <c r="AD29" i="88"/>
  <c r="Z29" i="88"/>
  <c r="X29" i="88" s="1"/>
  <c r="CJ29" i="88" s="1"/>
  <c r="W29" i="88"/>
  <c r="U29" i="88"/>
  <c r="T29" i="88"/>
  <c r="Q29" i="88"/>
  <c r="O29" i="88" s="1"/>
  <c r="M29" i="88"/>
  <c r="D29" i="88"/>
  <c r="EE28" i="88"/>
  <c r="EF28" i="88" s="1"/>
  <c r="DM28" i="88"/>
  <c r="DI28" i="88"/>
  <c r="DH28" i="88"/>
  <c r="DL28" i="88" s="1"/>
  <c r="DG28" i="88"/>
  <c r="CV28" i="88" s="1"/>
  <c r="BZ28" i="88" s="1"/>
  <c r="DF28" i="88"/>
  <c r="DD28" i="88"/>
  <c r="CX28" i="88"/>
  <c r="CW28" i="88"/>
  <c r="DA28" i="88" s="1"/>
  <c r="CP28" i="88"/>
  <c r="CK28" i="88"/>
  <c r="CE28" i="88"/>
  <c r="CB28" i="88"/>
  <c r="CA28" i="88"/>
  <c r="BY28" i="88"/>
  <c r="BF28" i="88" s="1"/>
  <c r="BE28" i="88"/>
  <c r="BD28" i="88"/>
  <c r="BC28" i="88"/>
  <c r="AO28" i="88"/>
  <c r="AD28" i="88"/>
  <c r="Z28" i="88"/>
  <c r="X28" i="88" s="1"/>
  <c r="CJ28" i="88" s="1"/>
  <c r="W28" i="88"/>
  <c r="U28" i="88"/>
  <c r="T28" i="88"/>
  <c r="Q28" i="88"/>
  <c r="O28" i="88" s="1"/>
  <c r="M28" i="88"/>
  <c r="D28" i="88"/>
  <c r="EE27" i="88"/>
  <c r="EF27" i="88" s="1"/>
  <c r="DM27" i="88"/>
  <c r="DI27" i="88"/>
  <c r="DH27" i="88"/>
  <c r="DL27" i="88" s="1"/>
  <c r="DG27" i="88"/>
  <c r="DF27" i="88"/>
  <c r="DD27" i="88"/>
  <c r="CX27" i="88"/>
  <c r="CW27" i="88"/>
  <c r="DA27" i="88" s="1"/>
  <c r="CV27" i="88"/>
  <c r="CP27" i="88"/>
  <c r="CK27" i="88"/>
  <c r="CE27" i="88"/>
  <c r="CB27" i="88"/>
  <c r="CA27" i="88"/>
  <c r="BZ27" i="88"/>
  <c r="BY27" i="88"/>
  <c r="BF27" i="88"/>
  <c r="BE27" i="88"/>
  <c r="BD27" i="88"/>
  <c r="BC27" i="88"/>
  <c r="AO27" i="88"/>
  <c r="AD27" i="88"/>
  <c r="Z27" i="88"/>
  <c r="W27" i="88"/>
  <c r="X27" i="88" s="1"/>
  <c r="CJ27" i="88" s="1"/>
  <c r="U27" i="88"/>
  <c r="T27" i="88"/>
  <c r="Q27" i="88"/>
  <c r="O27" i="88" s="1"/>
  <c r="M27" i="88"/>
  <c r="D27" i="88"/>
  <c r="EF50" i="88"/>
  <c r="EE50" i="88"/>
  <c r="DM50" i="88"/>
  <c r="DH50" i="88"/>
  <c r="DL50" i="88" s="1"/>
  <c r="DG50" i="88"/>
  <c r="DF50" i="88"/>
  <c r="DD50" i="88"/>
  <c r="CX50" i="88"/>
  <c r="DB50" i="88" s="1"/>
  <c r="CW50" i="88"/>
  <c r="DA50" i="88" s="1"/>
  <c r="CV50" i="88"/>
  <c r="CP50" i="88"/>
  <c r="CK50" i="88"/>
  <c r="CE50" i="88"/>
  <c r="CB50" i="88"/>
  <c r="CA50" i="88"/>
  <c r="BZ50" i="88"/>
  <c r="BY50" i="88"/>
  <c r="BP50" i="88"/>
  <c r="BF50" i="88"/>
  <c r="BE50" i="88"/>
  <c r="BD50" i="88"/>
  <c r="AE50" i="88" s="1"/>
  <c r="BC50" i="88"/>
  <c r="Z50" i="88"/>
  <c r="W50" i="88"/>
  <c r="U50" i="88"/>
  <c r="T50" i="88"/>
  <c r="Q50" i="88"/>
  <c r="O50" i="88" s="1"/>
  <c r="M50" i="88"/>
  <c r="D50" i="88"/>
  <c r="EE26" i="88"/>
  <c r="EF26" i="88" s="1"/>
  <c r="DM26" i="88"/>
  <c r="DH26" i="88"/>
  <c r="DI26" i="88" s="1"/>
  <c r="DG26" i="88"/>
  <c r="DF26" i="88"/>
  <c r="CX26" i="88" s="1"/>
  <c r="DD26" i="88"/>
  <c r="CW26" i="88"/>
  <c r="DB26" i="88" s="1"/>
  <c r="CP26" i="88"/>
  <c r="CK26" i="88"/>
  <c r="CE26" i="88"/>
  <c r="CB26" i="88"/>
  <c r="CA26" i="88"/>
  <c r="BY26" i="88"/>
  <c r="BP26" i="88"/>
  <c r="BF26" i="88"/>
  <c r="BE26" i="88"/>
  <c r="BD26" i="88"/>
  <c r="BC26" i="88"/>
  <c r="AO26" i="88"/>
  <c r="AD26" i="88"/>
  <c r="Z26" i="88"/>
  <c r="X26" i="88" s="1"/>
  <c r="CJ26" i="88" s="1"/>
  <c r="W26" i="88"/>
  <c r="U26" i="88"/>
  <c r="T26" i="88"/>
  <c r="Q26" i="88"/>
  <c r="O26" i="88" s="1"/>
  <c r="M26" i="88"/>
  <c r="D26" i="88"/>
  <c r="EE25" i="88"/>
  <c r="EF25" i="88" s="1"/>
  <c r="DM25" i="88"/>
  <c r="DI25" i="88"/>
  <c r="DH25" i="88"/>
  <c r="DL25" i="88" s="1"/>
  <c r="DG25" i="88"/>
  <c r="CV25" i="88" s="1"/>
  <c r="BZ25" i="88" s="1"/>
  <c r="DF25" i="88"/>
  <c r="DD25" i="88"/>
  <c r="CX25" i="88"/>
  <c r="CW25" i="88"/>
  <c r="DA25" i="88" s="1"/>
  <c r="CP25" i="88"/>
  <c r="CK25" i="88"/>
  <c r="CE25" i="88"/>
  <c r="CB25" i="88"/>
  <c r="CA25" i="88"/>
  <c r="BY25" i="88"/>
  <c r="BP25" i="88"/>
  <c r="BF25" i="88"/>
  <c r="BE25" i="88"/>
  <c r="BD25" i="88"/>
  <c r="BC25" i="88"/>
  <c r="AO25" i="88"/>
  <c r="Z25" i="88"/>
  <c r="W25" i="88"/>
  <c r="U25" i="88"/>
  <c r="T25" i="88"/>
  <c r="Q25" i="88"/>
  <c r="O25" i="88" s="1"/>
  <c r="M25" i="88"/>
  <c r="D25" i="88"/>
  <c r="EE24" i="88"/>
  <c r="EF24" i="88" s="1"/>
  <c r="DM24" i="88"/>
  <c r="DL24" i="88"/>
  <c r="DH24" i="88"/>
  <c r="DI24" i="88" s="1"/>
  <c r="DG24" i="88"/>
  <c r="CV24" i="88" s="1"/>
  <c r="DF24" i="88"/>
  <c r="DD24" i="88"/>
  <c r="CX24" i="88"/>
  <c r="CW24" i="88"/>
  <c r="DA24" i="88" s="1"/>
  <c r="CP24" i="88"/>
  <c r="CK24" i="88"/>
  <c r="CE24" i="88"/>
  <c r="CB24" i="88"/>
  <c r="CA24" i="88"/>
  <c r="BY24" i="88"/>
  <c r="BF24" i="88" s="1"/>
  <c r="BE24" i="88"/>
  <c r="BD24" i="88"/>
  <c r="BC24" i="88"/>
  <c r="AO24" i="88"/>
  <c r="AD24" i="88"/>
  <c r="Z24" i="88"/>
  <c r="X24" i="88" s="1"/>
  <c r="CJ24" i="88" s="1"/>
  <c r="W24" i="88"/>
  <c r="U24" i="88"/>
  <c r="T24" i="88"/>
  <c r="Q24" i="88"/>
  <c r="O24" i="88" s="1"/>
  <c r="M24" i="88"/>
  <c r="D24" i="88"/>
  <c r="EE23" i="88"/>
  <c r="EF23" i="88" s="1"/>
  <c r="DM23" i="88"/>
  <c r="DI23" i="88"/>
  <c r="DH23" i="88"/>
  <c r="DL23" i="88" s="1"/>
  <c r="DG23" i="88"/>
  <c r="CV23" i="88" s="1"/>
  <c r="BZ23" i="88" s="1"/>
  <c r="DF23" i="88"/>
  <c r="DD23" i="88"/>
  <c r="CX23" i="88"/>
  <c r="CW23" i="88"/>
  <c r="DA23" i="88" s="1"/>
  <c r="CP23" i="88"/>
  <c r="CK23" i="88"/>
  <c r="CE23" i="88"/>
  <c r="CB23" i="88"/>
  <c r="CA23" i="88"/>
  <c r="BY23" i="88"/>
  <c r="BP23" i="88"/>
  <c r="BF23" i="88"/>
  <c r="BE23" i="88"/>
  <c r="BD23" i="88"/>
  <c r="AE23" i="88" s="1"/>
  <c r="BC23" i="88"/>
  <c r="AO23" i="88"/>
  <c r="Z23" i="88"/>
  <c r="W23" i="88"/>
  <c r="U23" i="88"/>
  <c r="T23" i="88"/>
  <c r="Q23" i="88"/>
  <c r="O23" i="88" s="1"/>
  <c r="M23" i="88"/>
  <c r="D23" i="88"/>
  <c r="EE22" i="88"/>
  <c r="EF22" i="88" s="1"/>
  <c r="DM22" i="88"/>
  <c r="DH22" i="88"/>
  <c r="DI22" i="88" s="1"/>
  <c r="DG22" i="88"/>
  <c r="DF22" i="88"/>
  <c r="CX22" i="88" s="1"/>
  <c r="DD22" i="88"/>
  <c r="CW22" i="88"/>
  <c r="DB22" i="88" s="1"/>
  <c r="CP22" i="88"/>
  <c r="CK22" i="88"/>
  <c r="CE22" i="88"/>
  <c r="CB22" i="88"/>
  <c r="CA22" i="88"/>
  <c r="BY22" i="88"/>
  <c r="BP22" i="88"/>
  <c r="BF22" i="88"/>
  <c r="BE22" i="88"/>
  <c r="BD22" i="88"/>
  <c r="AE22" i="88" s="1"/>
  <c r="BC22" i="88"/>
  <c r="AO22" i="88"/>
  <c r="EM22" i="88" s="1"/>
  <c r="AD22" i="88"/>
  <c r="Z22" i="88"/>
  <c r="W22" i="88"/>
  <c r="U22" i="88"/>
  <c r="T22" i="88"/>
  <c r="Q22" i="88"/>
  <c r="O22" i="88" s="1"/>
  <c r="M22" i="88"/>
  <c r="D22" i="88"/>
  <c r="EF21" i="88"/>
  <c r="EE21" i="88"/>
  <c r="DM21" i="88"/>
  <c r="DH21" i="88"/>
  <c r="DL21" i="88" s="1"/>
  <c r="DG21" i="88"/>
  <c r="DF21" i="88"/>
  <c r="DD21" i="88"/>
  <c r="CX21" i="88"/>
  <c r="DB21" i="88" s="1"/>
  <c r="CW21" i="88"/>
  <c r="DA21" i="88" s="1"/>
  <c r="CV21" i="88"/>
  <c r="CP21" i="88"/>
  <c r="CK21" i="88"/>
  <c r="CE21" i="88"/>
  <c r="CB21" i="88"/>
  <c r="CA21" i="88"/>
  <c r="BZ21" i="88"/>
  <c r="BY21" i="88"/>
  <c r="BP21" i="88"/>
  <c r="BF21" i="88"/>
  <c r="BE21" i="88"/>
  <c r="EM21" i="88" s="1"/>
  <c r="BD21" i="88"/>
  <c r="BC21" i="88"/>
  <c r="AO21" i="88"/>
  <c r="AE21" i="88"/>
  <c r="Z21" i="88"/>
  <c r="W21" i="88"/>
  <c r="X21" i="88" s="1"/>
  <c r="CJ21" i="88" s="1"/>
  <c r="U21" i="88"/>
  <c r="T21" i="88"/>
  <c r="Q21" i="88"/>
  <c r="O21" i="88"/>
  <c r="M21" i="88"/>
  <c r="D21" i="88"/>
  <c r="EE20" i="88"/>
  <c r="EF20" i="88" s="1"/>
  <c r="DM20" i="88"/>
  <c r="DH20" i="88"/>
  <c r="DI20" i="88" s="1"/>
  <c r="DG20" i="88"/>
  <c r="DF20" i="88"/>
  <c r="CX20" i="88" s="1"/>
  <c r="DD20" i="88"/>
  <c r="CW20" i="88"/>
  <c r="DB20" i="88" s="1"/>
  <c r="CP20" i="88"/>
  <c r="CK20" i="88"/>
  <c r="CE20" i="88"/>
  <c r="CB20" i="88"/>
  <c r="CA20" i="88"/>
  <c r="BY20" i="88"/>
  <c r="BP20" i="88"/>
  <c r="BF20" i="88"/>
  <c r="BE20" i="88"/>
  <c r="AD20" i="88" s="1"/>
  <c r="BD20" i="88"/>
  <c r="BC20" i="88"/>
  <c r="AO20" i="88"/>
  <c r="Z20" i="88"/>
  <c r="X20" i="88" s="1"/>
  <c r="CJ20" i="88" s="1"/>
  <c r="W20" i="88"/>
  <c r="U20" i="88"/>
  <c r="T20" i="88"/>
  <c r="Q20" i="88"/>
  <c r="O20" i="88" s="1"/>
  <c r="M20" i="88"/>
  <c r="D20" i="88"/>
  <c r="EE19" i="88"/>
  <c r="EF19" i="88" s="1"/>
  <c r="DM19" i="88"/>
  <c r="DI19" i="88"/>
  <c r="DH19" i="88"/>
  <c r="DL19" i="88" s="1"/>
  <c r="DG19" i="88"/>
  <c r="CV19" i="88" s="1"/>
  <c r="BZ19" i="88" s="1"/>
  <c r="DF19" i="88"/>
  <c r="DD19" i="88"/>
  <c r="CX19" i="88"/>
  <c r="CW19" i="88"/>
  <c r="DA19" i="88" s="1"/>
  <c r="CP19" i="88"/>
  <c r="CK19" i="88"/>
  <c r="CE19" i="88"/>
  <c r="CB19" i="88"/>
  <c r="CA19" i="88"/>
  <c r="BY19" i="88"/>
  <c r="BF19" i="88" s="1"/>
  <c r="BP19" i="88"/>
  <c r="BE19" i="88"/>
  <c r="BD19" i="88"/>
  <c r="BC19" i="88"/>
  <c r="AO19" i="88"/>
  <c r="Z19" i="88"/>
  <c r="W19" i="88"/>
  <c r="U19" i="88"/>
  <c r="T19" i="88"/>
  <c r="Q19" i="88"/>
  <c r="O19" i="88" s="1"/>
  <c r="M19" i="88"/>
  <c r="D19" i="88"/>
  <c r="EE18" i="88"/>
  <c r="EF18" i="88" s="1"/>
  <c r="DM18" i="88"/>
  <c r="DH18" i="88"/>
  <c r="DI18" i="88" s="1"/>
  <c r="DG18" i="88"/>
  <c r="DF18" i="88"/>
  <c r="CX18" i="88" s="1"/>
  <c r="DD18" i="88"/>
  <c r="CW18" i="88"/>
  <c r="DB18" i="88" s="1"/>
  <c r="CP18" i="88"/>
  <c r="CK18" i="88"/>
  <c r="CE18" i="88"/>
  <c r="CB18" i="88"/>
  <c r="CA18" i="88"/>
  <c r="BY18" i="88"/>
  <c r="BF18" i="88" s="1"/>
  <c r="BE18" i="88"/>
  <c r="AD18" i="88" s="1"/>
  <c r="BD18" i="88"/>
  <c r="BC18" i="88"/>
  <c r="AO18" i="88"/>
  <c r="Z18" i="88"/>
  <c r="W18" i="88"/>
  <c r="U18" i="88"/>
  <c r="T18" i="88"/>
  <c r="Q18" i="88"/>
  <c r="O18" i="88" s="1"/>
  <c r="M18" i="88"/>
  <c r="D18" i="88"/>
  <c r="EE17" i="88"/>
  <c r="EF17" i="88" s="1"/>
  <c r="DM17" i="88"/>
  <c r="DH17" i="88"/>
  <c r="DI17" i="88" s="1"/>
  <c r="DG17" i="88"/>
  <c r="DF17" i="88"/>
  <c r="CX17" i="88" s="1"/>
  <c r="DD17" i="88"/>
  <c r="CW17" i="88"/>
  <c r="CP17" i="88"/>
  <c r="CK17" i="88"/>
  <c r="CE17" i="88"/>
  <c r="CB17" i="88"/>
  <c r="CA17" i="88"/>
  <c r="BY17" i="88"/>
  <c r="BF17" i="88" s="1"/>
  <c r="BE17" i="88"/>
  <c r="AD17" i="88" s="1"/>
  <c r="BD17" i="88"/>
  <c r="BC17" i="88"/>
  <c r="AO17" i="88"/>
  <c r="Z17" i="88"/>
  <c r="W17" i="88"/>
  <c r="U17" i="88"/>
  <c r="T17" i="88"/>
  <c r="Q17" i="88"/>
  <c r="O17" i="88" s="1"/>
  <c r="M17" i="88"/>
  <c r="D17" i="88"/>
  <c r="AE25" i="88" l="1"/>
  <c r="X35" i="88"/>
  <c r="CJ35" i="88" s="1"/>
  <c r="X36" i="88"/>
  <c r="CJ36" i="88" s="1"/>
  <c r="AE37" i="88"/>
  <c r="AE38" i="88"/>
  <c r="AE39" i="88"/>
  <c r="AE40" i="88"/>
  <c r="EM41" i="88"/>
  <c r="AE41" i="88"/>
  <c r="AE42" i="88"/>
  <c r="AE51" i="88"/>
  <c r="AE17" i="89"/>
  <c r="AE19" i="89"/>
  <c r="AE20" i="89"/>
  <c r="AE21" i="89"/>
  <c r="AE22" i="89"/>
  <c r="X24" i="89"/>
  <c r="CJ24" i="89" s="1"/>
  <c r="EM24" i="89"/>
  <c r="AE25" i="89"/>
  <c r="X26" i="89"/>
  <c r="CJ26" i="89" s="1"/>
  <c r="EM26" i="89"/>
  <c r="X28" i="89"/>
  <c r="CJ28" i="89" s="1"/>
  <c r="AE17" i="88"/>
  <c r="AE18" i="88"/>
  <c r="AE19" i="88"/>
  <c r="X22" i="88"/>
  <c r="CJ22" i="88" s="1"/>
  <c r="EM24" i="88"/>
  <c r="X50" i="88"/>
  <c r="CJ50" i="88" s="1"/>
  <c r="EM50" i="88"/>
  <c r="AE27" i="88"/>
  <c r="EM28" i="88"/>
  <c r="EM29" i="88"/>
  <c r="EM30" i="88"/>
  <c r="AE32" i="88"/>
  <c r="AE33" i="88"/>
  <c r="AE34" i="88"/>
  <c r="X37" i="88"/>
  <c r="CJ37" i="88" s="1"/>
  <c r="X38" i="88"/>
  <c r="CJ38" i="88" s="1"/>
  <c r="X39" i="88"/>
  <c r="CJ39" i="88" s="1"/>
  <c r="X40" i="88"/>
  <c r="CJ40" i="88" s="1"/>
  <c r="X41" i="88"/>
  <c r="CJ41" i="88" s="1"/>
  <c r="EM47" i="88"/>
  <c r="X17" i="89"/>
  <c r="CJ17" i="89" s="1"/>
  <c r="EM17" i="89"/>
  <c r="AE18" i="89"/>
  <c r="X19" i="89"/>
  <c r="CJ19" i="89" s="1"/>
  <c r="AC19" i="89"/>
  <c r="X20" i="89"/>
  <c r="CJ20" i="89" s="1"/>
  <c r="X21" i="89"/>
  <c r="CJ21" i="89" s="1"/>
  <c r="X22" i="89"/>
  <c r="CJ22" i="89" s="1"/>
  <c r="AE27" i="89"/>
  <c r="EN24" i="88"/>
  <c r="BZ24" i="88"/>
  <c r="X17" i="88"/>
  <c r="CJ17" i="88" s="1"/>
  <c r="X18" i="88"/>
  <c r="CJ18" i="88" s="1"/>
  <c r="X19" i="88"/>
  <c r="CJ19" i="88" s="1"/>
  <c r="EM19" i="88"/>
  <c r="DB19" i="88"/>
  <c r="EM20" i="88"/>
  <c r="AE20" i="88"/>
  <c r="AR20" i="88" s="1"/>
  <c r="DI21" i="88"/>
  <c r="X23" i="88"/>
  <c r="CJ23" i="88" s="1"/>
  <c r="EM23" i="88"/>
  <c r="DB23" i="88"/>
  <c r="AE24" i="88"/>
  <c r="AR24" i="88" s="1"/>
  <c r="DB24" i="88"/>
  <c r="X25" i="88"/>
  <c r="CJ25" i="88" s="1"/>
  <c r="EM25" i="88"/>
  <c r="DB25" i="88"/>
  <c r="EM26" i="88"/>
  <c r="AE26" i="88"/>
  <c r="DI50" i="88"/>
  <c r="AR27" i="88"/>
  <c r="EM27" i="88"/>
  <c r="EN42" i="88"/>
  <c r="BZ42" i="88"/>
  <c r="DB51" i="88"/>
  <c r="DB27" i="88"/>
  <c r="AE28" i="88"/>
  <c r="AR28" i="88" s="1"/>
  <c r="DB28" i="88"/>
  <c r="AE29" i="88"/>
  <c r="AR29" i="88" s="1"/>
  <c r="DB29" i="88"/>
  <c r="AE30" i="88"/>
  <c r="AR30" i="88" s="1"/>
  <c r="DB30" i="88"/>
  <c r="AE31" i="88"/>
  <c r="X34" i="88"/>
  <c r="CJ34" i="88" s="1"/>
  <c r="DI34" i="88"/>
  <c r="EM35" i="88"/>
  <c r="DI35" i="88"/>
  <c r="DI36" i="88"/>
  <c r="EM37" i="88"/>
  <c r="DI37" i="88"/>
  <c r="EM38" i="88"/>
  <c r="DI38" i="88"/>
  <c r="EM39" i="88"/>
  <c r="DI39" i="88"/>
  <c r="EM40" i="88"/>
  <c r="DI40" i="88"/>
  <c r="X42" i="88"/>
  <c r="CJ42" i="88" s="1"/>
  <c r="EM42" i="88"/>
  <c r="DB42" i="88"/>
  <c r="AE43" i="88"/>
  <c r="DB43" i="88"/>
  <c r="AE44" i="88"/>
  <c r="DB44" i="88"/>
  <c r="AE45" i="88"/>
  <c r="DB45" i="88"/>
  <c r="AR46" i="88"/>
  <c r="EM46" i="88"/>
  <c r="DI46" i="88"/>
  <c r="AE47" i="88"/>
  <c r="DB47" i="88"/>
  <c r="EM48" i="88"/>
  <c r="X51" i="88"/>
  <c r="CJ51" i="88" s="1"/>
  <c r="EM51" i="88"/>
  <c r="X18" i="89"/>
  <c r="CJ18" i="89" s="1"/>
  <c r="EM18" i="89"/>
  <c r="CC19" i="89"/>
  <c r="AR19" i="89"/>
  <c r="EM19" i="89"/>
  <c r="DI19" i="89"/>
  <c r="EM20" i="89"/>
  <c r="DI20" i="89"/>
  <c r="EM21" i="89"/>
  <c r="DI21" i="89"/>
  <c r="EM22" i="89"/>
  <c r="AE23" i="89"/>
  <c r="DL23" i="89"/>
  <c r="X25" i="89"/>
  <c r="CJ25" i="89" s="1"/>
  <c r="EM25" i="89"/>
  <c r="X27" i="89"/>
  <c r="CJ27" i="89" s="1"/>
  <c r="EM27" i="89"/>
  <c r="DI27" i="89"/>
  <c r="CD20" i="89"/>
  <c r="AA20" i="89"/>
  <c r="CD21" i="89"/>
  <c r="CC21" i="89" s="1"/>
  <c r="AA21" i="89"/>
  <c r="CD22" i="89"/>
  <c r="CC22" i="89" s="1"/>
  <c r="AA22" i="89"/>
  <c r="CC20" i="89"/>
  <c r="AD17" i="89"/>
  <c r="CV17" i="89"/>
  <c r="DB17" i="89"/>
  <c r="DI17" i="89"/>
  <c r="AD18" i="89"/>
  <c r="CV18" i="89"/>
  <c r="DB18" i="89"/>
  <c r="DI18" i="89"/>
  <c r="AA19" i="89"/>
  <c r="AG19" i="89"/>
  <c r="AS19" i="89"/>
  <c r="CY19" i="89"/>
  <c r="CZ19" i="89" s="1"/>
  <c r="DC19" i="89"/>
  <c r="CU19" i="89" s="1"/>
  <c r="AC20" i="89"/>
  <c r="AP20" i="89"/>
  <c r="AR20" i="89"/>
  <c r="CY20" i="89"/>
  <c r="CZ20" i="89" s="1"/>
  <c r="DC20" i="89"/>
  <c r="CU20" i="89" s="1"/>
  <c r="AC21" i="89"/>
  <c r="AP21" i="89"/>
  <c r="AR21" i="89"/>
  <c r="CY21" i="89"/>
  <c r="CZ21" i="89" s="1"/>
  <c r="DC21" i="89"/>
  <c r="CU21" i="89" s="1"/>
  <c r="AC22" i="89"/>
  <c r="AP22" i="89"/>
  <c r="AR22" i="89"/>
  <c r="DB22" i="89"/>
  <c r="DA22" i="89"/>
  <c r="DL22" i="89"/>
  <c r="X23" i="89"/>
  <c r="CJ23" i="89" s="1"/>
  <c r="AC23" i="89"/>
  <c r="AR23" i="89"/>
  <c r="CX23" i="89"/>
  <c r="CZ23" i="89" s="1"/>
  <c r="CV23" i="89"/>
  <c r="EM23" i="89"/>
  <c r="AR27" i="89"/>
  <c r="CY17" i="89"/>
  <c r="CZ17" i="89" s="1"/>
  <c r="CY18" i="89"/>
  <c r="CZ18" i="89" s="1"/>
  <c r="AQ20" i="89"/>
  <c r="AQ21" i="89"/>
  <c r="AQ22" i="89"/>
  <c r="DC22" i="89"/>
  <c r="CU22" i="89" s="1"/>
  <c r="BB23" i="89"/>
  <c r="CD23" i="89" s="1"/>
  <c r="CC23" i="89" s="1"/>
  <c r="AQ23" i="89"/>
  <c r="DB23" i="89"/>
  <c r="DA23" i="89"/>
  <c r="BB28" i="89"/>
  <c r="CD28" i="89" s="1"/>
  <c r="CC28" i="89" s="1"/>
  <c r="AQ28" i="89"/>
  <c r="AR28" i="89"/>
  <c r="AP28" i="89"/>
  <c r="AC28" i="89"/>
  <c r="AD24" i="89"/>
  <c r="CV24" i="89"/>
  <c r="DB24" i="89"/>
  <c r="DI24" i="89"/>
  <c r="AD25" i="89"/>
  <c r="CV25" i="89"/>
  <c r="DB25" i="89"/>
  <c r="DI25" i="89"/>
  <c r="AD26" i="89"/>
  <c r="CV26" i="89"/>
  <c r="DB26" i="89"/>
  <c r="DI26" i="89"/>
  <c r="AQ27" i="89"/>
  <c r="BB27" i="89"/>
  <c r="EN27" i="89"/>
  <c r="CY28" i="89"/>
  <c r="CZ28" i="89" s="1"/>
  <c r="DA28" i="89"/>
  <c r="DL28" i="89"/>
  <c r="EM28" i="89"/>
  <c r="CY24" i="89"/>
  <c r="CZ24" i="89" s="1"/>
  <c r="CY25" i="89"/>
  <c r="CZ25" i="89" s="1"/>
  <c r="CY26" i="89"/>
  <c r="CZ26" i="89" s="1"/>
  <c r="AC27" i="89"/>
  <c r="AP27" i="89"/>
  <c r="CY27" i="89"/>
  <c r="CZ27" i="89" s="1"/>
  <c r="CV28" i="89"/>
  <c r="DB17" i="88"/>
  <c r="BB17" i="88"/>
  <c r="CD17" i="88" s="1"/>
  <c r="AQ17" i="88"/>
  <c r="AP17" i="88"/>
  <c r="AC17" i="88"/>
  <c r="CC17" i="88"/>
  <c r="AR17" i="88"/>
  <c r="AA18" i="88"/>
  <c r="BB18" i="88"/>
  <c r="CD18" i="88" s="1"/>
  <c r="AQ18" i="88"/>
  <c r="AR18" i="88"/>
  <c r="AP18" i="88"/>
  <c r="CC18" i="88"/>
  <c r="AC18" i="88"/>
  <c r="AR22" i="88"/>
  <c r="CY17" i="88"/>
  <c r="CZ17" i="88" s="1"/>
  <c r="DL17" i="88"/>
  <c r="EM17" i="88"/>
  <c r="CY18" i="88"/>
  <c r="CZ18" i="88" s="1"/>
  <c r="DA18" i="88"/>
  <c r="DL18" i="88"/>
  <c r="EN19" i="88"/>
  <c r="AQ20" i="88"/>
  <c r="BB20" i="88"/>
  <c r="CY20" i="88"/>
  <c r="CZ20" i="88" s="1"/>
  <c r="DA20" i="88"/>
  <c r="DL20" i="88"/>
  <c r="EN21" i="88"/>
  <c r="AQ22" i="88"/>
  <c r="BB22" i="88"/>
  <c r="CY22" i="88"/>
  <c r="CZ22" i="88" s="1"/>
  <c r="DA22" i="88"/>
  <c r="DL22" i="88"/>
  <c r="EN23" i="88"/>
  <c r="AQ24" i="88"/>
  <c r="BB24" i="88"/>
  <c r="CD31" i="88"/>
  <c r="AA31" i="88"/>
  <c r="DA17" i="88"/>
  <c r="EM18" i="88"/>
  <c r="CV17" i="88"/>
  <c r="CV18" i="88"/>
  <c r="AD19" i="88"/>
  <c r="CY19" i="88"/>
  <c r="CZ19" i="88" s="1"/>
  <c r="AC20" i="88"/>
  <c r="AP20" i="88"/>
  <c r="CV20" i="88"/>
  <c r="AD21" i="88"/>
  <c r="CY21" i="88"/>
  <c r="CZ21" i="88" s="1"/>
  <c r="AC22" i="88"/>
  <c r="AP22" i="88"/>
  <c r="CV22" i="88"/>
  <c r="AD23" i="88"/>
  <c r="CY23" i="88"/>
  <c r="CZ23" i="88" s="1"/>
  <c r="AC24" i="88"/>
  <c r="AP24" i="88"/>
  <c r="CY24" i="88"/>
  <c r="CZ24" i="88" s="1"/>
  <c r="DC24" i="88"/>
  <c r="CU24" i="88" s="1"/>
  <c r="AR26" i="88"/>
  <c r="BB32" i="88"/>
  <c r="CD32" i="88" s="1"/>
  <c r="AQ32" i="88"/>
  <c r="CC32" i="88"/>
  <c r="AR32" i="88"/>
  <c r="AP32" i="88"/>
  <c r="AC32" i="88"/>
  <c r="AA33" i="88"/>
  <c r="BB33" i="88"/>
  <c r="CD33" i="88" s="1"/>
  <c r="AQ33" i="88"/>
  <c r="CC33" i="88"/>
  <c r="AR33" i="88"/>
  <c r="AP33" i="88"/>
  <c r="AC33" i="88"/>
  <c r="BB34" i="88"/>
  <c r="CD34" i="88" s="1"/>
  <c r="CC34" i="88" s="1"/>
  <c r="AQ34" i="88"/>
  <c r="AR34" i="88"/>
  <c r="AP34" i="88"/>
  <c r="AC34" i="88"/>
  <c r="CD35" i="88"/>
  <c r="CC35" i="88" s="1"/>
  <c r="AA35" i="88"/>
  <c r="CD37" i="88"/>
  <c r="AA37" i="88"/>
  <c r="EN25" i="88"/>
  <c r="AQ26" i="88"/>
  <c r="BB26" i="88"/>
  <c r="CY26" i="88"/>
  <c r="CZ26" i="88" s="1"/>
  <c r="DA26" i="88"/>
  <c r="DL26" i="88"/>
  <c r="EN50" i="88"/>
  <c r="AQ27" i="88"/>
  <c r="BB27" i="88"/>
  <c r="EN27" i="88"/>
  <c r="AQ28" i="88"/>
  <c r="BB28" i="88"/>
  <c r="EN28" i="88"/>
  <c r="AQ29" i="88"/>
  <c r="BB29" i="88"/>
  <c r="EN29" i="88"/>
  <c r="AQ30" i="88"/>
  <c r="BB30" i="88"/>
  <c r="EN30" i="88"/>
  <c r="AP31" i="88"/>
  <c r="AR31" i="88"/>
  <c r="CC31" i="88"/>
  <c r="CY31" i="88"/>
  <c r="CZ31" i="88" s="1"/>
  <c r="DA31" i="88"/>
  <c r="DL31" i="88"/>
  <c r="EM31" i="88"/>
  <c r="CY32" i="88"/>
  <c r="CZ32" i="88" s="1"/>
  <c r="DA32" i="88"/>
  <c r="DL32" i="88"/>
  <c r="EM32" i="88"/>
  <c r="CY33" i="88"/>
  <c r="CZ33" i="88" s="1"/>
  <c r="DA33" i="88"/>
  <c r="DL33" i="88"/>
  <c r="EM33" i="88"/>
  <c r="CY34" i="88"/>
  <c r="CZ34" i="88" s="1"/>
  <c r="DC34" i="88"/>
  <c r="CU34" i="88" s="1"/>
  <c r="EM34" i="88"/>
  <c r="AC35" i="88"/>
  <c r="AP35" i="88"/>
  <c r="AR35" i="88"/>
  <c r="CY35" i="88"/>
  <c r="CZ35" i="88" s="1"/>
  <c r="DC35" i="88"/>
  <c r="CU35" i="88" s="1"/>
  <c r="CY36" i="88"/>
  <c r="CZ36" i="88" s="1"/>
  <c r="DB36" i="88"/>
  <c r="CC37" i="88"/>
  <c r="AD25" i="88"/>
  <c r="CY25" i="88"/>
  <c r="CZ25" i="88" s="1"/>
  <c r="AC26" i="88"/>
  <c r="AP26" i="88"/>
  <c r="CV26" i="88"/>
  <c r="AD50" i="88"/>
  <c r="CY50" i="88"/>
  <c r="CZ50" i="88" s="1"/>
  <c r="AC27" i="88"/>
  <c r="AP27" i="88"/>
  <c r="CY27" i="88"/>
  <c r="CZ27" i="88" s="1"/>
  <c r="AC28" i="88"/>
  <c r="AP28" i="88"/>
  <c r="CY28" i="88"/>
  <c r="CZ28" i="88" s="1"/>
  <c r="AC29" i="88"/>
  <c r="AP29" i="88"/>
  <c r="CY29" i="88"/>
  <c r="CZ29" i="88" s="1"/>
  <c r="AC30" i="88"/>
  <c r="AP30" i="88"/>
  <c r="CY30" i="88"/>
  <c r="CZ30" i="88" s="1"/>
  <c r="AC31" i="88"/>
  <c r="AQ31" i="88"/>
  <c r="CV31" i="88"/>
  <c r="CV32" i="88"/>
  <c r="CV33" i="88"/>
  <c r="AQ35" i="88"/>
  <c r="AD36" i="88"/>
  <c r="EN36" i="88"/>
  <c r="AR37" i="88"/>
  <c r="AP37" i="88"/>
  <c r="AC37" i="88"/>
  <c r="AQ37" i="88"/>
  <c r="CD38" i="88"/>
  <c r="CC38" i="88" s="1"/>
  <c r="AA38" i="88"/>
  <c r="CD39" i="88"/>
  <c r="CC39" i="88" s="1"/>
  <c r="AA39" i="88"/>
  <c r="CD40" i="88"/>
  <c r="CC40" i="88" s="1"/>
  <c r="AA40" i="88"/>
  <c r="AA41" i="88"/>
  <c r="CD41" i="88"/>
  <c r="CY37" i="88"/>
  <c r="CZ37" i="88" s="1"/>
  <c r="DC37" i="88"/>
  <c r="CU37" i="88" s="1"/>
  <c r="AC38" i="88"/>
  <c r="AP38" i="88"/>
  <c r="AR38" i="88"/>
  <c r="CY38" i="88"/>
  <c r="CZ38" i="88" s="1"/>
  <c r="DC38" i="88"/>
  <c r="CU38" i="88" s="1"/>
  <c r="AC39" i="88"/>
  <c r="AP39" i="88"/>
  <c r="AR39" i="88"/>
  <c r="CY39" i="88"/>
  <c r="CZ39" i="88" s="1"/>
  <c r="DC39" i="88"/>
  <c r="CU39" i="88" s="1"/>
  <c r="AC40" i="88"/>
  <c r="AP40" i="88"/>
  <c r="AR40" i="88"/>
  <c r="CY40" i="88"/>
  <c r="CZ40" i="88" s="1"/>
  <c r="DC40" i="88"/>
  <c r="CU40" i="88" s="1"/>
  <c r="AC41" i="88"/>
  <c r="AP41" i="88"/>
  <c r="AR41" i="88"/>
  <c r="CV41" i="88"/>
  <c r="DB41" i="88"/>
  <c r="DI41" i="88"/>
  <c r="AD42" i="88"/>
  <c r="CY42" i="88"/>
  <c r="CZ42" i="88" s="1"/>
  <c r="AR43" i="88"/>
  <c r="AP43" i="88"/>
  <c r="AC43" i="88"/>
  <c r="AQ43" i="88"/>
  <c r="EM43" i="88"/>
  <c r="AR44" i="88"/>
  <c r="AR45" i="88"/>
  <c r="AR47" i="88"/>
  <c r="AQ38" i="88"/>
  <c r="AQ39" i="88"/>
  <c r="AQ40" i="88"/>
  <c r="AQ41" i="88"/>
  <c r="CC41" i="88"/>
  <c r="CY41" i="88"/>
  <c r="CZ41" i="88" s="1"/>
  <c r="BB43" i="88"/>
  <c r="CD51" i="88"/>
  <c r="CC51" i="88" s="1"/>
  <c r="AA51" i="88"/>
  <c r="EN43" i="88"/>
  <c r="AQ44" i="88"/>
  <c r="BB44" i="88"/>
  <c r="EN44" i="88"/>
  <c r="AQ45" i="88"/>
  <c r="BB45" i="88"/>
  <c r="EN45" i="88"/>
  <c r="AQ46" i="88"/>
  <c r="BB46" i="88"/>
  <c r="EN46" i="88"/>
  <c r="AQ47" i="88"/>
  <c r="BB47" i="88"/>
  <c r="EN47" i="88"/>
  <c r="AD48" i="88"/>
  <c r="CV48" i="88"/>
  <c r="DB48" i="88"/>
  <c r="DI48" i="88"/>
  <c r="AG51" i="88"/>
  <c r="AS51" i="88"/>
  <c r="CY51" i="88"/>
  <c r="CZ51" i="88" s="1"/>
  <c r="DA51" i="88"/>
  <c r="DC51" i="88"/>
  <c r="CU51" i="88" s="1"/>
  <c r="DL51" i="88"/>
  <c r="CY43" i="88"/>
  <c r="CZ43" i="88" s="1"/>
  <c r="AC44" i="88"/>
  <c r="AP44" i="88"/>
  <c r="CY44" i="88"/>
  <c r="CZ44" i="88" s="1"/>
  <c r="AC45" i="88"/>
  <c r="AP45" i="88"/>
  <c r="CY45" i="88"/>
  <c r="CZ45" i="88" s="1"/>
  <c r="AC46" i="88"/>
  <c r="AP46" i="88"/>
  <c r="CY46" i="88"/>
  <c r="CZ46" i="88" s="1"/>
  <c r="AC47" i="88"/>
  <c r="AP47" i="88"/>
  <c r="CY47" i="88"/>
  <c r="CZ47" i="88" s="1"/>
  <c r="CY48" i="88"/>
  <c r="CZ48" i="88" s="1"/>
  <c r="AC51" i="88"/>
  <c r="AR51" i="88"/>
  <c r="AA23" i="89" l="1"/>
  <c r="EN28" i="89"/>
  <c r="BZ28" i="89"/>
  <c r="DC28" i="89"/>
  <c r="CU28" i="89" s="1"/>
  <c r="AR26" i="89"/>
  <c r="AP26" i="89"/>
  <c r="AC26" i="89"/>
  <c r="BB26" i="89"/>
  <c r="DC26" i="89" s="1"/>
  <c r="CU26" i="89" s="1"/>
  <c r="AQ26" i="89"/>
  <c r="AR25" i="89"/>
  <c r="AP25" i="89"/>
  <c r="AC25" i="89"/>
  <c r="BB25" i="89"/>
  <c r="AQ25" i="89"/>
  <c r="AR24" i="89"/>
  <c r="AP24" i="89"/>
  <c r="AC24" i="89"/>
  <c r="BB24" i="89"/>
  <c r="DC24" i="89" s="1"/>
  <c r="CU24" i="89" s="1"/>
  <c r="AQ24" i="89"/>
  <c r="AA28" i="89"/>
  <c r="AR18" i="89"/>
  <c r="AP18" i="89"/>
  <c r="AC18" i="89"/>
  <c r="BB18" i="89"/>
  <c r="DC18" i="89" s="1"/>
  <c r="AQ18" i="89"/>
  <c r="AP17" i="89"/>
  <c r="AC17" i="89"/>
  <c r="BB17" i="89"/>
  <c r="DC17" i="89" s="1"/>
  <c r="AQ17" i="89"/>
  <c r="AR17" i="89"/>
  <c r="CD27" i="89"/>
  <c r="CC27" i="89" s="1"/>
  <c r="AA27" i="89"/>
  <c r="EN26" i="89"/>
  <c r="BZ26" i="89"/>
  <c r="DC25" i="89"/>
  <c r="CU25" i="89" s="1"/>
  <c r="EN25" i="89"/>
  <c r="BZ25" i="89"/>
  <c r="EN24" i="89"/>
  <c r="BZ24" i="89"/>
  <c r="DC27" i="89"/>
  <c r="CU27" i="89" s="1"/>
  <c r="EN23" i="89"/>
  <c r="BZ23" i="89"/>
  <c r="DC23" i="89"/>
  <c r="CU23" i="89"/>
  <c r="EN18" i="89"/>
  <c r="BZ18" i="89"/>
  <c r="EN17" i="89"/>
  <c r="BZ17" i="89"/>
  <c r="AR48" i="88"/>
  <c r="AP48" i="88"/>
  <c r="AC48" i="88"/>
  <c r="BB48" i="88"/>
  <c r="AQ48" i="88"/>
  <c r="CD47" i="88"/>
  <c r="CC47" i="88" s="1"/>
  <c r="AA47" i="88"/>
  <c r="CD45" i="88"/>
  <c r="CC45" i="88" s="1"/>
  <c r="AA45" i="88"/>
  <c r="CD43" i="88"/>
  <c r="CC43" i="88" s="1"/>
  <c r="AA43" i="88"/>
  <c r="AR42" i="88"/>
  <c r="AP42" i="88"/>
  <c r="AC42" i="88"/>
  <c r="BB42" i="88"/>
  <c r="AQ42" i="88"/>
  <c r="EN32" i="88"/>
  <c r="BZ32" i="88"/>
  <c r="DC32" i="88"/>
  <c r="CU32" i="88" s="1"/>
  <c r="BB50" i="88"/>
  <c r="AC50" i="88"/>
  <c r="BB25" i="88"/>
  <c r="AQ25" i="88"/>
  <c r="AR25" i="88"/>
  <c r="AP25" i="88"/>
  <c r="AC25" i="88"/>
  <c r="CD30" i="88"/>
  <c r="CC30" i="88" s="1"/>
  <c r="AA30" i="88"/>
  <c r="CD28" i="88"/>
  <c r="CC28" i="88" s="1"/>
  <c r="AA28" i="88"/>
  <c r="CD26" i="88"/>
  <c r="CC26" i="88" s="1"/>
  <c r="AA26" i="88"/>
  <c r="AA34" i="88"/>
  <c r="AA32" i="88"/>
  <c r="BB23" i="88"/>
  <c r="AQ23" i="88"/>
  <c r="AR23" i="88"/>
  <c r="AP23" i="88"/>
  <c r="AC23" i="88"/>
  <c r="BB21" i="88"/>
  <c r="AQ21" i="88"/>
  <c r="AR21" i="88"/>
  <c r="AP21" i="88"/>
  <c r="AC21" i="88"/>
  <c r="BB19" i="88"/>
  <c r="AQ19" i="88"/>
  <c r="AR19" i="88"/>
  <c r="AP19" i="88"/>
  <c r="AC19" i="88"/>
  <c r="EN17" i="88"/>
  <c r="BZ17" i="88"/>
  <c r="DC17" i="88"/>
  <c r="CU17" i="88" s="1"/>
  <c r="CD22" i="88"/>
  <c r="CC22" i="88" s="1"/>
  <c r="AA22" i="88"/>
  <c r="AA17" i="88"/>
  <c r="DC48" i="88"/>
  <c r="EN48" i="88"/>
  <c r="BZ48" i="88"/>
  <c r="CU48" i="88" s="1"/>
  <c r="CD46" i="88"/>
  <c r="CC46" i="88" s="1"/>
  <c r="AA46" i="88"/>
  <c r="CD44" i="88"/>
  <c r="CC44" i="88" s="1"/>
  <c r="AA44" i="88"/>
  <c r="DC47" i="88"/>
  <c r="CU47" i="88" s="1"/>
  <c r="DC45" i="88"/>
  <c r="CU45" i="88" s="1"/>
  <c r="DC44" i="88"/>
  <c r="CU44" i="88" s="1"/>
  <c r="DC43" i="88"/>
  <c r="CU43" i="88" s="1"/>
  <c r="DC46" i="88"/>
  <c r="CU46" i="88" s="1"/>
  <c r="DC41" i="88"/>
  <c r="EN41" i="88"/>
  <c r="BZ41" i="88"/>
  <c r="CU41" i="88" s="1"/>
  <c r="BB36" i="88"/>
  <c r="AQ36" i="88"/>
  <c r="AR36" i="88"/>
  <c r="AP36" i="88"/>
  <c r="AC36" i="88"/>
  <c r="EN33" i="88"/>
  <c r="BZ33" i="88"/>
  <c r="DC33" i="88"/>
  <c r="EN31" i="88"/>
  <c r="BZ31" i="88"/>
  <c r="DC31" i="88"/>
  <c r="CU31" i="88" s="1"/>
  <c r="EN26" i="88"/>
  <c r="BZ26" i="88"/>
  <c r="DC26" i="88"/>
  <c r="CU26" i="88"/>
  <c r="CD29" i="88"/>
  <c r="CC29" i="88" s="1"/>
  <c r="AA29" i="88"/>
  <c r="CD27" i="88"/>
  <c r="CC27" i="88" s="1"/>
  <c r="AA27" i="88"/>
  <c r="DC30" i="88"/>
  <c r="CU30" i="88" s="1"/>
  <c r="DC29" i="88"/>
  <c r="CU29" i="88" s="1"/>
  <c r="DC28" i="88"/>
  <c r="CU28" i="88" s="1"/>
  <c r="DC27" i="88"/>
  <c r="CU27" i="88" s="1"/>
  <c r="EN22" i="88"/>
  <c r="BZ22" i="88"/>
  <c r="DC22" i="88"/>
  <c r="EN20" i="88"/>
  <c r="BZ20" i="88"/>
  <c r="DC20" i="88"/>
  <c r="CU20" i="88" s="1"/>
  <c r="EN18" i="88"/>
  <c r="BZ18" i="88"/>
  <c r="DC18" i="88"/>
  <c r="CU18" i="88" s="1"/>
  <c r="CD24" i="88"/>
  <c r="CC24" i="88" s="1"/>
  <c r="AA24" i="88"/>
  <c r="CD20" i="88"/>
  <c r="CC20" i="88" s="1"/>
  <c r="AA20" i="88"/>
  <c r="ED13" i="88"/>
  <c r="DV13" i="88"/>
  <c r="DW13" i="88" s="1"/>
  <c r="DF13" i="88"/>
  <c r="DA13" i="88"/>
  <c r="DB13" i="88" s="1"/>
  <c r="CZ13" i="88"/>
  <c r="CY13" i="88"/>
  <c r="CW13" i="88"/>
  <c r="CQ13" i="88"/>
  <c r="CP13" i="88"/>
  <c r="CU13" i="88" s="1"/>
  <c r="CI13" i="88"/>
  <c r="CD13" i="88"/>
  <c r="CC13" i="88"/>
  <c r="CA13" i="88"/>
  <c r="CU17" i="89" l="1"/>
  <c r="CU22" i="88"/>
  <c r="CU33" i="88"/>
  <c r="CU18" i="89"/>
  <c r="CD18" i="89"/>
  <c r="CC18" i="89" s="1"/>
  <c r="AA18" i="89"/>
  <c r="CD24" i="89"/>
  <c r="CC24" i="89" s="1"/>
  <c r="AA24" i="89"/>
  <c r="CD25" i="89"/>
  <c r="CC25" i="89" s="1"/>
  <c r="AA25" i="89"/>
  <c r="CD26" i="89"/>
  <c r="CC26" i="89" s="1"/>
  <c r="AA26" i="89"/>
  <c r="CD17" i="89"/>
  <c r="CC17" i="89" s="1"/>
  <c r="AA17" i="89"/>
  <c r="CD19" i="88"/>
  <c r="CC19" i="88" s="1"/>
  <c r="DC19" i="88"/>
  <c r="CU19" i="88" s="1"/>
  <c r="AA19" i="88"/>
  <c r="CD23" i="88"/>
  <c r="CC23" i="88" s="1"/>
  <c r="DC23" i="88"/>
  <c r="CU23" i="88" s="1"/>
  <c r="AA23" i="88"/>
  <c r="CD25" i="88"/>
  <c r="CC25" i="88" s="1"/>
  <c r="DC25" i="88"/>
  <c r="CU25" i="88" s="1"/>
  <c r="AA25" i="88"/>
  <c r="CD48" i="88"/>
  <c r="CC48" i="88" s="1"/>
  <c r="AA48" i="88"/>
  <c r="CD36" i="88"/>
  <c r="CC36" i="88" s="1"/>
  <c r="AA36" i="88"/>
  <c r="DC36" i="88"/>
  <c r="CU36" i="88" s="1"/>
  <c r="CD21" i="88"/>
  <c r="CC21" i="88" s="1"/>
  <c r="DC21" i="88"/>
  <c r="CU21" i="88" s="1"/>
  <c r="AA21" i="88"/>
  <c r="CD50" i="88"/>
  <c r="CC50" i="88" s="1"/>
  <c r="DC50" i="88"/>
  <c r="CU50" i="88" s="1"/>
  <c r="AA50" i="88"/>
  <c r="CD42" i="88"/>
  <c r="CC42" i="88" s="1"/>
  <c r="AA42" i="88"/>
  <c r="DC42" i="88"/>
  <c r="CU42" i="88" s="1"/>
  <c r="CO13" i="88"/>
  <c r="CV13" i="88" s="1"/>
  <c r="CN13" i="88" s="1"/>
  <c r="BZ13" i="88"/>
  <c r="EE13" i="88"/>
  <c r="CR13" i="88"/>
  <c r="CS13" i="88" s="1"/>
  <c r="CT13" i="88"/>
  <c r="DE13" i="88"/>
</calcChain>
</file>

<file path=xl/sharedStrings.xml><?xml version="1.0" encoding="utf-8"?>
<sst xmlns="http://schemas.openxmlformats.org/spreadsheetml/2006/main" count="1725" uniqueCount="307">
  <si>
    <t>TEN</t>
  </si>
  <si>
    <t>T1</t>
  </si>
  <si>
    <t>M1</t>
  </si>
  <si>
    <t>T2</t>
  </si>
  <si>
    <t>M2</t>
  </si>
  <si>
    <t>GT</t>
  </si>
  <si>
    <t>Khoa Văn bản và Công nghệ hành chính</t>
  </si>
  <si>
    <t>MÃ SỐ NGẠCH</t>
  </si>
  <si>
    <t>GHI 
CHÚ</t>
  </si>
  <si>
    <t xml:space="preserve">           </t>
  </si>
  <si>
    <t>KT. TRƯỞNG BAN</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</si>
  <si>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</si>
  <si>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</si>
  <si>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</si>
  <si>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</si>
  <si>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</si>
  <si>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</si>
  <si>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</si>
  <si>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</si>
  <si>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</si>
  <si>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</si>
  <si>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</si>
  <si>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</si>
  <si>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</si>
  <si>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</si>
  <si>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</si>
  <si>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</si>
  <si>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</si>
  <si>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</si>
  <si>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</si>
  <si>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20</t>
  </si>
  <si>
    <t>SỐ
TT</t>
  </si>
  <si>
    <t>(Đã ký)</t>
  </si>
  <si>
    <t>Tổng số:</t>
  </si>
  <si>
    <t>người</t>
  </si>
  <si>
    <t>%</t>
  </si>
  <si>
    <t>Chuyên viên</t>
  </si>
  <si>
    <t>01</t>
  </si>
  <si>
    <t>02</t>
  </si>
  <si>
    <t>5</t>
  </si>
  <si>
    <t>6</t>
  </si>
  <si>
    <t>8</t>
  </si>
  <si>
    <t>3</t>
  </si>
  <si>
    <t>7</t>
  </si>
  <si>
    <t>9</t>
  </si>
  <si>
    <t>12</t>
  </si>
  <si>
    <t>/</t>
  </si>
  <si>
    <t>A</t>
  </si>
  <si>
    <t>2011</t>
  </si>
  <si>
    <t>Phòng Quản trị,</t>
  </si>
  <si>
    <t>10</t>
  </si>
  <si>
    <t>11</t>
  </si>
  <si>
    <t>1</t>
  </si>
  <si>
    <t>4</t>
  </si>
  <si>
    <t>2012</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</si>
  <si>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</si>
  <si>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</si>
  <si>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</si>
  <si>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</si>
  <si>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</si>
  <si>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</si>
  <si>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</si>
  <si>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</si>
  <si>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</si>
  <si>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</si>
  <si>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</si>
  <si>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</si>
  <si>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</si>
  <si>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</si>
  <si>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</si>
  <si>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</si>
  <si>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</si>
  <si>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</si>
  <si>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</si>
  <si>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</si>
  <si>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</si>
  <si>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</si>
  <si>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</si>
  <si>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</si>
  <si>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</si>
  <si>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</si>
  <si>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</si>
  <si>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</si>
  <si>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</si>
  <si>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</si>
  <si>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</si>
  <si>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</si>
  <si>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</si>
  <si>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</si>
  <si>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</si>
  <si>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</si>
  <si>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</si>
  <si>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</si>
  <si>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</si>
  <si>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</si>
  <si>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</si>
  <si>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</si>
  <si>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</si>
  <si>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</si>
  <si>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</si>
  <si>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</si>
  <si>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</si>
  <si>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</si>
  <si>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</si>
  <si>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</si>
  <si>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</si>
  <si>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</si>
  <si>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</si>
  <si>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</si>
  <si>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</si>
  <si>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</si>
  <si>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</si>
  <si>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</si>
  <si>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</si>
  <si>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</si>
  <si>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</si>
  <si>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</si>
  <si>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</si>
  <si>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</si>
  <si>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Phó Trưởng phòng</t>
  </si>
  <si>
    <t>Khoa Khoa học hành chính và Tổ chức nhân sự</t>
  </si>
  <si>
    <t>Khoa Quản lý nhà nước về Xã hội</t>
  </si>
  <si>
    <t>Phân viện Học viện Hành chính Quốc gia tại thành phố Huế</t>
  </si>
  <si>
    <t>28</t>
  </si>
  <si>
    <t>Phòng Tài vụ - Kế toán,</t>
  </si>
  <si>
    <t>Phân viện Học viện Hành chính Quốc gia tại Thành phố Hồ Chí Minh</t>
  </si>
  <si>
    <t>Trưởng bộ môn</t>
  </si>
  <si>
    <t>Khoa Nhà nước - Pháp luật và Lý luận cơ sở</t>
  </si>
  <si>
    <t>Khoa Quản lý nhà nước về Kinh tế và Tài chính công</t>
  </si>
  <si>
    <t>PHÓ TRƯỞNG BAN</t>
  </si>
  <si>
    <t>TRƯỞNG BAN THƯ KÝ HỘI ĐỒNG LƯƠNG
Nguyễn Tiến Đạo</t>
  </si>
  <si>
    <t>Khoa Tổ chức và Quản lý nhân sự</t>
  </si>
  <si>
    <t>Khoa Quản lý nhà nước về Kinh tế</t>
  </si>
  <si>
    <t>Phòng Quản lý đào tạo và Phát triển nhân lực hành chính</t>
  </si>
  <si>
    <t>Cơ sở Học viện Hành chính Quốc gia khu vực miền Trung</t>
  </si>
  <si>
    <t>Phân viện khu vực Tây Nguyên</t>
  </si>
  <si>
    <t>05</t>
  </si>
  <si>
    <t>Cơ sở Học viện Hành chính Quốc gia tại Thành phố Hồ Chí Minh</t>
  </si>
  <si>
    <t>Nhân viên kỹ thuật</t>
  </si>
  <si>
    <t>Văn phòng,</t>
  </si>
  <si>
    <t>Khoa Nhà nước và Pháp luật</t>
  </si>
  <si>
    <t>08</t>
  </si>
  <si>
    <t>Khoa Quản lý Tài chính công</t>
  </si>
  <si>
    <t>V.07.01.02</t>
  </si>
  <si>
    <t>Phòng Đào tạo, bồi dưỡng theo chức danh,</t>
  </si>
  <si>
    <t xml:space="preserve">PGS </t>
  </si>
  <si>
    <t>V.07.01.01</t>
  </si>
  <si>
    <t>25</t>
  </si>
  <si>
    <t>Bộ môn Khoa học đại cương,</t>
  </si>
  <si>
    <t>T</t>
  </si>
  <si>
    <t>Văn phòng Học viện</t>
  </si>
  <si>
    <t>Nhân viên phục vụ</t>
  </si>
  <si>
    <t>16</t>
  </si>
  <si>
    <t>II</t>
  </si>
  <si>
    <t>BAN TỔ CHỨC CÁN BỘ</t>
  </si>
  <si>
    <t xml:space="preserve">        (người tiếp nhận: Lê Thị Thu, ĐT: 0438 359 295/ 0919.64.84.85).</t>
  </si>
  <si>
    <t>14</t>
  </si>
  <si>
    <t>Bộ môn Thể chế nhà nước,</t>
  </si>
  <si>
    <t>27</t>
  </si>
  <si>
    <t>Nhà giáo</t>
  </si>
  <si>
    <t xml:space="preserve">                       (người tiếp nhận: Lê Thị Thu, ĐT: 0438 359 295/ 0919.64.84.85).</t>
  </si>
  <si>
    <t>Người</t>
  </si>
  <si>
    <t>Ban Quản lý bồi dưỡng</t>
  </si>
  <si>
    <t>19</t>
  </si>
  <si>
    <t>1976</t>
  </si>
  <si>
    <t>Trung tâm Ngoại ngữ - Tin học và Thông tin - Thư viện</t>
  </si>
  <si>
    <t>21</t>
  </si>
  <si>
    <t>Kế toán viên</t>
  </si>
  <si>
    <t>06</t>
  </si>
  <si>
    <t>1983</t>
  </si>
  <si>
    <t>Bộ môn Khoa học hành chính và Tổ chức nhân sự</t>
  </si>
  <si>
    <t>Phòng Quản lý đào tạo sau đại học,</t>
  </si>
  <si>
    <t>01.003</t>
  </si>
  <si>
    <t>Phòng Kế hoạch - Tài chính</t>
  </si>
  <si>
    <t>V.07.01.03</t>
  </si>
  <si>
    <t>CN</t>
  </si>
  <si>
    <t>Bộ môn Nguyên lý Kinh tế,</t>
  </si>
  <si>
    <t>Ban Đào tạo</t>
  </si>
  <si>
    <t>Phòng Đào tạo tại chức,</t>
  </si>
  <si>
    <t>Xếp Lg</t>
  </si>
  <si>
    <t>01.005</t>
  </si>
  <si>
    <t>06.031</t>
  </si>
  <si>
    <t>17</t>
  </si>
  <si>
    <t>1977</t>
  </si>
  <si>
    <t>1965</t>
  </si>
  <si>
    <t>1958</t>
  </si>
  <si>
    <t>Bộ môn Những nguyên lý cơ bản của Chủ nghĩa Mác - Lê nin,</t>
  </si>
  <si>
    <t>Khoa Lý luận cơ sở</t>
  </si>
  <si>
    <t>Đã nâng sớm</t>
  </si>
  <si>
    <t xml:space="preserve">Bộ môn Văn bản hành chính, </t>
  </si>
  <si>
    <t>Trung tâm Tin học hành chính và Công nghệ thông tin</t>
  </si>
  <si>
    <t>Bộ môn Hành chính học,</t>
  </si>
  <si>
    <t>Bộ môn Tổ chức và Quản lý nhân sự,</t>
  </si>
  <si>
    <t>Giáo viên trung học</t>
  </si>
  <si>
    <t>07</t>
  </si>
  <si>
    <t>1954</t>
  </si>
  <si>
    <t>Nguyên Phó Trưởng khoa</t>
  </si>
  <si>
    <t>Giảng viên chính</t>
  </si>
  <si>
    <t>24</t>
  </si>
  <si>
    <t>Phó Trưởng khoa</t>
  </si>
  <si>
    <t>Trần Trí Trinh</t>
  </si>
  <si>
    <t>31</t>
  </si>
  <si>
    <t>1978</t>
  </si>
  <si>
    <t>23</t>
  </si>
  <si>
    <t>Phòng Ngoại ngữ - Tin học và Thông tin - Thư viện</t>
  </si>
  <si>
    <t xml:space="preserve">Hà Nội, ngày 10 tháng 9 năm 2018 </t>
  </si>
  <si>
    <t>Nguyễn Thị Ngọc Lan</t>
  </si>
  <si>
    <t>Ban Kế hoạch - Tài chính</t>
  </si>
  <si>
    <t>Hoàng Thị Huế</t>
  </si>
  <si>
    <t>Khoa Hành chính học</t>
  </si>
  <si>
    <t>Nguyễn Đức Thắng</t>
  </si>
  <si>
    <t>Bộ môn Khoa học chính sách,</t>
  </si>
  <si>
    <t>Bộ môn Chính sách công,</t>
  </si>
  <si>
    <t>Nguyễn Thị Tế</t>
  </si>
  <si>
    <t>Bộ môn Tâm lý học,</t>
  </si>
  <si>
    <t>Đoàn Thị Bích Hạnh</t>
  </si>
  <si>
    <t>13</t>
  </si>
  <si>
    <t>Bộ môn Quản lý nguồn nhân lực tổ chức</t>
  </si>
  <si>
    <t>Bộ môn Tổ chức nhân sự,</t>
  </si>
  <si>
    <t>2008</t>
  </si>
  <si>
    <t>Nguyễn Thị Hồng</t>
  </si>
  <si>
    <t>GQ: … hưởng từ</t>
  </si>
  <si>
    <t>Lý Thị Huệ</t>
  </si>
  <si>
    <t>Trương Thị Quỳnh Hoa</t>
  </si>
  <si>
    <t>15</t>
  </si>
  <si>
    <t>Nguyễn Thị Tình</t>
  </si>
  <si>
    <t>Bộ môn Kỹ năng quản lý nhà nước về kinh tế,</t>
  </si>
  <si>
    <t>Phạm Thị Thanh Hương</t>
  </si>
  <si>
    <t>Bộ môn Kế toán - Kiểm toán,</t>
  </si>
  <si>
    <t>Vũ Trọng Hách</t>
  </si>
  <si>
    <t>1957</t>
  </si>
  <si>
    <t>Nguyên Q. Trưởng khoa</t>
  </si>
  <si>
    <t>PGS</t>
  </si>
  <si>
    <t>1987</t>
  </si>
  <si>
    <t>Bộ môn Quản lý nhà nước về nông thôn</t>
  </si>
  <si>
    <t>Khoa Quản lý nhà nước về Đô thị và Nông thôn</t>
  </si>
  <si>
    <t>Nông Hoàng Anh</t>
  </si>
  <si>
    <t>Vũ Anh Dân</t>
  </si>
  <si>
    <t>1970</t>
  </si>
  <si>
    <t>Phòng Thanh tra giải quyết khiếu nại, tố cáo,</t>
  </si>
  <si>
    <t>Phòng Kiểm tra - Pháp chế</t>
  </si>
  <si>
    <t>Ban Thanh tra Giáo dục - Đào tạo</t>
  </si>
  <si>
    <t xml:space="preserve">Phòng Thanh tra Giáo dục - Đào tạo, </t>
  </si>
  <si>
    <t>Nguyễn Thị Thu Hương</t>
  </si>
  <si>
    <t>Phan Trường Giang</t>
  </si>
  <si>
    <t>CL</t>
  </si>
  <si>
    <t>Lê Văn Thịnh</t>
  </si>
  <si>
    <t>Ko hạn</t>
  </si>
  <si>
    <t>Mai Thị Thu</t>
  </si>
  <si>
    <t>Lê Phương Thúy</t>
  </si>
  <si>
    <t>Lê Văn Mão</t>
  </si>
  <si>
    <t>Bộ môn Lý luận và Quản lý nhà nước,</t>
  </si>
  <si>
    <t>Bộ  môn Lý luận và Quản lý nhà nước,</t>
  </si>
  <si>
    <t>Mai Thị Phương Dung</t>
  </si>
  <si>
    <t>Phòng bồi dưỡng cán bộ, công chức, viên chức,</t>
  </si>
  <si>
    <t>Tạ Thị Thu Trang</t>
  </si>
  <si>
    <t>1988</t>
  </si>
  <si>
    <t>Khoa Đào tạo và Bồi dưỡng,</t>
  </si>
  <si>
    <t>Phân viện Học viện Hành chính Quốc gia khu vực Tây Nguyên</t>
  </si>
  <si>
    <t>Lâm Thị Thu Việt</t>
  </si>
  <si>
    <t>04</t>
  </si>
  <si>
    <t>Khoa Lý luận cơ sở và Quản lý nhà nước,</t>
  </si>
  <si>
    <t>Nguyễn Thị Huyền Trang</t>
  </si>
  <si>
    <t>09</t>
  </si>
  <si>
    <t>Trần Thị Thùy Vi</t>
  </si>
  <si>
    <t>Nguyễn Thanh Bình</t>
  </si>
  <si>
    <t>1962</t>
  </si>
  <si>
    <t>2009</t>
  </si>
  <si>
    <t>Bùi Thanh Giang</t>
  </si>
  <si>
    <t xml:space="preserve">Bộ môn Quản lý nhà nước về Kinh tế, </t>
  </si>
  <si>
    <t>Đỗ Thị Tươi</t>
  </si>
  <si>
    <t>Thư viện viên hạng III</t>
  </si>
  <si>
    <t>Phòng Thông tin - Tư liệu - Thư viện,</t>
  </si>
  <si>
    <t>Nguyễn Thị Thanh</t>
  </si>
  <si>
    <t>Cao Đức Quý</t>
  </si>
  <si>
    <t>1972</t>
  </si>
  <si>
    <t>Nhân viên bảo vệ</t>
  </si>
  <si>
    <t>Lê Thị Hồng Phấn</t>
  </si>
  <si>
    <t xml:space="preserve">Hoàng Hà </t>
  </si>
  <si>
    <t>Đặng Thị Thanh Tâm</t>
  </si>
  <si>
    <t>Khoa Đào tạo, bồi dưỡng công chức và Tại chức</t>
  </si>
  <si>
    <t>Nguyễn Tiến Đạo</t>
  </si>
  <si>
    <t>Nguyễn Thị Vân Hương</t>
  </si>
  <si>
    <t>Đinh Văn Mậu</t>
  </si>
  <si>
    <t>+ 5% VK do BN GS</t>
  </si>
  <si>
    <t>GS</t>
  </si>
  <si>
    <t>Trần Văn Giao</t>
  </si>
  <si>
    <t>Lương Minh Việt</t>
  </si>
  <si>
    <t>Phan Minh Nguyệt</t>
  </si>
  <si>
    <t>Hoàng Thị Cường</t>
  </si>
  <si>
    <t>Bộ môn Khoa học - Tôn giáo - An ninh,</t>
  </si>
  <si>
    <t>Văn Thị Hoàn</t>
  </si>
  <si>
    <t>Bộ môn Văn hóa - Giáo dục - Y tế,</t>
  </si>
  <si>
    <t>Vũ Thị Thùy Dung</t>
  </si>
  <si>
    <t>1974</t>
  </si>
  <si>
    <t>= mã GVTH:15.113 (có trình độ ĐH)</t>
  </si>
  <si>
    <t>Vũ Thị Kim Tuyết</t>
  </si>
  <si>
    <t>Phòng Khảo thí và Đảm bảo chất lượng đào tạo, bồi dưỡng</t>
  </si>
  <si>
    <t>Phòng Khảo thí và Kiểm định chất lượng giáo dục</t>
  </si>
  <si>
    <r>
      <t>DANH SÁCH CÔNG CHỨC, VIÊN CHỨC VÀ NGƯỜI LAO ĐỘNG THUỘC HỌC VIỆN HÀNH CHÍNH QUỐC GIA
ĐỦ ĐIỀU KIỆN, TIÊU CHUẨN XÉT NÂNG BẬC LƯƠNG THƯỜNG XUYÊN, XÉT HƯỞNG, NÂNG PHỤ CẤP THÂM NIÊN VƯỢT KHUNG
TRONG THÁNG 11</t>
    </r>
    <r>
      <rPr>
        <b/>
        <sz val="12"/>
        <color rgb="FF0000FF"/>
        <rFont val="Arial Narrow"/>
        <family val="2"/>
      </rPr>
      <t xml:space="preserve"> NĂM 2018</t>
    </r>
  </si>
  <si>
    <r>
      <t xml:space="preserve">        - Các ý kiến thắc mắc liên quan (nếu có), đề nghị phản hồi tới Ban Tổ chức cán bộ hạn cuối vào ngày</t>
    </r>
    <r>
      <rPr>
        <b/>
        <sz val="12"/>
        <rFont val="Arial Narrow"/>
        <family val="2"/>
      </rPr>
      <t xml:space="preserve"> </t>
    </r>
    <r>
      <rPr>
        <b/>
        <sz val="12"/>
        <color rgb="FF0000FF"/>
        <rFont val="Arial Narrow"/>
        <family val="2"/>
      </rPr>
      <t>20/11/2018</t>
    </r>
  </si>
  <si>
    <r>
      <t xml:space="preserve">DANH SÁCH NHÀ GIÁO THUỘC HỌC VIỆN HÀNH CHÍNH QUỐC GIA ĐỦ ĐIỀU KIỆN XÉT NÂNG PHỤ CẤP THÂM NIÊN 
TRONG THÁNG 11 </t>
    </r>
    <r>
      <rPr>
        <b/>
        <sz val="12"/>
        <color rgb="FF0000FF"/>
        <rFont val="Arial"/>
        <family val="2"/>
      </rPr>
      <t>NĂM 2018</t>
    </r>
  </si>
  <si>
    <r>
      <t>ĐỦ ĐIỀU KIỆN, TIÊU CHUẨN XÉT NÂNG BẬC LƯƠNG THƯỜNG XUYÊN: 32</t>
    </r>
    <r>
      <rPr>
        <b/>
        <sz val="10"/>
        <color rgb="FF0000FF"/>
        <rFont val="Arial Narrow"/>
        <family val="2"/>
      </rPr>
      <t xml:space="preserve"> TRƯỜNG HỢP </t>
    </r>
  </si>
  <si>
    <t>ĐỦ ĐIỀU KIỆN, TIÊU CHUẨN XÉT HƯỞNG, NÂNG PHỤ CẤP THÂM NIÊN VƯỢT KHUNG: 02 TRƯỜNG HỢP</t>
  </si>
  <si>
    <t xml:space="preserve">Hà Nội, ngày 07 tháng 11 năm 2018 </t>
  </si>
  <si>
    <r>
      <rPr>
        <b/>
        <sz val="13"/>
        <rFont val="Arial Narrow"/>
        <family val="2"/>
      </rPr>
      <t xml:space="preserve">* </t>
    </r>
    <r>
      <rPr>
        <b/>
        <u/>
        <sz val="13"/>
        <rFont val="Arial Narrow"/>
        <family val="2"/>
      </rPr>
      <t>Lưu ý</t>
    </r>
    <r>
      <rPr>
        <sz val="13"/>
        <rFont val="Arial Narrow"/>
        <family val="2"/>
      </rPr>
      <t xml:space="preserve">:  - Danh sách này được niêm yết công khai trên bảng tin nhà A tại trụ sở Học viện ở Hà Nội, bảng tin tại các  cơ sở, </t>
    </r>
  </si>
  <si>
    <r>
      <t xml:space="preserve">                      - Các ý kiến thắc mắc liên quan (nếu có), đề nghị phản hồi tới Ban Tổ chức cán bộ hạn cuối vào ngày</t>
    </r>
    <r>
      <rPr>
        <sz val="13"/>
        <color rgb="FF0000FF"/>
        <rFont val="Arial Narrow"/>
        <family val="2"/>
      </rPr>
      <t xml:space="preserve"> 20</t>
    </r>
    <r>
      <rPr>
        <b/>
        <sz val="13"/>
        <color rgb="FF0000FF"/>
        <rFont val="Arial Narrow"/>
        <family val="2"/>
      </rPr>
      <t>/11/2018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</si>
</sst>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sz val="12"/>
      <color rgb="FF800000"/>
      <name val="Arial Narrow"/>
      <family val="2"/>
    </font>
    <font>
      <sz val="12"/>
      <color indexed="9"/>
      <name val="Arial Narrow"/>
      <family val="2"/>
    </font>
    <font>
      <sz val="12"/>
      <color rgb="FFFF0000"/>
      <name val="Arial Narrow"/>
      <family val="2"/>
    </font>
    <font>
      <b/>
      <u/>
      <sz val="13"/>
      <name val="Arial Narrow"/>
      <family val="2"/>
    </font>
    <font>
      <sz val="13"/>
      <color indexed="12"/>
      <name val="Arial Narrow"/>
      <family val="2"/>
    </font>
    <font>
      <sz val="13"/>
      <color theme="0"/>
      <name val="Arial Narrow"/>
      <family val="2"/>
    </font>
    <font>
      <sz val="13"/>
      <name val="Arial"/>
      <family val="2"/>
    </font>
    <font>
      <sz val="13"/>
      <color theme="0"/>
      <name val="Arial"/>
      <family val="2"/>
    </font>
    <font>
      <sz val="13"/>
      <color rgb="FF0000FF"/>
      <name val="Arial Narrow"/>
      <family val="2"/>
    </font>
    <font>
      <b/>
      <sz val="13"/>
      <color rgb="FF0000FF"/>
      <name val="Arial Narrow"/>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47"/>
        <bgColor indexed="64"/>
      </patternFill>
    </fill>
    <fill>
      <patternFill patternType="solid">
        <fgColor indexed="44"/>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790">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1" fillId="0" borderId="0" xfId="0" applyNumberFormat="1" applyFont="1" applyAlignment="1"/>
    <xf numFmtId="0" fontId="41" fillId="0" borderId="0" xfId="0" applyNumberFormat="1" applyFont="1" applyBorder="1" applyAlignment="1">
      <alignment horizontal="center" wrapText="1"/>
    </xf>
    <xf numFmtId="0" fontId="41" fillId="0" borderId="0" xfId="0" applyNumberFormat="1" applyFont="1" applyAlignment="1">
      <alignment wrapText="1"/>
    </xf>
    <xf numFmtId="0" fontId="41" fillId="0" borderId="0" xfId="0" applyNumberFormat="1" applyFont="1" applyAlignment="1">
      <alignment horizontal="left"/>
    </xf>
    <xf numFmtId="0" fontId="41" fillId="0" borderId="0" xfId="0" applyNumberFormat="1" applyFont="1" applyBorder="1" applyAlignment="1">
      <alignment wrapText="1"/>
    </xf>
    <xf numFmtId="0" fontId="41" fillId="0" borderId="0" xfId="0" applyNumberFormat="1" applyFont="1" applyBorder="1" applyAlignment="1">
      <alignment horizontal="left" wrapText="1"/>
    </xf>
    <xf numFmtId="0" fontId="42" fillId="0" borderId="0" xfId="0" applyNumberFormat="1" applyFont="1" applyBorder="1" applyAlignment="1">
      <alignment wrapText="1"/>
    </xf>
    <xf numFmtId="0" fontId="42"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4" fillId="2" borderId="0" xfId="0" applyNumberFormat="1" applyFont="1" applyFill="1" applyBorder="1" applyAlignment="1">
      <alignment horizontal="center"/>
    </xf>
    <xf numFmtId="0" fontId="35"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6" fillId="2" borderId="0" xfId="0" applyNumberFormat="1" applyFont="1" applyFill="1" applyBorder="1" applyAlignment="1"/>
    <xf numFmtId="0" fontId="36" fillId="2" borderId="0" xfId="0" applyNumberFormat="1" applyFont="1" applyFill="1" applyBorder="1" applyAlignment="1">
      <alignment horizontal="right"/>
    </xf>
    <xf numFmtId="0" fontId="36" fillId="0" borderId="0" xfId="0" applyNumberFormat="1" applyFont="1" applyBorder="1" applyAlignment="1"/>
    <xf numFmtId="0" fontId="14" fillId="2" borderId="0" xfId="0" applyNumberFormat="1" applyFont="1" applyFill="1" applyAlignment="1"/>
    <xf numFmtId="0" fontId="33"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2" fontId="21" fillId="2" borderId="0" xfId="0" applyNumberFormat="1" applyFont="1" applyFill="1" applyAlignment="1">
      <alignment horizontal="center" vertical="center" wrapText="1"/>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7"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7" fillId="2" borderId="7" xfId="0" applyNumberFormat="1" applyFont="1" applyFill="1" applyBorder="1" applyAlignment="1">
      <alignment vertical="center" wrapText="1"/>
    </xf>
    <xf numFmtId="0" fontId="47" fillId="2" borderId="9" xfId="0" applyNumberFormat="1" applyFont="1" applyFill="1" applyBorder="1" applyAlignment="1">
      <alignment horizontal="left" vertical="center" wrapText="1"/>
    </xf>
    <xf numFmtId="49" fontId="47" fillId="0" borderId="7" xfId="0" applyNumberFormat="1" applyFont="1" applyBorder="1" applyAlignment="1">
      <alignment horizontal="right" vertical="center"/>
    </xf>
    <xf numFmtId="0" fontId="47" fillId="0" borderId="9" xfId="0" applyNumberFormat="1" applyFont="1" applyBorder="1" applyAlignment="1">
      <alignment horizontal="left" vertical="center"/>
    </xf>
    <xf numFmtId="0" fontId="47" fillId="2" borderId="7" xfId="0" applyNumberFormat="1" applyFont="1" applyFill="1" applyBorder="1" applyAlignment="1">
      <alignment horizontal="right" vertical="center" wrapText="1"/>
    </xf>
    <xf numFmtId="0" fontId="47" fillId="2" borderId="1" xfId="0" applyFont="1" applyFill="1" applyBorder="1" applyAlignment="1">
      <alignment horizontal="center" vertical="center"/>
    </xf>
    <xf numFmtId="2"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center" vertical="center"/>
    </xf>
    <xf numFmtId="0" fontId="47" fillId="2" borderId="13" xfId="0" applyNumberFormat="1" applyFont="1" applyFill="1" applyBorder="1" applyAlignment="1">
      <alignment horizontal="left" vertical="center" wrapText="1"/>
    </xf>
    <xf numFmtId="2" fontId="47" fillId="2" borderId="12" xfId="0" applyNumberFormat="1" applyFont="1" applyFill="1" applyBorder="1" applyAlignment="1">
      <alignment horizontal="center" vertical="center"/>
    </xf>
    <xf numFmtId="2" fontId="47" fillId="2" borderId="7" xfId="0" applyNumberFormat="1" applyFont="1" applyFill="1" applyBorder="1" applyAlignment="1">
      <alignment horizontal="center" vertical="center"/>
    </xf>
    <xf numFmtId="0" fontId="22" fillId="2" borderId="0" xfId="0" applyFont="1" applyFill="1" applyBorder="1" applyAlignment="1">
      <alignment vertical="center"/>
    </xf>
    <xf numFmtId="49" fontId="47" fillId="6" borderId="7" xfId="0" applyNumberFormat="1" applyFont="1" applyFill="1" applyBorder="1" applyAlignment="1">
      <alignment horizontal="right" vertical="center"/>
    </xf>
    <xf numFmtId="49" fontId="47" fillId="6" borderId="8" xfId="0" applyNumberFormat="1" applyFont="1" applyFill="1" applyBorder="1" applyAlignment="1">
      <alignment horizontal="center" vertical="center"/>
    </xf>
    <xf numFmtId="0" fontId="47" fillId="2" borderId="8" xfId="0" applyNumberFormat="1" applyFont="1" applyFill="1" applyBorder="1" applyAlignment="1">
      <alignment horizontal="left" vertical="center" wrapText="1"/>
    </xf>
    <xf numFmtId="0" fontId="25" fillId="0" borderId="0" xfId="0" applyFont="1" applyFill="1" applyBorder="1" applyAlignment="1">
      <alignment horizontal="left"/>
    </xf>
    <xf numFmtId="2" fontId="47" fillId="0" borderId="8" xfId="0" applyNumberFormat="1" applyFont="1" applyBorder="1" applyAlignment="1">
      <alignment horizontal="left" vertical="center"/>
    </xf>
    <xf numFmtId="2" fontId="47" fillId="6" borderId="8" xfId="0" applyNumberFormat="1" applyFont="1" applyFill="1" applyBorder="1" applyAlignment="1">
      <alignment horizontal="left" vertical="center"/>
    </xf>
    <xf numFmtId="0" fontId="47"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7" fillId="0" borderId="8" xfId="0" applyNumberFormat="1" applyFont="1" applyBorder="1" applyAlignment="1">
      <alignment horizontal="left" vertical="center"/>
    </xf>
    <xf numFmtId="49" fontId="47" fillId="6" borderId="8" xfId="0" applyNumberFormat="1" applyFont="1" applyFill="1" applyBorder="1" applyAlignment="1">
      <alignment horizontal="left" vertical="center"/>
    </xf>
    <xf numFmtId="0" fontId="47" fillId="6" borderId="9" xfId="0" applyNumberFormat="1" applyFont="1" applyFill="1" applyBorder="1" applyAlignment="1">
      <alignment horizontal="left" vertical="center"/>
    </xf>
    <xf numFmtId="0" fontId="47" fillId="2" borderId="7" xfId="0" applyFont="1" applyFill="1" applyBorder="1" applyAlignment="1">
      <alignment vertical="center"/>
    </xf>
    <xf numFmtId="0" fontId="33"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7" fillId="0" borderId="9"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7"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0" borderId="0" xfId="0" applyFont="1" applyFill="1"/>
    <xf numFmtId="0" fontId="50" fillId="10" borderId="7" xfId="0" applyFont="1" applyFill="1" applyBorder="1" applyAlignment="1">
      <alignment horizontal="right" vertical="center"/>
    </xf>
    <xf numFmtId="0" fontId="50" fillId="10" borderId="8" xfId="0" applyFont="1" applyFill="1" applyBorder="1" applyAlignment="1">
      <alignment horizontal="left" vertical="center"/>
    </xf>
    <xf numFmtId="0" fontId="0" fillId="6" borderId="0" xfId="0" applyFill="1" applyAlignment="1">
      <alignment horizontal="left"/>
    </xf>
    <xf numFmtId="0" fontId="0" fillId="0" borderId="0" xfId="0" applyBorder="1"/>
    <xf numFmtId="2" fontId="11" fillId="6" borderId="1" xfId="0" applyNumberFormat="1" applyFont="1" applyFill="1" applyBorder="1" applyAlignment="1">
      <alignment horizontal="center"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7" fillId="6" borderId="13" xfId="0" applyNumberFormat="1" applyFont="1" applyFill="1" applyBorder="1" applyAlignment="1">
      <alignment horizontal="center" vertical="center"/>
    </xf>
    <xf numFmtId="0" fontId="47"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1"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9" fillId="10" borderId="1" xfId="0" applyFont="1" applyFill="1" applyBorder="1" applyAlignment="1">
      <alignment horizontal="center" vertical="center"/>
    </xf>
    <xf numFmtId="0" fontId="13" fillId="0" borderId="0" xfId="0" applyFont="1" applyAlignment="1">
      <alignment vertical="center" wrapText="1"/>
    </xf>
    <xf numFmtId="2" fontId="52" fillId="2" borderId="0" xfId="0" applyNumberFormat="1" applyFont="1" applyFill="1" applyAlignment="1">
      <alignment horizontal="left"/>
    </xf>
    <xf numFmtId="2" fontId="25" fillId="2" borderId="0" xfId="0" applyNumberFormat="1" applyFont="1" applyFill="1" applyAlignment="1">
      <alignment horizontal="left" wrapText="1"/>
    </xf>
    <xf numFmtId="2" fontId="52" fillId="2" borderId="0" xfId="0" applyNumberFormat="1" applyFont="1" applyFill="1" applyAlignment="1">
      <alignment horizontal="left" wrapText="1"/>
    </xf>
    <xf numFmtId="2" fontId="52" fillId="2" borderId="0" xfId="0" applyNumberFormat="1" applyFont="1" applyFill="1" applyAlignment="1">
      <alignment horizontal="center"/>
    </xf>
    <xf numFmtId="2" fontId="5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9" fillId="10" borderId="0" xfId="0" applyFont="1" applyFill="1" applyAlignment="1">
      <alignment horizontal="center" vertical="center"/>
    </xf>
    <xf numFmtId="0" fontId="49" fillId="10" borderId="1" xfId="0" applyFont="1" applyFill="1" applyBorder="1" applyAlignment="1">
      <alignment horizontal="center" vertical="center" wrapText="1"/>
    </xf>
    <xf numFmtId="0" fontId="49" fillId="10" borderId="7" xfId="0" applyFont="1" applyFill="1" applyBorder="1" applyAlignment="1">
      <alignment vertical="center"/>
    </xf>
    <xf numFmtId="0" fontId="49" fillId="10" borderId="1" xfId="0" applyFont="1" applyFill="1" applyBorder="1" applyAlignment="1">
      <alignment vertical="center"/>
    </xf>
    <xf numFmtId="0" fontId="49"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49"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0" fontId="6" fillId="10"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0" fillId="0" borderId="0" xfId="0"/>
    <xf numFmtId="0" fontId="49"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9" fillId="6" borderId="0" xfId="0" applyFont="1" applyFill="1" applyBorder="1" applyAlignment="1">
      <alignment horizontal="right" vertical="center"/>
    </xf>
    <xf numFmtId="0" fontId="39" fillId="6" borderId="0" xfId="0" applyFont="1" applyFill="1" applyBorder="1" applyAlignment="1">
      <alignment horizontal="left" vertical="center"/>
    </xf>
    <xf numFmtId="0" fontId="39"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54" fillId="6" borderId="0" xfId="0" applyFont="1" applyFill="1" applyBorder="1" applyAlignment="1">
      <alignment horizontal="center" vertical="center"/>
    </xf>
    <xf numFmtId="0" fontId="54" fillId="6" borderId="0" xfId="0" applyFont="1" applyFill="1" applyBorder="1"/>
    <xf numFmtId="0" fontId="54"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0" fillId="11" borderId="0" xfId="0" applyFill="1" applyBorder="1"/>
    <xf numFmtId="0" fontId="39" fillId="11" borderId="0" xfId="0" applyFont="1" applyFill="1" applyBorder="1" applyAlignment="1">
      <alignment horizontal="right" vertical="center"/>
    </xf>
    <xf numFmtId="0" fontId="39" fillId="11" borderId="0" xfId="0" applyFont="1" applyFill="1" applyBorder="1" applyAlignment="1">
      <alignment vertical="center"/>
    </xf>
    <xf numFmtId="0" fontId="31" fillId="11" borderId="0" xfId="0" applyFont="1" applyFill="1" applyBorder="1" applyAlignment="1">
      <alignment vertical="center"/>
    </xf>
    <xf numFmtId="0" fontId="54" fillId="11" borderId="0" xfId="0" applyFont="1" applyFill="1" applyBorder="1"/>
    <xf numFmtId="0" fontId="55"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31"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41" fillId="6" borderId="0" xfId="0" applyNumberFormat="1" applyFont="1" applyFill="1" applyAlignment="1"/>
    <xf numFmtId="2" fontId="14" fillId="6" borderId="0" xfId="0" applyNumberFormat="1" applyFont="1" applyFill="1" applyAlignment="1"/>
    <xf numFmtId="0" fontId="40" fillId="6" borderId="0" xfId="0" applyFont="1" applyFill="1" applyAlignment="1">
      <alignment wrapText="1"/>
    </xf>
    <xf numFmtId="0" fontId="5" fillId="6" borderId="0" xfId="0" applyFont="1" applyFill="1" applyAlignment="1">
      <alignment wrapText="1"/>
    </xf>
    <xf numFmtId="0" fontId="0" fillId="6" borderId="0" xfId="0" applyFill="1"/>
    <xf numFmtId="0" fontId="0" fillId="6" borderId="0" xfId="0" applyFill="1" applyBorder="1"/>
    <xf numFmtId="0" fontId="38" fillId="6" borderId="0" xfId="0" applyFont="1" applyFill="1" applyBorder="1" applyAlignment="1">
      <alignment vertical="center" wrapText="1"/>
    </xf>
    <xf numFmtId="2" fontId="14" fillId="2" borderId="0" xfId="0" applyNumberFormat="1" applyFont="1" applyFill="1" applyBorder="1" applyAlignment="1"/>
    <xf numFmtId="2" fontId="52"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9" fillId="10" borderId="0" xfId="0" applyFont="1" applyFill="1" applyBorder="1" applyAlignment="1">
      <alignment horizontal="center" vertical="center"/>
    </xf>
    <xf numFmtId="0" fontId="11" fillId="9" borderId="0" xfId="0" applyFont="1" applyFill="1" applyBorder="1" applyAlignment="1">
      <alignment horizontal="center" vertical="center"/>
    </xf>
    <xf numFmtId="2" fontId="14" fillId="11" borderId="0" xfId="0" applyNumberFormat="1" applyFont="1" applyFill="1" applyBorder="1" applyAlignment="1"/>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47" fillId="2" borderId="7" xfId="0" applyNumberFormat="1"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left" vertical="center"/>
    </xf>
    <xf numFmtId="1" fontId="48" fillId="2" borderId="7" xfId="0" applyNumberFormat="1" applyFont="1" applyFill="1" applyBorder="1" applyAlignment="1">
      <alignment horizontal="center" vertical="center"/>
    </xf>
    <xf numFmtId="1" fontId="47" fillId="2" borderId="1" xfId="0" applyNumberFormat="1" applyFont="1" applyFill="1" applyBorder="1" applyAlignment="1">
      <alignment horizontal="center" vertical="center" wrapText="1"/>
    </xf>
    <xf numFmtId="1" fontId="47" fillId="2" borderId="1" xfId="0" applyNumberFormat="1" applyFont="1" applyFill="1" applyBorder="1" applyAlignment="1">
      <alignment horizontal="center" vertical="center"/>
    </xf>
    <xf numFmtId="1" fontId="48" fillId="2" borderId="13" xfId="0" applyNumberFormat="1" applyFont="1" applyFill="1" applyBorder="1" applyAlignment="1">
      <alignment horizontal="center" vertical="center"/>
    </xf>
    <xf numFmtId="0" fontId="48" fillId="2" borderId="1" xfId="0" applyFont="1" applyFill="1" applyBorder="1" applyAlignment="1">
      <alignment horizontal="center" vertical="center"/>
    </xf>
    <xf numFmtId="2" fontId="47" fillId="4" borderId="1" xfId="0" applyNumberFormat="1" applyFont="1" applyFill="1" applyBorder="1" applyAlignment="1">
      <alignment horizontal="center" vertical="center"/>
    </xf>
    <xf numFmtId="1" fontId="47" fillId="2" borderId="25" xfId="0" applyNumberFormat="1" applyFont="1" applyFill="1" applyBorder="1" applyAlignment="1">
      <alignment horizontal="center" vertical="center"/>
    </xf>
    <xf numFmtId="2" fontId="48" fillId="2" borderId="9" xfId="0" applyNumberFormat="1" applyFont="1" applyFill="1" applyBorder="1" applyAlignment="1">
      <alignment horizontal="center" vertical="center"/>
    </xf>
    <xf numFmtId="0" fontId="47" fillId="2" borderId="1" xfId="0" applyFont="1" applyFill="1" applyBorder="1" applyAlignment="1">
      <alignment vertical="center"/>
    </xf>
    <xf numFmtId="1" fontId="48" fillId="2" borderId="1" xfId="0" applyNumberFormat="1" applyFont="1" applyFill="1" applyBorder="1" applyAlignment="1">
      <alignment horizontal="center" vertical="center"/>
    </xf>
    <xf numFmtId="1" fontId="48" fillId="2" borderId="14" xfId="0" applyNumberFormat="1" applyFont="1" applyFill="1" applyBorder="1" applyAlignment="1">
      <alignment horizontal="center" vertical="center" wrapText="1"/>
    </xf>
    <xf numFmtId="1" fontId="47" fillId="2" borderId="9" xfId="0" applyNumberFormat="1" applyFont="1" applyFill="1" applyBorder="1" applyAlignment="1">
      <alignment horizontal="center" vertical="center"/>
    </xf>
    <xf numFmtId="0" fontId="47" fillId="2" borderId="8" xfId="0" applyFont="1" applyFill="1" applyBorder="1" applyAlignment="1">
      <alignment vertical="center"/>
    </xf>
    <xf numFmtId="0" fontId="47" fillId="2" borderId="9" xfId="0" applyFont="1" applyFill="1" applyBorder="1" applyAlignment="1">
      <alignment vertical="center"/>
    </xf>
    <xf numFmtId="0" fontId="47" fillId="2" borderId="1" xfId="0" applyNumberFormat="1" applyFont="1" applyFill="1" applyBorder="1" applyAlignment="1">
      <alignment horizontal="left" vertical="center" wrapText="1"/>
    </xf>
    <xf numFmtId="49" fontId="47" fillId="2" borderId="9" xfId="0" applyNumberFormat="1" applyFont="1" applyFill="1" applyBorder="1" applyAlignment="1">
      <alignment vertical="center"/>
    </xf>
    <xf numFmtId="0" fontId="47" fillId="2" borderId="8" xfId="0" applyNumberFormat="1" applyFont="1" applyFill="1" applyBorder="1" applyAlignment="1">
      <alignment vertical="center"/>
    </xf>
    <xf numFmtId="0" fontId="47" fillId="2" borderId="12" xfId="0" applyNumberFormat="1" applyFont="1" applyFill="1" applyBorder="1" applyAlignment="1">
      <alignment horizontal="center" vertical="center"/>
    </xf>
    <xf numFmtId="0" fontId="47" fillId="2" borderId="1" xfId="0" applyNumberFormat="1" applyFont="1" applyFill="1" applyBorder="1" applyAlignment="1">
      <alignment horizontal="left" vertical="center"/>
    </xf>
    <xf numFmtId="0" fontId="47" fillId="2" borderId="0" xfId="0" applyFont="1" applyFill="1" applyAlignment="1">
      <alignment vertical="center"/>
    </xf>
    <xf numFmtId="49" fontId="47" fillId="2" borderId="9" xfId="0" applyNumberFormat="1" applyFont="1" applyFill="1" applyBorder="1" applyAlignment="1">
      <alignment horizontal="left" vertical="center"/>
    </xf>
    <xf numFmtId="0" fontId="47" fillId="2" borderId="0" xfId="0" applyNumberFormat="1" applyFont="1" applyFill="1" applyAlignment="1">
      <alignment horizontal="center" vertical="center"/>
    </xf>
    <xf numFmtId="0" fontId="48" fillId="2" borderId="1" xfId="0" applyNumberFormat="1" applyFont="1" applyFill="1" applyBorder="1" applyAlignment="1">
      <alignment horizontal="center" vertical="center" wrapText="1"/>
    </xf>
    <xf numFmtId="1" fontId="48" fillId="2" borderId="7" xfId="0" applyNumberFormat="1" applyFont="1" applyFill="1" applyBorder="1" applyAlignment="1">
      <alignment horizontal="right" vertical="center"/>
    </xf>
    <xf numFmtId="2" fontId="48" fillId="2" borderId="1" xfId="0" applyNumberFormat="1" applyFont="1" applyFill="1" applyBorder="1" applyAlignment="1">
      <alignment horizontal="center" vertical="center"/>
    </xf>
    <xf numFmtId="0" fontId="25" fillId="0" borderId="9" xfId="0" applyFont="1" applyBorder="1" applyAlignment="1">
      <alignment vertical="center"/>
    </xf>
    <xf numFmtId="1" fontId="11" fillId="6" borderId="9" xfId="0" applyNumberFormat="1" applyFont="1" applyFill="1" applyBorder="1" applyAlignment="1">
      <alignment horizontal="center" vertical="center" wrapText="1"/>
    </xf>
    <xf numFmtId="0" fontId="49" fillId="10" borderId="1" xfId="0" applyFont="1" applyFill="1" applyBorder="1" applyAlignment="1">
      <alignment horizontal="center" vertical="center"/>
    </xf>
    <xf numFmtId="0" fontId="11" fillId="0" borderId="8" xfId="0" applyFont="1" applyBorder="1" applyAlignment="1">
      <alignment horizontal="center" vertical="center" wrapText="1"/>
    </xf>
    <xf numFmtId="49" fontId="22" fillId="6" borderId="8" xfId="0" applyNumberFormat="1" applyFont="1" applyFill="1" applyBorder="1" applyAlignment="1">
      <alignment horizontal="left" vertical="center"/>
    </xf>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1" fontId="11" fillId="6" borderId="29"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38" fillId="6" borderId="0" xfId="0" applyFont="1" applyFill="1" applyBorder="1" applyAlignment="1">
      <alignment horizontal="center" vertical="center" wrapText="1"/>
    </xf>
    <xf numFmtId="0" fontId="6" fillId="10" borderId="9" xfId="0" applyFont="1" applyFill="1" applyBorder="1" applyAlignment="1">
      <alignment horizontal="center" vertical="center"/>
    </xf>
    <xf numFmtId="0" fontId="2" fillId="0" borderId="0" xfId="0" applyFont="1" applyAlignment="1">
      <alignment horizontal="center"/>
    </xf>
    <xf numFmtId="0" fontId="25" fillId="0" borderId="0" xfId="0" applyFont="1" applyAlignment="1"/>
    <xf numFmtId="0" fontId="25" fillId="0" borderId="1" xfId="0" applyFont="1" applyFill="1" applyBorder="1" applyAlignment="1">
      <alignment horizontal="center" vertical="center"/>
    </xf>
    <xf numFmtId="0" fontId="47" fillId="2" borderId="1" xfId="0" applyFont="1" applyFill="1" applyBorder="1" applyAlignment="1">
      <alignment horizontal="left" vertical="center" wrapText="1"/>
    </xf>
    <xf numFmtId="49" fontId="47" fillId="2" borderId="1" xfId="0" applyNumberFormat="1" applyFont="1" applyFill="1" applyBorder="1" applyAlignment="1">
      <alignment horizontal="center" vertical="center" textRotation="90" wrapText="1"/>
    </xf>
    <xf numFmtId="49" fontId="47" fillId="2" borderId="1" xfId="0" applyNumberFormat="1" applyFont="1" applyFill="1" applyBorder="1" applyAlignment="1">
      <alignment horizontal="center" vertical="center" wrapText="1"/>
    </xf>
    <xf numFmtId="0" fontId="47" fillId="6" borderId="7" xfId="0" applyFont="1" applyFill="1" applyBorder="1" applyAlignment="1">
      <alignment horizontal="left" vertical="center" wrapText="1"/>
    </xf>
    <xf numFmtId="0" fontId="47" fillId="2" borderId="12" xfId="0" applyNumberFormat="1" applyFont="1" applyFill="1" applyBorder="1" applyAlignment="1">
      <alignment horizontal="left" vertical="center" wrapText="1"/>
    </xf>
    <xf numFmtId="2" fontId="47" fillId="2" borderId="1" xfId="0" applyNumberFormat="1" applyFont="1" applyFill="1" applyBorder="1" applyAlignment="1">
      <alignment horizontal="right" vertical="center"/>
    </xf>
    <xf numFmtId="2" fontId="47" fillId="2" borderId="13" xfId="0" applyNumberFormat="1" applyFont="1" applyFill="1" applyBorder="1" applyAlignment="1">
      <alignment horizontal="right" vertical="center"/>
    </xf>
    <xf numFmtId="2" fontId="47" fillId="2" borderId="23" xfId="0" applyNumberFormat="1" applyFont="1" applyFill="1" applyBorder="1" applyAlignment="1">
      <alignment horizontal="center" vertical="center" wrapText="1"/>
    </xf>
    <xf numFmtId="49" fontId="47" fillId="0" borderId="1" xfId="0" applyNumberFormat="1" applyFont="1" applyBorder="1" applyAlignment="1">
      <alignment horizontal="right" vertical="center"/>
    </xf>
    <xf numFmtId="2" fontId="47" fillId="0" borderId="1" xfId="0" applyNumberFormat="1" applyFont="1" applyBorder="1" applyAlignment="1">
      <alignment horizontal="left" vertical="center"/>
    </xf>
    <xf numFmtId="2" fontId="47" fillId="2" borderId="1" xfId="0" applyNumberFormat="1" applyFont="1" applyFill="1" applyBorder="1" applyAlignment="1">
      <alignment horizontal="left" vertical="center" wrapText="1"/>
    </xf>
    <xf numFmtId="0" fontId="2" fillId="0" borderId="0" xfId="0" applyFont="1" applyFill="1" applyAlignment="1">
      <alignment horizont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xf numFmtId="0" fontId="16" fillId="0" borderId="16" xfId="0" applyFont="1" applyBorder="1" applyAlignment="1">
      <alignment horizontal="left" vertical="center"/>
    </xf>
    <xf numFmtId="2" fontId="14" fillId="0" borderId="0" xfId="0" applyNumberFormat="1" applyFont="1" applyAlignment="1">
      <alignment horizontal="left"/>
    </xf>
    <xf numFmtId="2" fontId="25" fillId="0" borderId="0" xfId="0" applyNumberFormat="1" applyFont="1" applyAlignment="1">
      <alignment horizontal="left"/>
    </xf>
    <xf numFmtId="2" fontId="14" fillId="0" borderId="0" xfId="0" applyNumberFormat="1" applyFont="1" applyAlignment="1">
      <alignment horizontal="center"/>
    </xf>
    <xf numFmtId="2" fontId="13" fillId="0" borderId="0" xfId="0" applyNumberFormat="1" applyFont="1" applyAlignment="1">
      <alignment horizontal="left"/>
    </xf>
    <xf numFmtId="2" fontId="21" fillId="0" borderId="0" xfId="0" applyNumberFormat="1" applyFont="1" applyAlignment="1">
      <alignment horizontal="left"/>
    </xf>
    <xf numFmtId="2" fontId="13" fillId="0" borderId="0" xfId="0" applyNumberFormat="1" applyFont="1" applyBorder="1" applyAlignment="1">
      <alignment horizontal="center"/>
    </xf>
    <xf numFmtId="1" fontId="16" fillId="2" borderId="0"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25" fillId="2" borderId="1" xfId="0" applyNumberFormat="1" applyFont="1" applyFill="1" applyBorder="1" applyAlignment="1">
      <alignment horizontal="left" vertical="center" wrapText="1"/>
    </xf>
    <xf numFmtId="49" fontId="16" fillId="2" borderId="0"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wrapText="1"/>
    </xf>
    <xf numFmtId="0" fontId="16" fillId="2" borderId="0" xfId="0" applyFont="1" applyFill="1" applyAlignment="1">
      <alignment vertical="center" wrapText="1"/>
    </xf>
    <xf numFmtId="0" fontId="16" fillId="2" borderId="13" xfId="0" applyNumberFormat="1" applyFont="1" applyFill="1" applyBorder="1" applyAlignment="1">
      <alignment horizontal="left" vertical="center"/>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vertical="center"/>
    </xf>
    <xf numFmtId="0" fontId="16" fillId="2" borderId="8" xfId="0" applyNumberFormat="1" applyFont="1" applyFill="1" applyBorder="1" applyAlignment="1">
      <alignment vertical="center"/>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center" vertical="center" wrapText="1"/>
    </xf>
    <xf numFmtId="0" fontId="16" fillId="2" borderId="11" xfId="0" applyFont="1" applyFill="1" applyBorder="1" applyAlignment="1">
      <alignment horizontal="left" vertical="center"/>
    </xf>
    <xf numFmtId="0" fontId="25" fillId="2" borderId="15" xfId="0" applyNumberFormat="1" applyFont="1" applyFill="1" applyBorder="1" applyAlignment="1">
      <alignment horizontal="left" vertical="center" wrapText="1"/>
    </xf>
    <xf numFmtId="0" fontId="16" fillId="2" borderId="6" xfId="0" applyNumberFormat="1" applyFont="1" applyFill="1" applyBorder="1" applyAlignment="1">
      <alignment horizontal="center" vertical="center" wrapText="1"/>
    </xf>
    <xf numFmtId="0" fontId="9" fillId="0" borderId="0" xfId="0" applyNumberFormat="1" applyFont="1" applyBorder="1" applyAlignment="1"/>
    <xf numFmtId="0" fontId="25" fillId="2" borderId="0"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45" fillId="6" borderId="1"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49" fontId="14" fillId="2" borderId="20" xfId="0" applyNumberFormat="1" applyFont="1" applyFill="1" applyBorder="1" applyAlignment="1">
      <alignment horizontal="center" vertical="center" wrapText="1"/>
    </xf>
    <xf numFmtId="49" fontId="14" fillId="2" borderId="17" xfId="0" applyNumberFormat="1" applyFont="1" applyFill="1" applyBorder="1" applyAlignment="1">
      <alignment horizontal="left" vertical="center" wrapText="1"/>
    </xf>
    <xf numFmtId="49" fontId="14" fillId="2" borderId="17" xfId="0" applyNumberFormat="1" applyFont="1" applyFill="1" applyBorder="1" applyAlignment="1">
      <alignment horizontal="center" vertical="center" wrapText="1"/>
    </xf>
    <xf numFmtId="0" fontId="14" fillId="2" borderId="19" xfId="0" applyNumberFormat="1" applyFont="1" applyFill="1" applyBorder="1" applyAlignment="1">
      <alignment horizontal="left" vertical="center" wrapText="1"/>
    </xf>
    <xf numFmtId="2" fontId="14" fillId="6" borderId="1" xfId="0" applyNumberFormat="1" applyFont="1" applyFill="1" applyBorder="1" applyAlignment="1">
      <alignment horizontal="left" vertical="center"/>
    </xf>
    <xf numFmtId="1" fontId="14" fillId="6" borderId="9" xfId="0" applyNumberFormat="1" applyFont="1" applyFill="1" applyBorder="1" applyAlignment="1">
      <alignment horizontal="center" vertical="center"/>
    </xf>
    <xf numFmtId="49" fontId="14" fillId="6" borderId="1" xfId="0" applyNumberFormat="1" applyFont="1" applyFill="1" applyBorder="1" applyAlignment="1">
      <alignment vertical="center"/>
    </xf>
    <xf numFmtId="0" fontId="33" fillId="6" borderId="12" xfId="0" applyNumberFormat="1" applyFont="1" applyFill="1" applyBorder="1" applyAlignment="1">
      <alignment horizontal="left" vertical="center" wrapText="1"/>
    </xf>
    <xf numFmtId="0" fontId="14" fillId="2" borderId="7" xfId="0" applyNumberFormat="1" applyFont="1" applyFill="1" applyBorder="1" applyAlignment="1">
      <alignment horizontal="left" vertical="center" wrapText="1"/>
    </xf>
    <xf numFmtId="0" fontId="45" fillId="6" borderId="12" xfId="0" applyNumberFormat="1" applyFont="1" applyFill="1" applyBorder="1" applyAlignment="1">
      <alignment horizontal="center" vertical="center" wrapText="1"/>
    </xf>
    <xf numFmtId="0" fontId="41" fillId="2" borderId="23" xfId="0" applyNumberFormat="1" applyFont="1" applyFill="1" applyBorder="1" applyAlignment="1">
      <alignment horizontal="left" vertical="center" wrapText="1"/>
    </xf>
    <xf numFmtId="0" fontId="14" fillId="6" borderId="12" xfId="0" applyNumberFormat="1" applyFont="1" applyFill="1" applyBorder="1" applyAlignment="1">
      <alignment vertical="center" wrapText="1"/>
    </xf>
    <xf numFmtId="2" fontId="14" fillId="2" borderId="30" xfId="0" applyNumberFormat="1" applyFont="1" applyFill="1" applyBorder="1" applyAlignment="1">
      <alignment horizontal="center" vertical="center"/>
    </xf>
    <xf numFmtId="2" fontId="14" fillId="2" borderId="31" xfId="0" applyNumberFormat="1" applyFont="1" applyFill="1" applyBorder="1" applyAlignment="1">
      <alignment vertical="center"/>
    </xf>
    <xf numFmtId="0" fontId="14" fillId="6" borderId="13" xfId="0" applyFont="1" applyFill="1" applyBorder="1" applyAlignment="1">
      <alignment vertical="center"/>
    </xf>
    <xf numFmtId="0" fontId="45" fillId="6" borderId="23" xfId="0" applyFont="1" applyFill="1" applyBorder="1" applyAlignment="1">
      <alignment horizontal="center" vertical="center" wrapText="1"/>
    </xf>
    <xf numFmtId="0" fontId="14" fillId="0" borderId="12" xfId="0" applyFont="1" applyBorder="1" applyAlignment="1">
      <alignment horizontal="center" vertical="center"/>
    </xf>
    <xf numFmtId="0" fontId="56" fillId="0" borderId="1" xfId="0" applyFont="1" applyFill="1" applyBorder="1" applyAlignment="1">
      <alignment vertical="center"/>
    </xf>
    <xf numFmtId="1" fontId="14" fillId="2" borderId="1" xfId="0" applyNumberFormat="1" applyFont="1" applyFill="1" applyBorder="1" applyAlignment="1">
      <alignment horizontal="center" vertical="center"/>
    </xf>
    <xf numFmtId="0" fontId="14" fillId="2" borderId="7" xfId="0" applyNumberFormat="1" applyFont="1" applyFill="1" applyBorder="1" applyAlignment="1">
      <alignment horizontal="right" vertical="center"/>
    </xf>
    <xf numFmtId="0" fontId="14" fillId="2" borderId="17" xfId="0" applyNumberFormat="1" applyFont="1" applyFill="1" applyBorder="1" applyAlignment="1">
      <alignment horizontal="left" vertical="center"/>
    </xf>
    <xf numFmtId="0" fontId="14" fillId="2" borderId="19" xfId="0" applyNumberFormat="1" applyFont="1" applyFill="1" applyBorder="1" applyAlignment="1">
      <alignment horizontal="left" vertical="center"/>
    </xf>
    <xf numFmtId="2" fontId="14" fillId="0" borderId="1" xfId="0" applyNumberFormat="1" applyFont="1" applyFill="1" applyBorder="1" applyAlignment="1">
      <alignment horizontal="center" vertical="center"/>
    </xf>
    <xf numFmtId="2" fontId="14" fillId="0" borderId="7" xfId="0" applyNumberFormat="1" applyFont="1" applyFill="1" applyBorder="1" applyAlignment="1">
      <alignment horizontal="center" vertical="center"/>
    </xf>
    <xf numFmtId="2" fontId="14" fillId="0" borderId="20" xfId="0" applyNumberFormat="1" applyFont="1" applyFill="1" applyBorder="1" applyAlignment="1">
      <alignment horizontal="center" vertical="center"/>
    </xf>
    <xf numFmtId="2" fontId="14" fillId="0" borderId="17" xfId="0" applyNumberFormat="1" applyFont="1" applyFill="1" applyBorder="1" applyAlignment="1">
      <alignment horizontal="left" vertical="center"/>
    </xf>
    <xf numFmtId="2" fontId="14" fillId="0" borderId="17" xfId="0" applyNumberFormat="1" applyFont="1" applyFill="1" applyBorder="1" applyAlignment="1">
      <alignment horizontal="center" vertical="center"/>
    </xf>
    <xf numFmtId="1" fontId="14" fillId="0" borderId="19" xfId="0" applyNumberFormat="1" applyFont="1" applyFill="1" applyBorder="1" applyAlignment="1">
      <alignment horizontal="left" vertical="center"/>
    </xf>
    <xf numFmtId="0" fontId="13" fillId="12" borderId="13" xfId="0" applyFont="1" applyFill="1" applyBorder="1" applyAlignment="1">
      <alignment horizontal="center" vertical="center"/>
    </xf>
    <xf numFmtId="0" fontId="14" fillId="2" borderId="12" xfId="0" applyFont="1" applyFill="1" applyBorder="1" applyAlignment="1">
      <alignment horizontal="left" vertical="center"/>
    </xf>
    <xf numFmtId="1" fontId="14" fillId="2" borderId="7" xfId="0" applyNumberFormat="1" applyFont="1" applyFill="1" applyBorder="1" applyAlignment="1">
      <alignment horizontal="right" vertical="center"/>
    </xf>
    <xf numFmtId="2" fontId="14" fillId="2" borderId="17" xfId="0" applyNumberFormat="1" applyFont="1" applyFill="1" applyBorder="1" applyAlignment="1">
      <alignment horizontal="left" vertical="center"/>
    </xf>
    <xf numFmtId="1" fontId="14" fillId="2" borderId="26" xfId="0" applyNumberFormat="1" applyFont="1" applyFill="1" applyBorder="1" applyAlignment="1">
      <alignment horizontal="left" vertical="center"/>
    </xf>
    <xf numFmtId="2" fontId="14" fillId="2" borderId="1" xfId="0" applyNumberFormat="1" applyFont="1" applyFill="1" applyBorder="1" applyAlignment="1">
      <alignment horizontal="left" vertical="center"/>
    </xf>
    <xf numFmtId="2" fontId="14" fillId="2" borderId="7" xfId="0" applyNumberFormat="1" applyFont="1" applyFill="1" applyBorder="1" applyAlignment="1">
      <alignment horizontal="left" vertical="center"/>
    </xf>
    <xf numFmtId="49" fontId="14" fillId="2" borderId="20" xfId="0" applyNumberFormat="1" applyFont="1" applyFill="1" applyBorder="1" applyAlignment="1">
      <alignment horizontal="right" vertical="center"/>
    </xf>
    <xf numFmtId="49" fontId="14" fillId="2" borderId="17" xfId="0" applyNumberFormat="1" applyFont="1" applyFill="1" applyBorder="1" applyAlignment="1">
      <alignment horizontal="left" vertical="center"/>
    </xf>
    <xf numFmtId="49" fontId="14" fillId="2" borderId="17" xfId="0" applyNumberFormat="1" applyFont="1" applyFill="1" applyBorder="1" applyAlignment="1">
      <alignment horizontal="center" vertical="center"/>
    </xf>
    <xf numFmtId="0" fontId="14" fillId="2" borderId="8" xfId="0" applyNumberFormat="1" applyFont="1" applyFill="1" applyBorder="1" applyAlignment="1">
      <alignment horizontal="left" vertical="center" wrapText="1"/>
    </xf>
    <xf numFmtId="49" fontId="35" fillId="2" borderId="9" xfId="0" applyNumberFormat="1" applyFont="1" applyFill="1" applyBorder="1" applyAlignment="1">
      <alignment vertical="center" wrapText="1"/>
    </xf>
    <xf numFmtId="0" fontId="45" fillId="13"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wrapText="1"/>
    </xf>
    <xf numFmtId="1" fontId="45" fillId="6"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1" fontId="14" fillId="2" borderId="8" xfId="0" applyNumberFormat="1" applyFont="1" applyFill="1" applyBorder="1" applyAlignment="1">
      <alignment horizontal="right" vertical="center" wrapText="1"/>
    </xf>
    <xf numFmtId="1" fontId="14" fillId="2" borderId="9" xfId="0" applyNumberFormat="1" applyFont="1" applyFill="1" applyBorder="1" applyAlignment="1">
      <alignment horizontal="left" vertical="center" wrapText="1"/>
    </xf>
    <xf numFmtId="49" fontId="14" fillId="2" borderId="20" xfId="0" applyNumberFormat="1" applyFont="1" applyFill="1" applyBorder="1" applyAlignment="1">
      <alignment horizontal="right" vertical="center" wrapText="1"/>
    </xf>
    <xf numFmtId="49" fontId="14" fillId="0" borderId="17" xfId="0" applyNumberFormat="1" applyFont="1" applyFill="1" applyBorder="1" applyAlignment="1">
      <alignment horizontal="left" vertical="center"/>
    </xf>
    <xf numFmtId="49" fontId="14" fillId="0" borderId="26" xfId="0" applyNumberFormat="1" applyFont="1" applyFill="1" applyBorder="1" applyAlignment="1">
      <alignment horizontal="right" vertical="center" wrapText="1"/>
    </xf>
    <xf numFmtId="49" fontId="14" fillId="0" borderId="8" xfId="0" applyNumberFormat="1" applyFont="1" applyFill="1" applyBorder="1" applyAlignment="1">
      <alignment horizontal="left" vertical="center"/>
    </xf>
    <xf numFmtId="0" fontId="14" fillId="0" borderId="9" xfId="0" applyNumberFormat="1" applyFont="1" applyFill="1" applyBorder="1" applyAlignment="1">
      <alignment horizontal="left" vertical="center" wrapText="1"/>
    </xf>
    <xf numFmtId="0" fontId="13" fillId="6" borderId="13" xfId="0" applyFont="1" applyFill="1" applyBorder="1" applyAlignment="1">
      <alignment horizontal="center" vertical="center"/>
    </xf>
    <xf numFmtId="0" fontId="15" fillId="2" borderId="12" xfId="0" applyFont="1" applyFill="1" applyBorder="1" applyAlignment="1">
      <alignment horizontal="left" vertical="center"/>
    </xf>
    <xf numFmtId="1" fontId="14" fillId="2" borderId="7" xfId="0" applyNumberFormat="1" applyFont="1" applyFill="1" applyBorder="1" applyAlignment="1">
      <alignment horizontal="right" vertical="center" wrapText="1"/>
    </xf>
    <xf numFmtId="0" fontId="14" fillId="2" borderId="9" xfId="0" applyFont="1" applyFill="1" applyBorder="1" applyAlignment="1">
      <alignment horizontal="left" vertical="center"/>
    </xf>
    <xf numFmtId="49" fontId="14" fillId="2" borderId="8" xfId="0" applyNumberFormat="1" applyFont="1" applyFill="1" applyBorder="1" applyAlignment="1">
      <alignment horizontal="right" vertical="center" wrapText="1"/>
    </xf>
    <xf numFmtId="49" fontId="14" fillId="2" borderId="8" xfId="0" applyNumberFormat="1" applyFont="1" applyFill="1" applyBorder="1" applyAlignment="1">
      <alignment horizontal="left" vertical="center"/>
    </xf>
    <xf numFmtId="0" fontId="14" fillId="2" borderId="9" xfId="0" applyNumberFormat="1" applyFont="1" applyFill="1" applyBorder="1" applyAlignment="1">
      <alignment horizontal="left" vertical="center" wrapText="1"/>
    </xf>
    <xf numFmtId="49" fontId="35" fillId="2" borderId="9" xfId="0" applyNumberFormat="1" applyFont="1" applyFill="1" applyBorder="1" applyAlignment="1">
      <alignment vertical="center"/>
    </xf>
    <xf numFmtId="0" fontId="57" fillId="3" borderId="1" xfId="0" applyNumberFormat="1" applyFont="1" applyFill="1" applyBorder="1" applyAlignment="1">
      <alignment horizontal="center" vertical="center"/>
    </xf>
    <xf numFmtId="0" fontId="45" fillId="6" borderId="1" xfId="0" applyFont="1" applyFill="1" applyBorder="1" applyAlignment="1">
      <alignment horizontal="center" vertical="center"/>
    </xf>
    <xf numFmtId="0" fontId="14" fillId="14"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1" fontId="14" fillId="2" borderId="7" xfId="0" applyNumberFormat="1" applyFont="1" applyFill="1" applyBorder="1" applyAlignment="1">
      <alignment horizontal="center" vertical="center"/>
    </xf>
    <xf numFmtId="0" fontId="14" fillId="0" borderId="8" xfId="0" applyFont="1" applyBorder="1" applyAlignment="1">
      <alignment vertical="center"/>
    </xf>
    <xf numFmtId="0" fontId="14" fillId="3" borderId="1" xfId="0" applyFont="1" applyFill="1" applyBorder="1" applyAlignment="1">
      <alignment vertical="center"/>
    </xf>
    <xf numFmtId="0" fontId="14" fillId="2" borderId="1" xfId="0" applyNumberFormat="1" applyFont="1" applyFill="1" applyBorder="1" applyAlignment="1">
      <alignment horizontal="center" vertical="center"/>
    </xf>
    <xf numFmtId="0" fontId="14" fillId="2" borderId="13" xfId="0" applyNumberFormat="1" applyFont="1" applyFill="1" applyBorder="1" applyAlignment="1">
      <alignment horizontal="center" vertical="center"/>
    </xf>
    <xf numFmtId="0" fontId="14" fillId="2" borderId="14" xfId="0" applyNumberFormat="1" applyFont="1" applyFill="1" applyBorder="1" applyAlignment="1">
      <alignment horizontal="center" vertical="center" wrapText="1"/>
    </xf>
    <xf numFmtId="0" fontId="14" fillId="2" borderId="12" xfId="0" applyNumberFormat="1" applyFont="1" applyFill="1" applyBorder="1" applyAlignment="1">
      <alignment horizontal="center" vertical="center"/>
    </xf>
    <xf numFmtId="1" fontId="13" fillId="2" borderId="7" xfId="0" applyNumberFormat="1" applyFont="1" applyFill="1" applyBorder="1" applyAlignment="1">
      <alignment horizontal="right" vertical="center"/>
    </xf>
    <xf numFmtId="2" fontId="15" fillId="2" borderId="1" xfId="0" applyNumberFormat="1" applyFont="1" applyFill="1" applyBorder="1" applyAlignment="1">
      <alignment horizontal="center" vertical="center"/>
    </xf>
    <xf numFmtId="0" fontId="14" fillId="2" borderId="13" xfId="0" applyFont="1" applyFill="1" applyBorder="1" applyAlignment="1">
      <alignment vertical="center"/>
    </xf>
    <xf numFmtId="0" fontId="14" fillId="2" borderId="12" xfId="0" applyFont="1" applyFill="1" applyBorder="1" applyAlignment="1">
      <alignment vertical="center"/>
    </xf>
    <xf numFmtId="1" fontId="13" fillId="2" borderId="8" xfId="0" applyNumberFormat="1" applyFont="1" applyFill="1" applyBorder="1" applyAlignment="1">
      <alignment horizontal="center" vertical="center"/>
    </xf>
    <xf numFmtId="1" fontId="13" fillId="2" borderId="23" xfId="0" applyNumberFormat="1" applyFont="1" applyFill="1" applyBorder="1" applyAlignment="1">
      <alignment horizontal="center" vertical="center" wrapText="1"/>
    </xf>
    <xf numFmtId="0" fontId="14" fillId="2" borderId="12" xfId="0" applyNumberFormat="1" applyFont="1" applyFill="1" applyBorder="1" applyAlignment="1">
      <alignment horizontal="center" vertical="center" wrapText="1"/>
    </xf>
    <xf numFmtId="0" fontId="14" fillId="2" borderId="8"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xf>
    <xf numFmtId="0" fontId="14" fillId="2" borderId="1" xfId="0" applyNumberFormat="1" applyFont="1" applyFill="1" applyBorder="1" applyAlignment="1">
      <alignment horizontal="left" vertical="center"/>
    </xf>
    <xf numFmtId="0" fontId="14" fillId="2" borderId="1" xfId="0" applyNumberFormat="1" applyFont="1" applyFill="1" applyBorder="1" applyAlignment="1">
      <alignment vertical="center"/>
    </xf>
    <xf numFmtId="0" fontId="14" fillId="2" borderId="23" xfId="0" applyNumberFormat="1" applyFont="1" applyFill="1" applyBorder="1" applyAlignment="1">
      <alignment horizontal="left" vertical="center" wrapText="1"/>
    </xf>
    <xf numFmtId="0" fontId="14" fillId="2" borderId="19" xfId="0" applyNumberFormat="1" applyFont="1" applyFill="1" applyBorder="1" applyAlignment="1">
      <alignment horizontal="right" vertical="center" wrapText="1"/>
    </xf>
    <xf numFmtId="0" fontId="14" fillId="2" borderId="26"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xf>
    <xf numFmtId="0" fontId="14" fillId="2" borderId="8" xfId="0" applyFont="1" applyFill="1" applyBorder="1" applyAlignment="1">
      <alignment vertical="center"/>
    </xf>
    <xf numFmtId="0" fontId="58" fillId="7" borderId="8" xfId="0" applyFont="1" applyFill="1" applyBorder="1" applyAlignment="1">
      <alignment vertical="center"/>
    </xf>
    <xf numFmtId="0" fontId="14" fillId="0" borderId="8" xfId="0" applyFont="1" applyFill="1" applyBorder="1" applyAlignment="1">
      <alignment vertical="center"/>
    </xf>
    <xf numFmtId="0" fontId="52" fillId="2" borderId="0" xfId="0" applyFont="1" applyFill="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right" vertical="center"/>
    </xf>
    <xf numFmtId="0" fontId="52" fillId="6" borderId="0" xfId="0" applyFont="1" applyFill="1" applyAlignment="1">
      <alignment vertical="center"/>
    </xf>
    <xf numFmtId="2" fontId="60" fillId="2" borderId="0" xfId="0" applyNumberFormat="1" applyFont="1" applyFill="1" applyAlignment="1">
      <alignment vertical="center"/>
    </xf>
    <xf numFmtId="0" fontId="52" fillId="0" borderId="0" xfId="0" applyFont="1" applyFill="1" applyAlignment="1">
      <alignment vertical="center"/>
    </xf>
    <xf numFmtId="0" fontId="61" fillId="6" borderId="0" xfId="0" applyFont="1" applyFill="1" applyAlignment="1">
      <alignment horizontal="center" vertical="center"/>
    </xf>
    <xf numFmtId="0" fontId="52" fillId="6" borderId="0" xfId="0" applyFont="1" applyFill="1" applyAlignment="1">
      <alignment horizontal="center" vertical="center"/>
    </xf>
    <xf numFmtId="49" fontId="52" fillId="6" borderId="0" xfId="0" applyNumberFormat="1" applyFont="1" applyFill="1" applyAlignment="1">
      <alignment vertical="center"/>
    </xf>
    <xf numFmtId="0" fontId="52" fillId="11" borderId="0" xfId="0" applyFont="1" applyFill="1" applyAlignment="1">
      <alignment vertical="center"/>
    </xf>
    <xf numFmtId="0" fontId="52" fillId="11" borderId="0" xfId="0" applyFont="1" applyFill="1" applyBorder="1" applyAlignment="1">
      <alignment vertical="center"/>
    </xf>
    <xf numFmtId="0" fontId="52" fillId="0" borderId="0" xfId="0" applyFont="1" applyBorder="1" applyAlignment="1">
      <alignment vertical="center"/>
    </xf>
    <xf numFmtId="0" fontId="62" fillId="0" borderId="0" xfId="0" applyFont="1"/>
    <xf numFmtId="0" fontId="52" fillId="2" borderId="0" xfId="0" applyFont="1" applyFill="1" applyBorder="1" applyAlignment="1">
      <alignment horizontal="left" vertical="center"/>
    </xf>
    <xf numFmtId="0" fontId="62" fillId="0" borderId="0" xfId="0" applyFont="1" applyAlignment="1">
      <alignment horizontal="left" wrapText="1"/>
    </xf>
    <xf numFmtId="0" fontId="62" fillId="0" borderId="0" xfId="0" applyFont="1" applyAlignment="1">
      <alignment wrapText="1"/>
    </xf>
    <xf numFmtId="0" fontId="62" fillId="0" borderId="0" xfId="0" applyFont="1" applyAlignment="1">
      <alignment horizontal="center" wrapText="1"/>
    </xf>
    <xf numFmtId="0" fontId="62" fillId="0" borderId="0" xfId="0" applyFont="1" applyAlignment="1">
      <alignment horizontal="center"/>
    </xf>
    <xf numFmtId="0" fontId="62" fillId="0" borderId="0" xfId="0" applyFont="1" applyAlignment="1">
      <alignment horizontal="left"/>
    </xf>
    <xf numFmtId="0" fontId="62" fillId="0" borderId="0" xfId="0" applyFont="1" applyAlignment="1">
      <alignment horizontal="right"/>
    </xf>
    <xf numFmtId="0" fontId="62" fillId="6" borderId="0" xfId="0" applyFont="1" applyFill="1" applyAlignment="1">
      <alignment horizontal="left"/>
    </xf>
    <xf numFmtId="0" fontId="62" fillId="0" borderId="0" xfId="0" applyFont="1" applyFill="1" applyAlignment="1">
      <alignment horizontal="center"/>
    </xf>
    <xf numFmtId="0" fontId="63" fillId="6" borderId="0" xfId="0" applyFont="1" applyFill="1"/>
    <xf numFmtId="0" fontId="62" fillId="6" borderId="0" xfId="0" applyFont="1" applyFill="1" applyBorder="1"/>
    <xf numFmtId="0" fontId="62" fillId="6" borderId="0" xfId="0" applyFont="1" applyFill="1"/>
    <xf numFmtId="0" fontId="62" fillId="11" borderId="0" xfId="0" applyFont="1" applyFill="1"/>
    <xf numFmtId="0" fontId="62" fillId="11" borderId="0" xfId="0" applyFont="1" applyFill="1" applyBorder="1"/>
    <xf numFmtId="0" fontId="62" fillId="0" borderId="0" xfId="0" applyFont="1" applyBorder="1"/>
    <xf numFmtId="1" fontId="9" fillId="2" borderId="0" xfId="0" applyNumberFormat="1" applyFont="1" applyFill="1" applyBorder="1" applyAlignment="1">
      <alignment horizontal="center"/>
    </xf>
    <xf numFmtId="0" fontId="9" fillId="0" borderId="0" xfId="0" quotePrefix="1" applyNumberFormat="1" applyFont="1" applyAlignment="1">
      <alignment horizontal="center" wrapText="1"/>
    </xf>
    <xf numFmtId="0" fontId="52" fillId="2" borderId="0" xfId="0" applyFont="1" applyFill="1" applyBorder="1" applyAlignment="1">
      <alignment horizontal="right"/>
    </xf>
    <xf numFmtId="0" fontId="9" fillId="2" borderId="0" xfId="0" applyFont="1" applyFill="1" applyBorder="1" applyAlignment="1">
      <alignment horizontal="center"/>
    </xf>
    <xf numFmtId="0" fontId="9" fillId="2" borderId="0" xfId="0" applyFont="1" applyFill="1" applyBorder="1" applyAlignment="1">
      <alignment horizontal="left"/>
    </xf>
    <xf numFmtId="0" fontId="9" fillId="2" borderId="0" xfId="0" applyFont="1" applyFill="1" applyBorder="1" applyAlignment="1">
      <alignment horizontal="right"/>
    </xf>
    <xf numFmtId="0" fontId="9" fillId="2" borderId="0" xfId="0" applyFont="1" applyFill="1" applyBorder="1" applyAlignment="1">
      <alignment horizontal="left" wrapText="1"/>
    </xf>
    <xf numFmtId="0" fontId="7" fillId="0" borderId="0" xfId="0" applyFont="1" applyAlignment="1">
      <alignment wrapText="1"/>
    </xf>
    <xf numFmtId="2" fontId="60" fillId="2" borderId="0" xfId="0" applyNumberFormat="1" applyFont="1" applyFill="1" applyBorder="1" applyAlignment="1">
      <alignment horizontal="right" vertical="center"/>
    </xf>
    <xf numFmtId="0" fontId="52" fillId="2" borderId="0" xfId="0" applyFont="1" applyFill="1" applyBorder="1" applyAlignment="1">
      <alignment horizontal="center"/>
    </xf>
    <xf numFmtId="0" fontId="52" fillId="2" borderId="0" xfId="0" applyFont="1" applyFill="1" applyBorder="1" applyAlignment="1">
      <alignment horizontal="left"/>
    </xf>
    <xf numFmtId="0" fontId="52" fillId="0" borderId="0" xfId="0" applyFont="1" applyFill="1" applyBorder="1" applyAlignment="1">
      <alignment horizontal="center"/>
    </xf>
    <xf numFmtId="0" fontId="61" fillId="6" borderId="0" xfId="0" applyFont="1" applyFill="1" applyBorder="1" applyAlignment="1">
      <alignment horizontal="right"/>
    </xf>
    <xf numFmtId="0" fontId="52" fillId="6" borderId="0" xfId="0" applyFont="1" applyFill="1" applyBorder="1" applyAlignment="1">
      <alignment horizontal="right"/>
    </xf>
    <xf numFmtId="0" fontId="52" fillId="6" borderId="0" xfId="0" applyFont="1" applyFill="1" applyBorder="1" applyAlignment="1">
      <alignment horizontal="left"/>
    </xf>
    <xf numFmtId="0" fontId="52" fillId="11" borderId="0" xfId="0" applyFont="1" applyFill="1" applyBorder="1" applyAlignment="1">
      <alignment horizontal="right"/>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13" xfId="0" applyFont="1" applyFill="1" applyBorder="1" applyAlignment="1">
      <alignment horizontal="center" vertical="center"/>
    </xf>
    <xf numFmtId="0" fontId="49" fillId="10" borderId="23"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49" fillId="10" borderId="7"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49" fillId="10" borderId="1" xfId="0" applyFont="1" applyFill="1" applyBorder="1" applyAlignment="1">
      <alignment horizontal="center" vertical="center"/>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21" fillId="0" borderId="0" xfId="0" applyFont="1" applyAlignment="1">
      <alignment horizontal="center"/>
    </xf>
    <xf numFmtId="0" fontId="13" fillId="0" borderId="0" xfId="0" applyFont="1" applyAlignment="1">
      <alignment horizontal="center"/>
    </xf>
    <xf numFmtId="0" fontId="46" fillId="0" borderId="0" xfId="0" applyFont="1" applyAlignment="1">
      <alignment horizontal="center"/>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NumberFormat="1" applyFont="1" applyAlignment="1">
      <alignment horizontal="center"/>
    </xf>
    <xf numFmtId="0" fontId="53" fillId="0" borderId="0" xfId="0" applyNumberFormat="1" applyFont="1" applyAlignment="1">
      <alignment horizontal="center" vertical="center"/>
    </xf>
    <xf numFmtId="0" fontId="13" fillId="0" borderId="0" xfId="0" applyNumberFormat="1" applyFont="1" applyBorder="1" applyAlignment="1">
      <alignment horizontal="center" vertical="top" wrapText="1"/>
    </xf>
    <xf numFmtId="0" fontId="13" fillId="0" borderId="0" xfId="0" applyNumberFormat="1" applyFont="1" applyBorder="1" applyAlignment="1">
      <alignment horizontal="center" vertical="top"/>
    </xf>
    <xf numFmtId="0" fontId="13" fillId="0" borderId="0" xfId="0" applyNumberFormat="1" applyFont="1" applyBorder="1" applyAlignment="1">
      <alignment horizontal="center" vertical="center"/>
    </xf>
    <xf numFmtId="0" fontId="38" fillId="6" borderId="0" xfId="0" applyFont="1" applyFill="1" applyBorder="1" applyAlignment="1">
      <alignment horizontal="center" vertical="center" wrapText="1"/>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49" fontId="50" fillId="10" borderId="8" xfId="0" applyNumberFormat="1" applyFont="1" applyFill="1" applyBorder="1" applyAlignment="1">
      <alignment horizontal="center" vertical="center"/>
    </xf>
    <xf numFmtId="49" fontId="50" fillId="10" borderId="9"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9" fillId="2" borderId="0" xfId="0" applyFont="1" applyFill="1" applyBorder="1" applyAlignment="1">
      <alignment horizontal="right" wrapText="1"/>
    </xf>
    <xf numFmtId="0" fontId="40"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vertical="center"/>
    </xf>
    <xf numFmtId="0" fontId="30" fillId="2" borderId="0" xfId="0" applyNumberFormat="1" applyFont="1" applyFill="1" applyBorder="1" applyAlignment="1">
      <alignment horizontal="center" vertical="center" wrapText="1"/>
    </xf>
    <xf numFmtId="0" fontId="9" fillId="0" borderId="0" xfId="0" applyNumberFormat="1" applyFont="1" applyBorder="1" applyAlignment="1">
      <alignment horizontal="center" wrapText="1"/>
    </xf>
    <xf numFmtId="0" fontId="43" fillId="0" borderId="0" xfId="0" applyFont="1" applyAlignment="1">
      <alignment horizontal="center" vertical="center"/>
    </xf>
  </cellXfs>
  <cellStyles count="1">
    <cellStyle name="Normal" xfId="0" builtinId="0"/>
  </cellStyles>
  <dxfs count="186">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98974</xdr:colOff>
      <xdr:row>2</xdr:row>
      <xdr:rowOff>4969</xdr:rowOff>
    </xdr:from>
    <xdr:to>
      <xdr:col>5</xdr:col>
      <xdr:colOff>74543</xdr:colOff>
      <xdr:row>2</xdr:row>
      <xdr:rowOff>4969</xdr:rowOff>
    </xdr:to>
    <xdr:cxnSp macro="">
      <xdr:nvCxnSpPr>
        <xdr:cNvPr id="4" name="Straight Connector 3"/>
        <xdr:cNvCxnSpPr/>
      </xdr:nvCxnSpPr>
      <xdr:spPr>
        <a:xfrm>
          <a:off x="339170" y="452230"/>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184639</xdr:colOff>
      <xdr:row>2</xdr:row>
      <xdr:rowOff>38832</xdr:rowOff>
    </xdr:from>
    <xdr:to>
      <xdr:col>63</xdr:col>
      <xdr:colOff>55685</xdr:colOff>
      <xdr:row>2</xdr:row>
      <xdr:rowOff>38832</xdr:rowOff>
    </xdr:to>
    <xdr:cxnSp macro="">
      <xdr:nvCxnSpPr>
        <xdr:cNvPr id="3" name="Straight Connector 2"/>
        <xdr:cNvCxnSpPr/>
      </xdr:nvCxnSpPr>
      <xdr:spPr>
        <a:xfrm>
          <a:off x="4299439" y="467457"/>
          <a:ext cx="15950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228599</xdr:colOff>
      <xdr:row>2</xdr:row>
      <xdr:rowOff>46159</xdr:rowOff>
    </xdr:from>
    <xdr:to>
      <xdr:col>4</xdr:col>
      <xdr:colOff>718771</xdr:colOff>
      <xdr:row>2</xdr:row>
      <xdr:rowOff>46159</xdr:rowOff>
    </xdr:to>
    <xdr:cxnSp macro="">
      <xdr:nvCxnSpPr>
        <xdr:cNvPr id="4" name="Straight Connector 3"/>
        <xdr:cNvCxnSpPr/>
      </xdr:nvCxnSpPr>
      <xdr:spPr>
        <a:xfrm>
          <a:off x="533399" y="4747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Lg%20+%20PC%202018%20th&#225;ng%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1">
          <cell r="C61"/>
          <cell r="D61"/>
          <cell r="E61"/>
          <cell r="F61"/>
          <cell r="G61"/>
          <cell r="H61"/>
        </row>
        <row r="62">
          <cell r="C62" t="str">
            <v>CHỨC VỤ</v>
          </cell>
          <cell r="D62" t="str">
            <v>PC CV</v>
          </cell>
          <cell r="E62"/>
          <cell r="F62"/>
          <cell r="G62"/>
          <cell r="H62"/>
        </row>
        <row r="63">
          <cell r="C63" t="str">
            <v>Giám đốc Học viện</v>
          </cell>
          <cell r="D63">
            <v>1.25</v>
          </cell>
          <cell r="E63"/>
          <cell r="F63"/>
          <cell r="G63"/>
          <cell r="H63"/>
        </row>
        <row r="64">
          <cell r="C64" t="str">
            <v>Phó Giám đốc Học viện</v>
          </cell>
          <cell r="D64">
            <v>1.1000000000000001</v>
          </cell>
          <cell r="E64"/>
          <cell r="F64"/>
          <cell r="G64"/>
          <cell r="H64"/>
        </row>
        <row r="65">
          <cell r="C65" t="str">
            <v>Nguyên Phó Giám đốc Học viện</v>
          </cell>
          <cell r="D65">
            <v>1.1000000000000001</v>
          </cell>
          <cell r="E65"/>
          <cell r="F65"/>
          <cell r="G65"/>
          <cell r="H65"/>
        </row>
        <row r="66">
          <cell r="C66" t="str">
            <v>Trưởng khoa</v>
          </cell>
          <cell r="D66">
            <v>1</v>
          </cell>
          <cell r="E66"/>
          <cell r="F66"/>
          <cell r="G66"/>
          <cell r="H66"/>
        </row>
        <row r="67">
          <cell r="C67" t="str">
            <v>Nguyên Trưởng khoa</v>
          </cell>
          <cell r="D67">
            <v>1</v>
          </cell>
          <cell r="E67"/>
          <cell r="F67"/>
          <cell r="G67"/>
          <cell r="H67"/>
        </row>
        <row r="68">
          <cell r="C68" t="str">
            <v>Q. Trưởng khoa</v>
          </cell>
          <cell r="D68">
            <v>1</v>
          </cell>
          <cell r="E68"/>
          <cell r="F68"/>
          <cell r="G68"/>
          <cell r="H68"/>
        </row>
        <row r="69">
          <cell r="C69" t="str">
            <v>Nguyên Q. Trưởng khoa</v>
          </cell>
          <cell r="D69">
            <v>1</v>
          </cell>
          <cell r="E69"/>
          <cell r="F69"/>
          <cell r="G69"/>
          <cell r="H69"/>
        </row>
        <row r="70">
          <cell r="C70" t="str">
            <v>Giám đốc phân viện</v>
          </cell>
          <cell r="D70">
            <v>1</v>
          </cell>
          <cell r="E70"/>
          <cell r="F70"/>
          <cell r="G70"/>
          <cell r="H70"/>
        </row>
        <row r="71">
          <cell r="C71" t="str">
            <v>Trưởng ban</v>
          </cell>
          <cell r="D71">
            <v>1</v>
          </cell>
          <cell r="E71"/>
          <cell r="F71"/>
          <cell r="G71"/>
          <cell r="H71"/>
        </row>
        <row r="72">
          <cell r="C72" t="str">
            <v>Nguyên Trưởng ban</v>
          </cell>
          <cell r="D72">
            <v>1</v>
          </cell>
          <cell r="E72"/>
          <cell r="F72"/>
          <cell r="G72"/>
          <cell r="H72"/>
        </row>
        <row r="73">
          <cell r="C73" t="str">
            <v>Tổng Biên tập</v>
          </cell>
          <cell r="D73">
            <v>1</v>
          </cell>
          <cell r="E73"/>
          <cell r="F73"/>
          <cell r="G73"/>
          <cell r="H73"/>
        </row>
        <row r="74">
          <cell r="C74" t="str">
            <v>Viện Trưởng</v>
          </cell>
          <cell r="D74">
            <v>1</v>
          </cell>
          <cell r="E74"/>
          <cell r="F74"/>
          <cell r="G74"/>
          <cell r="H74"/>
        </row>
        <row r="75">
          <cell r="C75" t="str">
            <v>Nguyên Viện Trưởng</v>
          </cell>
          <cell r="D75">
            <v>1</v>
          </cell>
          <cell r="E75"/>
          <cell r="F75"/>
          <cell r="G75"/>
          <cell r="H75"/>
        </row>
        <row r="76">
          <cell r="C76" t="str">
            <v>Giám đốc (cấp vụ)</v>
          </cell>
          <cell r="D76">
            <v>1</v>
          </cell>
          <cell r="E76"/>
          <cell r="F76"/>
          <cell r="G76"/>
          <cell r="H76"/>
        </row>
        <row r="77">
          <cell r="C77" t="str">
            <v>Chánh Văn phòng</v>
          </cell>
          <cell r="D77">
            <v>1</v>
          </cell>
          <cell r="E77"/>
          <cell r="F77"/>
          <cell r="G77"/>
          <cell r="H77"/>
        </row>
        <row r="78">
          <cell r="C78" t="str">
            <v>Phó Giám đốc Phân viện</v>
          </cell>
          <cell r="D78">
            <v>0.8</v>
          </cell>
          <cell r="E78"/>
          <cell r="F78"/>
          <cell r="G78"/>
          <cell r="H78"/>
        </row>
        <row r="79">
          <cell r="C79" t="str">
            <v>Phó Trưởng khoa</v>
          </cell>
          <cell r="D79">
            <v>0.8</v>
          </cell>
          <cell r="E79"/>
          <cell r="F79"/>
          <cell r="G79"/>
          <cell r="H79"/>
        </row>
        <row r="80">
          <cell r="C80" t="str">
            <v>Nguyên Phó Trưởng khoa</v>
          </cell>
          <cell r="D80">
            <v>0.8</v>
          </cell>
          <cell r="E80"/>
          <cell r="F80"/>
          <cell r="G80"/>
          <cell r="H80"/>
        </row>
        <row r="81">
          <cell r="C81" t="str">
            <v>Phó Trưởng ban</v>
          </cell>
          <cell r="D81">
            <v>0.8</v>
          </cell>
          <cell r="E81"/>
          <cell r="F81"/>
          <cell r="G81"/>
          <cell r="H81"/>
        </row>
        <row r="82">
          <cell r="C82" t="str">
            <v>Phó Trưởng ban (PT)</v>
          </cell>
          <cell r="D82">
            <v>0.8</v>
          </cell>
          <cell r="E82"/>
          <cell r="F82"/>
          <cell r="G82"/>
          <cell r="H82"/>
        </row>
        <row r="83">
          <cell r="C83" t="str">
            <v>Nguyên Phó Trưởng ban</v>
          </cell>
          <cell r="D83">
            <v>0.8</v>
          </cell>
          <cell r="E83"/>
          <cell r="F83"/>
          <cell r="G83"/>
          <cell r="H83"/>
        </row>
        <row r="84">
          <cell r="C84" t="str">
            <v>Phó Tổng biên tập</v>
          </cell>
          <cell r="D84">
            <v>0.8</v>
          </cell>
          <cell r="E84"/>
          <cell r="F84"/>
          <cell r="G84"/>
          <cell r="H84"/>
        </row>
        <row r="85">
          <cell r="C85" t="str">
            <v>Phó Viện trưởng</v>
          </cell>
          <cell r="D85">
            <v>0.8</v>
          </cell>
          <cell r="E85"/>
          <cell r="F85"/>
          <cell r="G85"/>
          <cell r="H85"/>
        </row>
        <row r="86">
          <cell r="C86" t="str">
            <v>Nguyên Phó Viện trưởng</v>
          </cell>
          <cell r="D86">
            <v>0.8</v>
          </cell>
          <cell r="E86"/>
          <cell r="F86"/>
          <cell r="G86"/>
          <cell r="H86"/>
        </row>
        <row r="87">
          <cell r="C87" t="str">
            <v>Phó Giám đốc (cấp vụ)</v>
          </cell>
          <cell r="D87">
            <v>0.8</v>
          </cell>
          <cell r="E87"/>
          <cell r="F87"/>
          <cell r="G87"/>
          <cell r="H87"/>
        </row>
        <row r="88">
          <cell r="C88" t="str">
            <v>Phó Chánh Văn phòng</v>
          </cell>
          <cell r="D88">
            <v>0.8</v>
          </cell>
          <cell r="E88"/>
          <cell r="F88"/>
          <cell r="G88"/>
          <cell r="H88"/>
        </row>
        <row r="89">
          <cell r="C89" t="str">
            <v>Giám đốc (cấp phòng)</v>
          </cell>
          <cell r="D89">
            <v>0.6</v>
          </cell>
          <cell r="E89"/>
          <cell r="F89"/>
          <cell r="G89"/>
          <cell r="H89"/>
        </row>
        <row r="90">
          <cell r="C90" t="str">
            <v>Chánh Văn phòng (cấp phòng)</v>
          </cell>
          <cell r="D90">
            <v>0.6</v>
          </cell>
          <cell r="E90"/>
          <cell r="F90"/>
          <cell r="G90"/>
          <cell r="H90"/>
        </row>
        <row r="91">
          <cell r="C91" t="str">
            <v>Trưởng khoa (cấp phòng)</v>
          </cell>
          <cell r="D91">
            <v>0.6</v>
          </cell>
          <cell r="E91"/>
          <cell r="F91"/>
          <cell r="G91"/>
          <cell r="H91"/>
        </row>
        <row r="92">
          <cell r="C92" t="str">
            <v>Trưởng phòng</v>
          </cell>
          <cell r="D92">
            <v>0.6</v>
          </cell>
          <cell r="E92"/>
          <cell r="F92"/>
          <cell r="G92"/>
          <cell r="H92"/>
        </row>
        <row r="93">
          <cell r="C93" t="str">
            <v>Q. Trưởng phòng</v>
          </cell>
          <cell r="D93">
            <v>0.6</v>
          </cell>
          <cell r="E93"/>
          <cell r="F93"/>
          <cell r="G93"/>
          <cell r="H93"/>
        </row>
        <row r="94">
          <cell r="C94" t="str">
            <v>Trưởng bộ môn</v>
          </cell>
          <cell r="D94">
            <v>0.6</v>
          </cell>
          <cell r="E94"/>
          <cell r="F94"/>
          <cell r="G94"/>
          <cell r="H94"/>
        </row>
        <row r="95">
          <cell r="C95" t="str">
            <v>Nguyên Trưởng bộ môn</v>
          </cell>
          <cell r="D95">
            <v>0.6</v>
          </cell>
          <cell r="E95"/>
          <cell r="F95"/>
          <cell r="G95"/>
          <cell r="H95"/>
        </row>
        <row r="96">
          <cell r="C96" t="str">
            <v>Trưởng ban (cấp phòng)</v>
          </cell>
          <cell r="D96">
            <v>0.6</v>
          </cell>
          <cell r="E96"/>
          <cell r="F96"/>
          <cell r="G96"/>
          <cell r="H96"/>
        </row>
        <row r="97">
          <cell r="C97" t="str">
            <v>Chủ nhiệm (cấp phòng)</v>
          </cell>
          <cell r="D97">
            <v>0.6</v>
          </cell>
          <cell r="E97"/>
          <cell r="F97"/>
          <cell r="G97"/>
          <cell r="H97"/>
        </row>
        <row r="98">
          <cell r="C98" t="str">
            <v>Đội Trưởng (cấp phòng)</v>
          </cell>
          <cell r="D98">
            <v>0.6</v>
          </cell>
          <cell r="E98"/>
          <cell r="F98"/>
          <cell r="G98"/>
          <cell r="H98"/>
        </row>
        <row r="99">
          <cell r="C99" t="str">
            <v>Phó Trưởng phòng</v>
          </cell>
          <cell r="D99">
            <v>0.4</v>
          </cell>
          <cell r="E99"/>
          <cell r="F99"/>
          <cell r="G99"/>
          <cell r="H99"/>
        </row>
        <row r="100">
          <cell r="C100" t="str">
            <v>Phó Trưởng phòng (PT)</v>
          </cell>
          <cell r="D100">
            <v>0.4</v>
          </cell>
          <cell r="E100"/>
          <cell r="F100"/>
          <cell r="G100"/>
          <cell r="H100"/>
        </row>
        <row r="101">
          <cell r="C101" t="str">
            <v>Phó Trưởng bộ môn</v>
          </cell>
          <cell r="D101">
            <v>0.4</v>
          </cell>
          <cell r="E101"/>
          <cell r="F101"/>
          <cell r="G101"/>
          <cell r="H101"/>
        </row>
        <row r="102">
          <cell r="C102" t="str">
            <v>Nguyên Phó Trưởng bộ môn</v>
          </cell>
          <cell r="D102">
            <v>0.4</v>
          </cell>
          <cell r="E102"/>
          <cell r="F102"/>
          <cell r="G102"/>
          <cell r="H102"/>
        </row>
        <row r="103">
          <cell r="C103" t="str">
            <v>Phó Trưởng ban (cấp phòng)</v>
          </cell>
          <cell r="D103">
            <v>0.4</v>
          </cell>
          <cell r="E103"/>
          <cell r="F103"/>
          <cell r="G103"/>
          <cell r="H103"/>
        </row>
        <row r="104">
          <cell r="C104" t="str">
            <v>Phó Trưởng ban (cấp phòng)</v>
          </cell>
          <cell r="D104">
            <v>0.4</v>
          </cell>
          <cell r="E104"/>
          <cell r="F104"/>
          <cell r="G104"/>
          <cell r="H104"/>
        </row>
        <row r="105">
          <cell r="C105" t="str">
            <v>Phó Chủ nhiệm (cấp phòng)</v>
          </cell>
          <cell r="D105">
            <v>0.4</v>
          </cell>
          <cell r="E105"/>
          <cell r="F105"/>
          <cell r="G105"/>
          <cell r="H105"/>
        </row>
        <row r="106">
          <cell r="C106" t="str">
            <v>Phó Giám đốc (cấp phòng)</v>
          </cell>
          <cell r="D106">
            <v>0.4</v>
          </cell>
          <cell r="E106"/>
          <cell r="F106"/>
          <cell r="G106"/>
          <cell r="H106"/>
        </row>
        <row r="107">
          <cell r="C107" t="str">
            <v>Phó Chánh Văn phòng (cấp phòng)</v>
          </cell>
          <cell r="D107">
            <v>0.4</v>
          </cell>
          <cell r="E107"/>
          <cell r="F107"/>
          <cell r="G107"/>
          <cell r="H107"/>
        </row>
        <row r="108">
          <cell r="C108" t="str">
            <v>Đội Phó (cấp phòng)</v>
          </cell>
          <cell r="D108">
            <v>0.4</v>
          </cell>
          <cell r="E108"/>
          <cell r="F108"/>
          <cell r="G108"/>
          <cell r="H108"/>
        </row>
        <row r="109">
          <cell r="C109"/>
          <cell r="D109"/>
          <cell r="E109"/>
          <cell r="F109"/>
          <cell r="G109"/>
          <cell r="H109"/>
        </row>
        <row r="110">
          <cell r="C110"/>
          <cell r="D110"/>
          <cell r="E110"/>
          <cell r="F110"/>
          <cell r="G110"/>
          <cell r="H110"/>
        </row>
        <row r="111">
          <cell r="C111"/>
          <cell r="D111"/>
          <cell r="E111"/>
          <cell r="F111"/>
          <cell r="G111"/>
          <cell r="H111"/>
        </row>
        <row r="112">
          <cell r="D112"/>
          <cell r="E112"/>
          <cell r="F112"/>
          <cell r="G112"/>
        </row>
        <row r="113">
          <cell r="D113"/>
          <cell r="E113"/>
          <cell r="F113"/>
          <cell r="G113"/>
        </row>
        <row r="114">
          <cell r="D114"/>
          <cell r="E114"/>
          <cell r="F114"/>
          <cell r="G114"/>
        </row>
        <row r="115">
          <cell r="D115"/>
          <cell r="E115"/>
          <cell r="F115"/>
          <cell r="G115"/>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4">
          <cell r="D124"/>
          <cell r="E124"/>
          <cell r="F124"/>
          <cell r="G124"/>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row r="128">
          <cell r="D128"/>
          <cell r="E128"/>
          <cell r="F128"/>
          <cell r="G128"/>
        </row>
        <row r="129">
          <cell r="D129"/>
          <cell r="E129"/>
          <cell r="F129"/>
          <cell r="G129"/>
        </row>
        <row r="130">
          <cell r="D130"/>
          <cell r="E130"/>
          <cell r="F130"/>
          <cell r="G130"/>
        </row>
        <row r="131">
          <cell r="D131"/>
          <cell r="E131"/>
          <cell r="F131"/>
          <cell r="G131"/>
        </row>
        <row r="132">
          <cell r="D132"/>
          <cell r="E132"/>
          <cell r="F132"/>
          <cell r="G132"/>
        </row>
        <row r="133">
          <cell r="D133"/>
          <cell r="E133"/>
          <cell r="F133"/>
          <cell r="G133"/>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75"/>
  <sheetViews>
    <sheetView tabSelected="1" view="pageBreakPreview" topLeftCell="B46" zoomScale="115" zoomScaleNormal="100" zoomScaleSheetLayoutView="115" workbookViewId="0">
      <selection activeCell="AB55" sqref="AB55:AX55"/>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50" customWidth="1"/>
    <col min="6" max="6" width="3.42578125" style="149"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0" hidden="1" customWidth="1"/>
    <col min="18" max="18" width="11.28515625" style="71" hidden="1" customWidth="1"/>
    <col min="19" max="19" width="28.5703125" style="180" customWidth="1"/>
    <col min="20" max="20" width="2.28515625" style="180" hidden="1" customWidth="1"/>
    <col min="21" max="21" width="10.7109375" style="20" hidden="1" customWidth="1"/>
    <col min="22" max="22" width="12.85546875" style="181"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5" style="26" customWidth="1"/>
    <col min="31" max="31" width="4.140625" style="182" customWidth="1"/>
    <col min="32" max="32" width="3.5703125" style="182" customWidth="1"/>
    <col min="33" max="33" width="1.28515625" style="182" customWidth="1"/>
    <col min="34" max="34" width="2.85546875" style="26" hidden="1" customWidth="1"/>
    <col min="35" max="35" width="0.7109375" style="29" hidden="1" customWidth="1"/>
    <col min="36" max="36" width="2.7109375" style="21" customWidth="1"/>
    <col min="37" max="37" width="0.7109375" style="25" customWidth="1"/>
    <col min="38" max="38" width="4.5703125" style="183" customWidth="1"/>
    <col min="39" max="39" width="4.7109375" style="183" customWidth="1"/>
    <col min="40" max="40" width="12" style="183" customWidth="1"/>
    <col min="41" max="41" width="2.85546875" style="24" customWidth="1"/>
    <col min="42" max="42" width="0.85546875" style="25" customWidth="1"/>
    <col min="43" max="43" width="5.42578125" style="322"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183" customWidth="1"/>
    <col min="51" max="51" width="6" style="325" customWidth="1"/>
    <col min="52" max="52" width="9.140625" style="184"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185" hidden="1" customWidth="1"/>
    <col min="64" max="64" width="4.7109375" style="186" hidden="1" customWidth="1"/>
    <col min="65" max="65" width="4.5703125" style="187" hidden="1" customWidth="1"/>
    <col min="66" max="66" width="2.42578125" style="5" hidden="1" customWidth="1"/>
    <col min="67" max="67" width="7" style="5" hidden="1" customWidth="1"/>
    <col min="68" max="68" width="3" style="5" hidden="1" customWidth="1"/>
    <col min="69" max="69" width="4.7109375" style="5" hidden="1" customWidth="1"/>
    <col min="70" max="70" width="5.5703125" style="188" hidden="1" customWidth="1"/>
    <col min="71" max="71" width="0.5703125" style="189" hidden="1" customWidth="1"/>
    <col min="72" max="72" width="6.42578125" style="35" hidden="1" customWidth="1"/>
    <col min="73" max="73" width="5.42578125" style="20" hidden="1" customWidth="1"/>
    <col min="74" max="74" width="8.85546875" style="33" hidden="1" customWidth="1"/>
    <col min="75" max="75" width="9.5703125" style="72" hidden="1" customWidth="1"/>
    <col min="76" max="76" width="41.28515625" style="7" hidden="1" customWidth="1"/>
    <col min="77" max="77" width="50.140625" style="7" hidden="1" customWidth="1"/>
    <col min="78" max="78" width="14" style="8" hidden="1" customWidth="1"/>
    <col min="79" max="79" width="8.5703125" style="36" hidden="1" customWidth="1"/>
    <col min="80" max="80" width="4.7109375" style="7" hidden="1" customWidth="1"/>
    <col min="81" max="81" width="4.7109375" style="5" hidden="1" customWidth="1"/>
    <col min="82" max="82" width="7.140625" style="21" hidden="1" customWidth="1"/>
    <col min="83" max="83" width="5.7109375" style="37"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80" customFormat="1" ht="18.75" customHeight="1" x14ac:dyDescent="0.3">
      <c r="A1" s="78"/>
      <c r="B1" s="534" t="s">
        <v>63</v>
      </c>
      <c r="C1" s="534"/>
      <c r="D1" s="534"/>
      <c r="E1" s="534"/>
      <c r="F1" s="534"/>
      <c r="G1" s="534"/>
      <c r="H1" s="534"/>
      <c r="I1" s="534"/>
      <c r="J1" s="534"/>
      <c r="K1" s="534"/>
      <c r="L1" s="534"/>
      <c r="M1" s="534"/>
      <c r="N1" s="534"/>
      <c r="O1" s="534"/>
      <c r="P1" s="534"/>
      <c r="Q1" s="534"/>
      <c r="R1" s="534"/>
      <c r="S1" s="79"/>
      <c r="T1" s="79"/>
      <c r="U1" s="141"/>
      <c r="V1" s="737" t="s">
        <v>14</v>
      </c>
      <c r="W1" s="737"/>
      <c r="X1" s="737"/>
      <c r="Y1" s="737"/>
      <c r="Z1" s="737"/>
      <c r="AA1" s="737"/>
      <c r="AB1" s="737"/>
      <c r="AC1" s="737"/>
      <c r="AD1" s="737"/>
      <c r="AE1" s="737"/>
      <c r="AF1" s="737"/>
      <c r="AG1" s="737"/>
      <c r="AH1" s="737"/>
      <c r="AI1" s="737"/>
      <c r="AJ1" s="737"/>
      <c r="AK1" s="737"/>
      <c r="AL1" s="737"/>
      <c r="AM1" s="737"/>
      <c r="AN1" s="737"/>
      <c r="AO1" s="737"/>
      <c r="AP1" s="737"/>
      <c r="AQ1" s="737"/>
      <c r="AR1" s="79"/>
      <c r="AS1" s="79"/>
      <c r="AT1" s="79"/>
      <c r="AU1" s="312"/>
      <c r="AV1" s="79"/>
      <c r="AW1" s="312"/>
      <c r="AX1" s="79"/>
      <c r="AY1" s="240"/>
      <c r="BV1" s="137"/>
      <c r="BW1" s="137"/>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80" customFormat="1" x14ac:dyDescent="0.3">
      <c r="A2" s="78"/>
      <c r="B2" s="737" t="s">
        <v>154</v>
      </c>
      <c r="C2" s="737"/>
      <c r="D2" s="737"/>
      <c r="E2" s="737"/>
      <c r="F2" s="737"/>
      <c r="G2" s="737"/>
      <c r="H2" s="737"/>
      <c r="I2" s="737"/>
      <c r="J2" s="737"/>
      <c r="K2" s="737"/>
      <c r="L2" s="737"/>
      <c r="M2" s="737"/>
      <c r="N2" s="737"/>
      <c r="O2" s="737"/>
      <c r="P2" s="737"/>
      <c r="Q2" s="737"/>
      <c r="R2" s="737"/>
      <c r="S2" s="79"/>
      <c r="T2" s="79"/>
      <c r="U2" s="141"/>
      <c r="V2" s="738" t="s">
        <v>15</v>
      </c>
      <c r="W2" s="738"/>
      <c r="X2" s="738"/>
      <c r="Y2" s="738"/>
      <c r="Z2" s="738"/>
      <c r="AA2" s="738"/>
      <c r="AB2" s="738"/>
      <c r="AC2" s="738"/>
      <c r="AD2" s="738"/>
      <c r="AE2" s="738"/>
      <c r="AF2" s="738"/>
      <c r="AG2" s="738"/>
      <c r="AH2" s="738"/>
      <c r="AI2" s="738"/>
      <c r="AJ2" s="738"/>
      <c r="AK2" s="738"/>
      <c r="AL2" s="738"/>
      <c r="AM2" s="738"/>
      <c r="AN2" s="738"/>
      <c r="AO2" s="738"/>
      <c r="AP2" s="738"/>
      <c r="AQ2" s="738"/>
      <c r="AR2" s="79"/>
      <c r="AS2" s="79"/>
      <c r="AT2" s="79"/>
      <c r="AU2" s="312"/>
      <c r="AV2" s="79"/>
      <c r="AW2" s="312"/>
      <c r="AX2" s="79"/>
      <c r="AY2" s="240"/>
      <c r="BV2" s="137"/>
      <c r="BW2" s="137"/>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56" customFormat="1" ht="25.5" customHeight="1" x14ac:dyDescent="0.25">
      <c r="A3" s="69"/>
      <c r="B3" s="69"/>
      <c r="C3" s="69"/>
      <c r="D3" s="151"/>
      <c r="E3" s="69"/>
      <c r="F3" s="152"/>
      <c r="G3" s="69"/>
      <c r="H3" s="69"/>
      <c r="I3" s="69"/>
      <c r="J3" s="69"/>
      <c r="K3" s="69"/>
      <c r="L3" s="69"/>
      <c r="M3" s="69"/>
      <c r="N3" s="69"/>
      <c r="O3" s="69"/>
      <c r="P3" s="69"/>
      <c r="Q3" s="151"/>
      <c r="R3" s="153"/>
      <c r="S3" s="154"/>
      <c r="T3" s="154"/>
      <c r="U3" s="155"/>
      <c r="V3" s="739" t="s">
        <v>304</v>
      </c>
      <c r="W3" s="739"/>
      <c r="X3" s="739"/>
      <c r="Y3" s="739"/>
      <c r="Z3" s="739"/>
      <c r="AA3" s="739"/>
      <c r="AB3" s="739"/>
      <c r="AC3" s="739"/>
      <c r="AD3" s="739"/>
      <c r="AE3" s="739"/>
      <c r="AF3" s="739"/>
      <c r="AG3" s="739"/>
      <c r="AH3" s="739"/>
      <c r="AI3" s="739"/>
      <c r="AJ3" s="739"/>
      <c r="AK3" s="739"/>
      <c r="AL3" s="739"/>
      <c r="AM3" s="739"/>
      <c r="AN3" s="739"/>
      <c r="AO3" s="739"/>
      <c r="AP3" s="739"/>
      <c r="AQ3" s="739"/>
      <c r="AR3" s="176"/>
      <c r="AS3" s="176"/>
      <c r="AT3" s="176"/>
      <c r="AU3" s="313"/>
      <c r="AV3" s="176"/>
      <c r="AW3" s="313"/>
      <c r="AX3" s="176"/>
      <c r="AY3" s="323"/>
      <c r="AZ3" s="176"/>
      <c r="BA3" s="176"/>
      <c r="BB3" s="176"/>
      <c r="BC3" s="176"/>
      <c r="BD3" s="176"/>
      <c r="BE3" s="176"/>
      <c r="BF3" s="176"/>
      <c r="BG3" s="176"/>
      <c r="BH3" s="176"/>
      <c r="BI3" s="176"/>
      <c r="BJ3" s="176"/>
      <c r="BK3" s="176"/>
      <c r="BL3" s="176"/>
      <c r="BM3" s="176"/>
      <c r="BN3" s="176"/>
      <c r="BO3" s="176"/>
      <c r="BP3" s="176"/>
      <c r="BQ3" s="176"/>
      <c r="BR3" s="176"/>
      <c r="BS3" s="176"/>
      <c r="BU3" s="176"/>
      <c r="BV3" s="157"/>
      <c r="BW3" s="157"/>
      <c r="BY3" s="158"/>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row>
    <row r="4" spans="1:219" s="369" customFormat="1" ht="57" customHeight="1" x14ac:dyDescent="0.3">
      <c r="A4" s="364"/>
      <c r="B4" s="740" t="s">
        <v>299</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361"/>
      <c r="BA4" s="361"/>
      <c r="BB4" s="361"/>
      <c r="BC4" s="361"/>
      <c r="BD4" s="361"/>
      <c r="BE4" s="361"/>
      <c r="BF4" s="361"/>
      <c r="BG4" s="361"/>
      <c r="BH4" s="361"/>
      <c r="BI4" s="361"/>
      <c r="BJ4" s="361"/>
      <c r="BK4" s="361"/>
      <c r="BL4" s="361"/>
      <c r="BM4" s="361"/>
      <c r="BN4" s="361"/>
      <c r="BO4" s="361"/>
      <c r="BP4" s="361"/>
      <c r="BQ4" s="361"/>
      <c r="BR4" s="361"/>
      <c r="BS4" s="361"/>
      <c r="BT4" s="361"/>
      <c r="BU4" s="361"/>
      <c r="BV4" s="365"/>
      <c r="BW4" s="366"/>
      <c r="BX4" s="367"/>
      <c r="BY4" s="368"/>
      <c r="FP4" s="482"/>
      <c r="FQ4" s="482"/>
      <c r="FR4" s="482"/>
      <c r="FS4" s="482"/>
      <c r="FT4" s="482"/>
      <c r="FU4" s="482"/>
      <c r="FV4" s="482"/>
      <c r="FW4" s="482"/>
      <c r="FX4" s="482"/>
      <c r="FY4" s="482"/>
      <c r="FZ4" s="482"/>
      <c r="GA4" s="482"/>
      <c r="GB4" s="482"/>
      <c r="GC4" s="482"/>
      <c r="GD4" s="482"/>
      <c r="GE4" s="482"/>
      <c r="GF4" s="482"/>
      <c r="GG4" s="482"/>
      <c r="GH4" s="482"/>
      <c r="GI4" s="482"/>
      <c r="GJ4" s="482"/>
      <c r="GK4" s="482"/>
      <c r="GL4" s="482"/>
      <c r="GM4" s="482"/>
      <c r="GN4" s="482"/>
      <c r="GO4" s="482"/>
      <c r="GP4" s="482"/>
      <c r="GQ4" s="482"/>
      <c r="GR4" s="482"/>
      <c r="GS4" s="482"/>
      <c r="GT4" s="482"/>
      <c r="GU4" s="482"/>
      <c r="GV4" s="482"/>
      <c r="GW4" s="482"/>
      <c r="GX4" s="482"/>
      <c r="GY4" s="482"/>
      <c r="GZ4" s="482"/>
      <c r="HA4" s="482"/>
      <c r="HB4" s="482"/>
      <c r="HC4" s="482"/>
      <c r="HD4" s="482"/>
      <c r="HE4" s="482"/>
      <c r="HF4" s="482"/>
      <c r="HG4" s="482"/>
      <c r="HH4" s="482"/>
      <c r="HI4" s="482"/>
      <c r="HJ4" s="482"/>
      <c r="HK4" s="482"/>
    </row>
    <row r="5" spans="1:219" s="225" customFormat="1" ht="20.25" customHeight="1" x14ac:dyDescent="0.25">
      <c r="A5" s="197"/>
      <c r="B5" s="198" t="s">
        <v>99</v>
      </c>
      <c r="C5" s="197"/>
      <c r="D5" s="199"/>
      <c r="E5" s="200"/>
      <c r="F5" s="201"/>
      <c r="G5" s="199"/>
      <c r="H5" s="199"/>
      <c r="I5" s="199"/>
      <c r="J5" s="200"/>
      <c r="K5" s="200"/>
      <c r="L5" s="200"/>
      <c r="M5" s="200"/>
      <c r="N5" s="200"/>
      <c r="O5" s="200"/>
      <c r="P5" s="200"/>
      <c r="Q5" s="198"/>
      <c r="R5" s="198"/>
      <c r="S5" s="198"/>
      <c r="T5" s="202"/>
      <c r="U5" s="202"/>
      <c r="V5" s="202"/>
      <c r="W5" s="203"/>
      <c r="X5" s="204"/>
      <c r="Y5" s="205"/>
      <c r="Z5" s="204"/>
      <c r="AA5" s="204"/>
      <c r="AB5" s="199"/>
      <c r="AC5" s="207"/>
      <c r="AD5" s="207"/>
      <c r="AE5" s="208"/>
      <c r="AF5" s="209"/>
      <c r="AG5" s="206"/>
      <c r="AH5" s="207"/>
      <c r="AI5" s="207"/>
      <c r="AJ5" s="210"/>
      <c r="AK5" s="200"/>
      <c r="AL5" s="211"/>
      <c r="AM5" s="211"/>
      <c r="AN5" s="212"/>
      <c r="AO5" s="212"/>
      <c r="AP5" s="213"/>
      <c r="AQ5" s="319"/>
      <c r="AR5" s="214"/>
      <c r="AS5" s="215"/>
      <c r="AT5" s="199"/>
      <c r="AU5" s="207"/>
      <c r="AV5" s="216"/>
      <c r="AW5" s="198"/>
      <c r="AX5" s="217"/>
      <c r="AY5" s="63"/>
      <c r="AZ5" s="218"/>
      <c r="BA5" s="208"/>
      <c r="BB5" s="206"/>
      <c r="BC5" s="217"/>
      <c r="BD5" s="208"/>
      <c r="BE5" s="219"/>
      <c r="BF5" s="220"/>
      <c r="BG5" s="221"/>
      <c r="BH5" s="206"/>
      <c r="BI5" s="206"/>
      <c r="BJ5" s="222"/>
      <c r="BK5" s="222"/>
      <c r="BL5" s="218"/>
      <c r="BM5" s="209"/>
      <c r="BN5" s="223"/>
      <c r="BO5" s="223"/>
      <c r="BP5" s="59"/>
      <c r="BQ5" s="224"/>
      <c r="BR5" s="224"/>
      <c r="BS5" s="224"/>
      <c r="BT5" s="224"/>
      <c r="BU5" s="61"/>
      <c r="BW5" s="59"/>
      <c r="BX5" s="59"/>
      <c r="BY5" s="59"/>
      <c r="BZ5" s="5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row>
    <row r="6" spans="1:219" s="225" customFormat="1" ht="15.75" x14ac:dyDescent="0.25">
      <c r="A6" s="197"/>
      <c r="B6" s="198"/>
      <c r="C6" s="197"/>
      <c r="D6" s="200" t="s">
        <v>76</v>
      </c>
      <c r="E6" s="200" t="s">
        <v>98</v>
      </c>
      <c r="F6" s="201"/>
      <c r="G6" s="199"/>
      <c r="H6" s="199"/>
      <c r="I6" s="199"/>
      <c r="J6" s="200"/>
      <c r="K6" s="200"/>
      <c r="L6" s="200"/>
      <c r="M6" s="200"/>
      <c r="N6" s="200"/>
      <c r="O6" s="200"/>
      <c r="P6" s="200"/>
      <c r="Q6" s="198"/>
      <c r="R6" s="198"/>
      <c r="S6" s="198"/>
      <c r="T6" s="202"/>
      <c r="U6" s="202"/>
      <c r="V6" s="202"/>
      <c r="W6" s="203"/>
      <c r="X6" s="204"/>
      <c r="Y6" s="205"/>
      <c r="Z6" s="204"/>
      <c r="AA6" s="204"/>
      <c r="AB6" s="199"/>
      <c r="AC6" s="207"/>
      <c r="AD6" s="207"/>
      <c r="AE6" s="208"/>
      <c r="AF6" s="209"/>
      <c r="AG6" s="206"/>
      <c r="AH6" s="207"/>
      <c r="AI6" s="207"/>
      <c r="AJ6" s="210"/>
      <c r="AK6" s="200"/>
      <c r="AL6" s="211"/>
      <c r="AM6" s="211"/>
      <c r="AN6" s="212"/>
      <c r="AO6" s="212"/>
      <c r="AP6" s="213"/>
      <c r="AQ6" s="319"/>
      <c r="AR6" s="214"/>
      <c r="AS6" s="215"/>
      <c r="AT6" s="199"/>
      <c r="AU6" s="207"/>
      <c r="AV6" s="216"/>
      <c r="AW6" s="198"/>
      <c r="AX6" s="217"/>
      <c r="AY6" s="63"/>
      <c r="AZ6" s="218"/>
      <c r="BA6" s="208"/>
      <c r="BB6" s="206"/>
      <c r="BC6" s="217"/>
      <c r="BD6" s="208"/>
      <c r="BE6" s="219"/>
      <c r="BF6" s="220"/>
      <c r="BG6" s="221"/>
      <c r="BH6" s="206"/>
      <c r="BI6" s="206"/>
      <c r="BJ6" s="222"/>
      <c r="BK6" s="222"/>
      <c r="BL6" s="218"/>
      <c r="BM6" s="209"/>
      <c r="BN6" s="223"/>
      <c r="BO6" s="223"/>
      <c r="BP6" s="59"/>
      <c r="BQ6" s="224"/>
      <c r="BR6" s="224"/>
      <c r="BS6" s="224"/>
      <c r="BT6" s="224"/>
      <c r="BU6" s="61"/>
      <c r="BW6" s="59"/>
      <c r="BX6" s="59"/>
      <c r="BY6" s="59"/>
      <c r="BZ6" s="5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row>
    <row r="7" spans="1:219" s="223" customFormat="1" thickBot="1" x14ac:dyDescent="0.3">
      <c r="A7" s="226"/>
      <c r="B7" s="211"/>
      <c r="C7" s="197"/>
      <c r="D7" s="199" t="s">
        <v>79</v>
      </c>
      <c r="E7" s="199" t="s">
        <v>300</v>
      </c>
      <c r="F7" s="199"/>
      <c r="G7" s="199"/>
      <c r="H7" s="199"/>
      <c r="I7" s="199"/>
      <c r="J7" s="199"/>
      <c r="K7" s="199"/>
      <c r="L7" s="199"/>
      <c r="M7" s="199"/>
      <c r="N7" s="199"/>
      <c r="O7" s="199"/>
      <c r="P7" s="199"/>
      <c r="Q7" s="199"/>
      <c r="R7" s="199"/>
      <c r="S7" s="199"/>
      <c r="T7" s="199"/>
      <c r="U7" s="199"/>
      <c r="V7" s="199"/>
      <c r="W7" s="199"/>
      <c r="X7" s="199"/>
      <c r="Y7" s="199"/>
      <c r="Z7" s="199"/>
      <c r="AA7" s="199"/>
      <c r="AB7" s="199"/>
      <c r="AC7" s="198"/>
      <c r="AD7" s="199"/>
      <c r="AE7" s="199"/>
      <c r="AF7" s="199"/>
      <c r="AG7" s="206"/>
      <c r="AH7" s="207"/>
      <c r="AI7" s="207"/>
      <c r="AJ7" s="227"/>
      <c r="AK7" s="314"/>
      <c r="AL7" s="228"/>
      <c r="AM7" s="228"/>
      <c r="AN7" s="228"/>
      <c r="AO7" s="229"/>
      <c r="AP7" s="230"/>
      <c r="AQ7" s="319"/>
      <c r="AR7" s="214"/>
      <c r="AS7" s="215"/>
      <c r="AT7" s="199"/>
      <c r="AU7" s="207"/>
      <c r="AV7" s="211"/>
      <c r="AW7" s="198"/>
      <c r="AX7" s="217"/>
      <c r="AY7" s="63"/>
      <c r="AZ7" s="208"/>
      <c r="BA7" s="208"/>
      <c r="BB7" s="206"/>
      <c r="BC7" s="217"/>
      <c r="BD7" s="208"/>
      <c r="BE7" s="217"/>
      <c r="BF7" s="220"/>
      <c r="BG7" s="221"/>
      <c r="BH7" s="206"/>
      <c r="BI7" s="206"/>
      <c r="BJ7" s="222"/>
      <c r="BK7" s="222"/>
      <c r="BL7" s="208"/>
      <c r="BM7" s="209"/>
      <c r="BQ7" s="224"/>
      <c r="BR7" s="224"/>
      <c r="BS7" s="224"/>
      <c r="BT7" s="224"/>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row>
    <row r="8" spans="1:219" s="238" customFormat="1" ht="15" customHeight="1" thickTop="1" x14ac:dyDescent="0.25">
      <c r="A8" s="199"/>
      <c r="B8" s="211" t="s">
        <v>9</v>
      </c>
      <c r="C8" s="197"/>
      <c r="D8" s="198" t="s">
        <v>77</v>
      </c>
      <c r="E8" s="198" t="s">
        <v>155</v>
      </c>
      <c r="F8" s="201"/>
      <c r="G8" s="199"/>
      <c r="H8" s="199"/>
      <c r="I8" s="199"/>
      <c r="J8" s="200"/>
      <c r="K8" s="200"/>
      <c r="L8" s="200"/>
      <c r="M8" s="200"/>
      <c r="N8" s="200"/>
      <c r="O8" s="200"/>
      <c r="P8" s="200"/>
      <c r="Q8" s="198"/>
      <c r="R8" s="198"/>
      <c r="S8" s="198"/>
      <c r="T8" s="202"/>
      <c r="U8" s="202"/>
      <c r="V8" s="202"/>
      <c r="W8" s="203"/>
      <c r="X8" s="204"/>
      <c r="Y8" s="205"/>
      <c r="Z8" s="204"/>
      <c r="AA8" s="204"/>
      <c r="AB8" s="199"/>
      <c r="AC8" s="207"/>
      <c r="AD8" s="207"/>
      <c r="AE8" s="208"/>
      <c r="AF8" s="209"/>
      <c r="AG8" s="206"/>
      <c r="AH8" s="207"/>
      <c r="AI8" s="207"/>
      <c r="AJ8" s="232"/>
      <c r="AK8" s="213"/>
      <c r="AL8" s="212"/>
      <c r="AM8" s="212"/>
      <c r="AN8" s="212"/>
      <c r="AO8" s="233"/>
      <c r="AP8" s="213"/>
      <c r="AQ8" s="319"/>
      <c r="AR8" s="214"/>
      <c r="AS8" s="215"/>
      <c r="AT8" s="199"/>
      <c r="AU8" s="207"/>
      <c r="AV8" s="216"/>
      <c r="AW8" s="198"/>
      <c r="AX8" s="217"/>
      <c r="AY8" s="63"/>
      <c r="AZ8" s="218"/>
      <c r="BA8" s="208"/>
      <c r="BB8" s="206"/>
      <c r="BC8" s="217"/>
      <c r="BD8" s="208"/>
      <c r="BE8" s="219"/>
      <c r="BF8" s="220"/>
      <c r="BG8" s="221"/>
      <c r="BH8" s="206"/>
      <c r="BI8" s="206"/>
      <c r="BJ8" s="222"/>
      <c r="BK8" s="222"/>
      <c r="BL8" s="218"/>
      <c r="BM8" s="209"/>
      <c r="BN8" s="223"/>
      <c r="BO8" s="234"/>
      <c r="BP8" s="234"/>
      <c r="BQ8" s="234"/>
      <c r="BR8" s="234"/>
      <c r="BS8" s="235"/>
      <c r="BT8" s="234"/>
      <c r="BU8" s="236"/>
      <c r="BV8" s="236"/>
      <c r="BW8" s="237"/>
      <c r="BX8" s="237"/>
      <c r="BY8" s="237"/>
      <c r="BZ8" s="237"/>
      <c r="CA8" s="237"/>
      <c r="CT8" s="234"/>
      <c r="CU8" s="231"/>
      <c r="CV8" s="239"/>
      <c r="CW8" s="235"/>
      <c r="CX8" s="239"/>
      <c r="CY8" s="239"/>
      <c r="CZ8" s="234"/>
      <c r="DA8" s="234"/>
      <c r="DB8" s="234"/>
      <c r="DC8" s="239"/>
      <c r="DD8" s="239"/>
      <c r="DE8" s="234"/>
      <c r="DF8" s="234"/>
    </row>
    <row r="9" spans="1:219" s="170" customFormat="1" ht="18" customHeight="1" x14ac:dyDescent="0.3">
      <c r="A9" s="199"/>
      <c r="B9" s="126"/>
      <c r="C9" s="126"/>
      <c r="D9" s="370" t="s">
        <v>33</v>
      </c>
      <c r="E9" s="177" t="s">
        <v>33</v>
      </c>
      <c r="F9" s="39">
        <v>34</v>
      </c>
      <c r="G9" s="41"/>
      <c r="H9" s="41"/>
      <c r="I9" s="42"/>
      <c r="J9" s="43"/>
      <c r="K9" s="43"/>
      <c r="L9" s="43"/>
      <c r="M9" s="40" t="s">
        <v>161</v>
      </c>
      <c r="N9" s="43"/>
      <c r="O9" s="43"/>
      <c r="P9" s="43"/>
      <c r="Q9" s="371" t="s">
        <v>72</v>
      </c>
      <c r="R9" s="40" t="s">
        <v>34</v>
      </c>
      <c r="S9" s="40"/>
      <c r="T9" s="40"/>
      <c r="U9" s="38"/>
      <c r="V9" s="358"/>
      <c r="W9" s="82"/>
      <c r="X9" s="39"/>
      <c r="Y9" s="41"/>
      <c r="Z9" s="41"/>
      <c r="AA9" s="40"/>
      <c r="AB9" s="41"/>
      <c r="AC9" s="40"/>
      <c r="AD9" s="41"/>
      <c r="AE9" s="40"/>
      <c r="AF9" s="40"/>
      <c r="AG9" s="40"/>
      <c r="AH9" s="128"/>
      <c r="AI9" s="308"/>
      <c r="AJ9" s="178"/>
      <c r="AK9" s="308"/>
      <c r="AL9" s="43"/>
      <c r="AM9" s="331"/>
      <c r="AN9" s="32"/>
      <c r="AO9" s="40"/>
      <c r="AP9" s="40"/>
      <c r="AQ9" s="320"/>
      <c r="AR9" s="127"/>
      <c r="AS9" s="127"/>
      <c r="AT9" s="128"/>
      <c r="AU9" s="308"/>
      <c r="AV9" s="178"/>
      <c r="AW9" s="308"/>
      <c r="AX9" s="43"/>
      <c r="AY9" s="324"/>
      <c r="AZ9" s="44"/>
      <c r="BA9" s="44"/>
      <c r="BB9" s="44"/>
      <c r="BC9" s="44"/>
      <c r="BD9" s="44"/>
      <c r="BE9" s="44"/>
      <c r="BF9" s="44"/>
      <c r="BG9" s="44"/>
      <c r="BH9" s="44"/>
      <c r="BI9" s="44"/>
      <c r="BJ9" s="44"/>
      <c r="BK9" s="44"/>
      <c r="BL9" s="44"/>
      <c r="BM9" s="44"/>
      <c r="BN9" s="44"/>
      <c r="BO9" s="44"/>
      <c r="BP9" s="44"/>
      <c r="BQ9" s="44"/>
      <c r="BR9" s="44"/>
      <c r="BS9" s="44"/>
      <c r="BT9" s="44"/>
      <c r="BU9" s="167"/>
      <c r="BV9" s="168"/>
      <c r="BW9" s="169"/>
      <c r="BY9" s="171"/>
      <c r="FP9" s="483"/>
      <c r="FQ9" s="483"/>
      <c r="FR9" s="483"/>
      <c r="FS9" s="483"/>
      <c r="FT9" s="483"/>
      <c r="FU9" s="483"/>
      <c r="FV9" s="483"/>
      <c r="FW9" s="483"/>
      <c r="FX9" s="483"/>
      <c r="FY9" s="483"/>
      <c r="FZ9" s="483"/>
      <c r="GA9" s="483"/>
      <c r="GB9" s="483"/>
      <c r="GC9" s="483"/>
      <c r="GD9" s="483"/>
      <c r="GE9" s="483"/>
      <c r="GF9" s="483"/>
      <c r="GG9" s="483"/>
      <c r="GH9" s="483"/>
      <c r="GI9" s="483"/>
      <c r="GJ9" s="483"/>
      <c r="GK9" s="483"/>
      <c r="GL9" s="483"/>
      <c r="GM9" s="483"/>
      <c r="GN9" s="483"/>
      <c r="GO9" s="483"/>
      <c r="GP9" s="483"/>
      <c r="GQ9" s="483"/>
      <c r="GR9" s="483"/>
      <c r="GS9" s="483"/>
      <c r="GT9" s="483"/>
      <c r="GU9" s="483"/>
      <c r="GV9" s="483"/>
      <c r="GW9" s="483"/>
      <c r="GX9" s="483"/>
      <c r="GY9" s="483"/>
      <c r="GZ9" s="483"/>
      <c r="HA9" s="483"/>
      <c r="HB9" s="483"/>
      <c r="HC9" s="483"/>
      <c r="HD9" s="483"/>
      <c r="HE9" s="483"/>
      <c r="HF9" s="483"/>
      <c r="HG9" s="483"/>
      <c r="HH9" s="483"/>
      <c r="HI9" s="483"/>
      <c r="HJ9" s="483"/>
      <c r="HK9" s="483"/>
    </row>
    <row r="10" spans="1:219" s="129" customFormat="1" ht="5.25" customHeight="1" x14ac:dyDescent="0.3">
      <c r="A10" s="128"/>
      <c r="B10" s="126"/>
      <c r="C10" s="126"/>
      <c r="D10" s="370"/>
      <c r="E10" s="179"/>
      <c r="F10" s="148"/>
      <c r="G10" s="41"/>
      <c r="H10" s="41"/>
      <c r="I10" s="42"/>
      <c r="J10" s="43"/>
      <c r="K10" s="43"/>
      <c r="L10" s="43"/>
      <c r="M10" s="43"/>
      <c r="N10" s="43"/>
      <c r="O10" s="43"/>
      <c r="P10" s="43"/>
      <c r="Q10" s="371"/>
      <c r="R10" s="40"/>
      <c r="S10" s="40"/>
      <c r="T10" s="40"/>
      <c r="U10" s="38"/>
      <c r="V10" s="358"/>
      <c r="W10" s="82"/>
      <c r="X10" s="39"/>
      <c r="Y10" s="41"/>
      <c r="Z10" s="41"/>
      <c r="AA10" s="40"/>
      <c r="AB10" s="41"/>
      <c r="AC10" s="40"/>
      <c r="AD10" s="41"/>
      <c r="AE10" s="40"/>
      <c r="AF10" s="40"/>
      <c r="AG10" s="40"/>
      <c r="AH10" s="128"/>
      <c r="AI10" s="308"/>
      <c r="AJ10" s="178"/>
      <c r="AK10" s="308"/>
      <c r="AL10" s="43"/>
      <c r="AM10" s="331"/>
      <c r="AN10" s="32"/>
      <c r="AO10" s="40"/>
      <c r="AP10" s="40"/>
      <c r="AQ10" s="320"/>
      <c r="AR10" s="127"/>
      <c r="AS10" s="127"/>
      <c r="AT10" s="128"/>
      <c r="AU10" s="308"/>
      <c r="AV10" s="178"/>
      <c r="AW10" s="308"/>
      <c r="AX10" s="43"/>
      <c r="AY10" s="324"/>
      <c r="AZ10" s="44"/>
      <c r="BA10" s="44"/>
      <c r="BB10" s="44"/>
      <c r="BC10" s="44"/>
      <c r="BD10" s="44"/>
      <c r="BE10" s="44"/>
      <c r="BF10" s="44"/>
      <c r="BG10" s="44"/>
      <c r="BH10" s="44"/>
      <c r="BI10" s="44"/>
      <c r="BJ10" s="44"/>
      <c r="BK10" s="44"/>
      <c r="BL10" s="44"/>
      <c r="BM10" s="44"/>
      <c r="BN10" s="44"/>
      <c r="BO10" s="44"/>
      <c r="BP10" s="44"/>
      <c r="BQ10" s="44"/>
      <c r="BR10" s="44"/>
      <c r="BS10" s="44"/>
      <c r="BT10" s="44"/>
      <c r="BU10" s="142"/>
      <c r="BV10" s="130"/>
      <c r="BW10" s="138"/>
      <c r="BY10" s="140"/>
      <c r="FP10" s="484"/>
      <c r="FQ10" s="484"/>
      <c r="FR10" s="484"/>
      <c r="FS10" s="484"/>
      <c r="FT10" s="484"/>
      <c r="FU10" s="484"/>
      <c r="FV10" s="484"/>
      <c r="FW10" s="484"/>
      <c r="FX10" s="484"/>
      <c r="FY10" s="484"/>
      <c r="FZ10" s="484"/>
      <c r="GA10" s="484"/>
      <c r="GB10" s="484"/>
      <c r="GC10" s="484"/>
      <c r="GD10" s="484"/>
      <c r="GE10" s="484"/>
      <c r="GF10" s="484"/>
      <c r="GG10" s="484"/>
      <c r="GH10" s="484"/>
      <c r="GI10" s="484"/>
      <c r="GJ10" s="484"/>
      <c r="GK10" s="484"/>
      <c r="GL10" s="484"/>
      <c r="GM10" s="484"/>
      <c r="GN10" s="484"/>
      <c r="GO10" s="484"/>
      <c r="GP10" s="484"/>
      <c r="GQ10" s="484"/>
      <c r="GR10" s="484"/>
      <c r="GS10" s="484"/>
      <c r="GT10" s="484"/>
      <c r="GU10" s="484"/>
      <c r="GV10" s="484"/>
      <c r="GW10" s="484"/>
      <c r="GX10" s="484"/>
      <c r="GY10" s="484"/>
      <c r="GZ10" s="484"/>
      <c r="HA10" s="484"/>
      <c r="HB10" s="484"/>
      <c r="HC10" s="484"/>
      <c r="HD10" s="484"/>
      <c r="HE10" s="484"/>
      <c r="HF10" s="484"/>
      <c r="HG10" s="484"/>
      <c r="HH10" s="484"/>
      <c r="HI10" s="484"/>
      <c r="HJ10" s="484"/>
      <c r="HK10" s="484"/>
    </row>
    <row r="11" spans="1:219" s="250" customFormat="1" ht="25.5" customHeight="1" x14ac:dyDescent="0.2">
      <c r="A11" s="248"/>
      <c r="B11" s="716" t="s">
        <v>103</v>
      </c>
      <c r="C11" s="249"/>
      <c r="D11" s="716" t="s">
        <v>5</v>
      </c>
      <c r="E11" s="716" t="s">
        <v>104</v>
      </c>
      <c r="F11" s="741" t="s">
        <v>105</v>
      </c>
      <c r="G11" s="326"/>
      <c r="H11" s="326"/>
      <c r="I11" s="326"/>
      <c r="J11" s="326"/>
      <c r="K11" s="251"/>
      <c r="L11" s="251"/>
      <c r="M11" s="734" t="s">
        <v>100</v>
      </c>
      <c r="N11" s="251"/>
      <c r="O11" s="251"/>
      <c r="P11" s="251"/>
      <c r="Q11" s="356"/>
      <c r="R11" s="748" t="s">
        <v>106</v>
      </c>
      <c r="S11" s="745"/>
      <c r="T11" s="441"/>
      <c r="U11" s="372"/>
      <c r="V11" s="744" t="s">
        <v>117</v>
      </c>
      <c r="W11" s="748"/>
      <c r="X11" s="745"/>
      <c r="Y11" s="716" t="s">
        <v>7</v>
      </c>
      <c r="Z11" s="249"/>
      <c r="AA11" s="373" t="s">
        <v>70</v>
      </c>
      <c r="AB11" s="726" t="s">
        <v>112</v>
      </c>
      <c r="AC11" s="727"/>
      <c r="AD11" s="727"/>
      <c r="AE11" s="727"/>
      <c r="AF11" s="727"/>
      <c r="AG11" s="727"/>
      <c r="AH11" s="727"/>
      <c r="AI11" s="727"/>
      <c r="AJ11" s="727"/>
      <c r="AK11" s="727"/>
      <c r="AL11" s="728"/>
      <c r="AM11" s="744" t="s">
        <v>109</v>
      </c>
      <c r="AN11" s="745"/>
      <c r="AO11" s="726" t="s">
        <v>116</v>
      </c>
      <c r="AP11" s="727"/>
      <c r="AQ11" s="727"/>
      <c r="AR11" s="727"/>
      <c r="AS11" s="727"/>
      <c r="AT11" s="727"/>
      <c r="AU11" s="727"/>
      <c r="AV11" s="727"/>
      <c r="AW11" s="727"/>
      <c r="AX11" s="728"/>
      <c r="AY11" s="730" t="s">
        <v>60</v>
      </c>
      <c r="AZ11" s="340"/>
      <c r="BA11" s="251"/>
      <c r="BB11" s="251"/>
      <c r="BC11" s="251"/>
      <c r="BD11" s="251"/>
      <c r="BE11" s="251"/>
      <c r="BF11" s="251"/>
      <c r="BG11" s="251"/>
      <c r="BH11" s="251"/>
      <c r="BI11" s="251"/>
      <c r="BJ11" s="719" t="s">
        <v>8</v>
      </c>
      <c r="BK11" s="251"/>
      <c r="BL11" s="251"/>
      <c r="BM11" s="251"/>
      <c r="BN11" s="251"/>
      <c r="BO11" s="251"/>
      <c r="BP11" s="251"/>
      <c r="BQ11" s="251"/>
      <c r="BR11" s="251"/>
      <c r="BS11" s="251"/>
      <c r="BT11" s="719" t="s">
        <v>8</v>
      </c>
      <c r="BU11" s="723" t="s">
        <v>60</v>
      </c>
      <c r="BV11" s="252"/>
      <c r="BW11" s="145"/>
      <c r="BX11" s="85"/>
      <c r="BY11" s="253"/>
      <c r="BZ11" s="85"/>
      <c r="CA11" s="254"/>
      <c r="CB11" s="246"/>
      <c r="CC11" s="245"/>
      <c r="CD11" s="255"/>
      <c r="CE11" s="85"/>
      <c r="CF11" s="85"/>
      <c r="CW11" s="256"/>
      <c r="CX11" s="245"/>
      <c r="CY11" s="241"/>
      <c r="CZ11" s="3"/>
      <c r="DA11" s="247"/>
      <c r="DB11" s="242"/>
      <c r="DC11" s="244"/>
      <c r="DD11" s="247"/>
      <c r="DE11" s="257"/>
      <c r="DF11" s="243"/>
      <c r="DG11" s="243"/>
      <c r="DH11" s="244"/>
      <c r="DI11" s="258"/>
      <c r="DJ11" s="259"/>
      <c r="FO11" s="429"/>
      <c r="FP11" s="304"/>
      <c r="FQ11" s="304"/>
      <c r="FR11" s="304"/>
      <c r="FS11" s="304"/>
      <c r="FT11" s="304"/>
      <c r="FU11" s="304"/>
      <c r="FV11" s="304"/>
      <c r="FW11" s="304"/>
      <c r="FX11" s="304"/>
      <c r="FY11" s="304"/>
      <c r="FZ11" s="304"/>
      <c r="GA11" s="304"/>
      <c r="GB11" s="304"/>
      <c r="GC11" s="304"/>
      <c r="GD11" s="304"/>
      <c r="GE11" s="304"/>
      <c r="GF11" s="304"/>
      <c r="GG11" s="304"/>
      <c r="GH11" s="304"/>
      <c r="GI11" s="304"/>
      <c r="GJ11" s="304"/>
      <c r="GK11" s="304"/>
      <c r="GL11" s="304"/>
      <c r="GM11" s="304"/>
      <c r="GN11" s="304"/>
      <c r="GO11" s="304"/>
      <c r="GP11" s="304"/>
      <c r="GQ11" s="304"/>
      <c r="GR11" s="304"/>
      <c r="GS11" s="304"/>
      <c r="GT11" s="304"/>
      <c r="GU11" s="304"/>
      <c r="GV11" s="304"/>
      <c r="GW11" s="304"/>
      <c r="GX11" s="304"/>
      <c r="GY11" s="304"/>
      <c r="GZ11" s="304"/>
      <c r="HA11" s="304"/>
      <c r="HB11" s="304"/>
      <c r="HC11" s="304"/>
      <c r="HD11" s="304"/>
      <c r="HE11" s="304"/>
      <c r="HF11" s="304"/>
      <c r="HG11" s="304"/>
      <c r="HH11" s="304"/>
      <c r="HI11" s="304"/>
      <c r="HJ11" s="304"/>
      <c r="HK11" s="304"/>
    </row>
    <row r="12" spans="1:219" s="250" customFormat="1" ht="13.5" customHeight="1" x14ac:dyDescent="0.2">
      <c r="A12" s="248"/>
      <c r="B12" s="717"/>
      <c r="C12" s="249"/>
      <c r="D12" s="717"/>
      <c r="E12" s="717"/>
      <c r="F12" s="742"/>
      <c r="G12" s="326"/>
      <c r="H12" s="326"/>
      <c r="I12" s="326"/>
      <c r="J12" s="326"/>
      <c r="K12" s="251"/>
      <c r="L12" s="251"/>
      <c r="M12" s="735"/>
      <c r="N12" s="251"/>
      <c r="O12" s="251"/>
      <c r="P12" s="251"/>
      <c r="Q12" s="357"/>
      <c r="R12" s="749"/>
      <c r="S12" s="750"/>
      <c r="T12" s="441"/>
      <c r="U12" s="372"/>
      <c r="V12" s="752"/>
      <c r="W12" s="749"/>
      <c r="X12" s="750"/>
      <c r="Y12" s="717"/>
      <c r="Z12" s="249"/>
      <c r="AA12" s="729" t="s">
        <v>80</v>
      </c>
      <c r="AB12" s="729"/>
      <c r="AC12" s="729"/>
      <c r="AD12" s="729"/>
      <c r="AE12" s="729" t="s">
        <v>78</v>
      </c>
      <c r="AF12" s="729" t="s">
        <v>101</v>
      </c>
      <c r="AG12" s="729"/>
      <c r="AH12" s="524"/>
      <c r="AI12" s="524"/>
      <c r="AJ12" s="729" t="s">
        <v>107</v>
      </c>
      <c r="AK12" s="729"/>
      <c r="AL12" s="729"/>
      <c r="AM12" s="746"/>
      <c r="AN12" s="747"/>
      <c r="AO12" s="729" t="s">
        <v>80</v>
      </c>
      <c r="AP12" s="729"/>
      <c r="AQ12" s="729"/>
      <c r="AR12" s="729" t="s">
        <v>113</v>
      </c>
      <c r="AS12" s="729"/>
      <c r="AT12" s="441"/>
      <c r="AU12" s="441"/>
      <c r="AV12" s="729" t="s">
        <v>107</v>
      </c>
      <c r="AW12" s="729"/>
      <c r="AX12" s="729"/>
      <c r="AY12" s="731"/>
      <c r="AZ12" s="340"/>
      <c r="BA12" s="251"/>
      <c r="BB12" s="251"/>
      <c r="BC12" s="251"/>
      <c r="BD12" s="251"/>
      <c r="BE12" s="251"/>
      <c r="BF12" s="251"/>
      <c r="BG12" s="251"/>
      <c r="BH12" s="251"/>
      <c r="BI12" s="251"/>
      <c r="BJ12" s="720"/>
      <c r="BK12" s="251"/>
      <c r="BL12" s="251"/>
      <c r="BM12" s="251"/>
      <c r="BN12" s="251"/>
      <c r="BO12" s="251"/>
      <c r="BP12" s="251"/>
      <c r="BQ12" s="251"/>
      <c r="BR12" s="251"/>
      <c r="BS12" s="251"/>
      <c r="BT12" s="720"/>
      <c r="BU12" s="724"/>
      <c r="BV12" s="252"/>
      <c r="BW12" s="145"/>
      <c r="BX12" s="85"/>
      <c r="BY12" s="253"/>
      <c r="BZ12" s="85"/>
      <c r="CA12" s="254"/>
      <c r="CB12" s="246"/>
      <c r="CC12" s="245"/>
      <c r="CD12" s="255"/>
      <c r="CE12" s="85"/>
      <c r="CF12" s="85"/>
      <c r="CW12" s="256"/>
      <c r="CX12" s="245"/>
      <c r="CY12" s="241"/>
      <c r="CZ12" s="3"/>
      <c r="DA12" s="247"/>
      <c r="DB12" s="242"/>
      <c r="DC12" s="244"/>
      <c r="DD12" s="247"/>
      <c r="DE12" s="257"/>
      <c r="DF12" s="243"/>
      <c r="DG12" s="243"/>
      <c r="DH12" s="244"/>
      <c r="DI12" s="258"/>
      <c r="DJ12" s="259"/>
      <c r="FO12" s="429"/>
      <c r="FP12" s="304"/>
      <c r="FQ12" s="304"/>
      <c r="FR12" s="304"/>
      <c r="FS12" s="304"/>
      <c r="FT12" s="304"/>
      <c r="FU12" s="304"/>
      <c r="FV12" s="304"/>
      <c r="FW12" s="304"/>
      <c r="FX12" s="304"/>
      <c r="FY12" s="304"/>
      <c r="FZ12" s="304"/>
      <c r="GA12" s="304"/>
      <c r="GB12" s="304"/>
      <c r="GC12" s="304"/>
      <c r="GD12" s="304"/>
      <c r="GE12" s="304"/>
      <c r="GF12" s="304"/>
      <c r="GG12" s="304"/>
      <c r="GH12" s="304"/>
      <c r="GI12" s="304"/>
      <c r="GJ12" s="304"/>
      <c r="GK12" s="304"/>
      <c r="GL12" s="304"/>
      <c r="GM12" s="304"/>
      <c r="GN12" s="304"/>
      <c r="GO12" s="304"/>
      <c r="GP12" s="304"/>
      <c r="GQ12" s="304"/>
      <c r="GR12" s="304"/>
      <c r="GS12" s="304"/>
      <c r="GT12" s="304"/>
      <c r="GU12" s="304"/>
      <c r="GV12" s="304"/>
      <c r="GW12" s="304"/>
      <c r="GX12" s="304"/>
      <c r="GY12" s="304"/>
      <c r="GZ12" s="304"/>
      <c r="HA12" s="304"/>
      <c r="HB12" s="304"/>
      <c r="HC12" s="304"/>
      <c r="HD12" s="304"/>
      <c r="HE12" s="304"/>
      <c r="HF12" s="304"/>
      <c r="HG12" s="304"/>
      <c r="HH12" s="304"/>
      <c r="HI12" s="304"/>
      <c r="HJ12" s="304"/>
      <c r="HK12" s="304"/>
    </row>
    <row r="13" spans="1:219" s="250" customFormat="1" ht="33" customHeight="1" x14ac:dyDescent="0.2">
      <c r="A13" s="248">
        <v>163</v>
      </c>
      <c r="B13" s="718"/>
      <c r="C13" s="249"/>
      <c r="D13" s="718"/>
      <c r="E13" s="718"/>
      <c r="F13" s="743"/>
      <c r="G13" s="326"/>
      <c r="H13" s="326"/>
      <c r="I13" s="326"/>
      <c r="J13" s="326"/>
      <c r="K13" s="251"/>
      <c r="L13" s="251"/>
      <c r="M13" s="736"/>
      <c r="N13" s="251"/>
      <c r="O13" s="251"/>
      <c r="P13" s="251"/>
      <c r="Q13" s="374"/>
      <c r="R13" s="751"/>
      <c r="S13" s="747"/>
      <c r="T13" s="441"/>
      <c r="U13" s="372"/>
      <c r="V13" s="746"/>
      <c r="W13" s="751"/>
      <c r="X13" s="747"/>
      <c r="Y13" s="718"/>
      <c r="Z13" s="249"/>
      <c r="AA13" s="729"/>
      <c r="AB13" s="729"/>
      <c r="AC13" s="729"/>
      <c r="AD13" s="729"/>
      <c r="AE13" s="729"/>
      <c r="AF13" s="729"/>
      <c r="AG13" s="729"/>
      <c r="AH13" s="340"/>
      <c r="AI13" s="375"/>
      <c r="AJ13" s="729"/>
      <c r="AK13" s="729"/>
      <c r="AL13" s="729"/>
      <c r="AM13" s="376" t="s">
        <v>102</v>
      </c>
      <c r="AN13" s="362" t="s">
        <v>114</v>
      </c>
      <c r="AO13" s="729"/>
      <c r="AP13" s="729"/>
      <c r="AQ13" s="729"/>
      <c r="AR13" s="729"/>
      <c r="AS13" s="729"/>
      <c r="AU13" s="146"/>
      <c r="AV13" s="729"/>
      <c r="AW13" s="729"/>
      <c r="AX13" s="729"/>
      <c r="AY13" s="732"/>
      <c r="AZ13" s="340"/>
      <c r="BA13" s="251"/>
      <c r="BB13" s="251"/>
      <c r="BC13" s="251"/>
      <c r="BD13" s="251"/>
      <c r="BE13" s="251"/>
      <c r="BF13" s="251"/>
      <c r="BG13" s="251"/>
      <c r="BH13" s="251"/>
      <c r="BI13" s="251"/>
      <c r="BJ13" s="721"/>
      <c r="BK13" s="251"/>
      <c r="BL13" s="251"/>
      <c r="BM13" s="251"/>
      <c r="BN13" s="251"/>
      <c r="BO13" s="251"/>
      <c r="BP13" s="251"/>
      <c r="BQ13" s="251"/>
      <c r="BR13" s="251"/>
      <c r="BS13" s="251"/>
      <c r="BT13" s="721"/>
      <c r="BU13" s="725"/>
      <c r="BV13" s="252"/>
      <c r="BW13" s="145" t="s">
        <v>74</v>
      </c>
      <c r="BX13" s="85" t="s">
        <v>75</v>
      </c>
      <c r="BY13" s="253"/>
      <c r="BZ13" s="85" t="e">
        <f>IF(AND(#REF!&gt;0,#REF!&lt;(#REF!-1),CA13&gt;0,CA13&lt;13,OR(AND(CC13="Cùg Ng",(#REF!-#REF!)&gt;#REF!),CC13="- - -")),"Sớm TT","=&gt; s")</f>
        <v>#REF!</v>
      </c>
      <c r="CA13" s="254" t="e">
        <f>IF(#REF!=3,36-(12*(#REF!-#REF!)+(12-#REF!)-#REF!),IF(#REF!=2,24-(12*(#REF!-#REF!)+(12-#REF!)-#REF!),"---"))</f>
        <v>#REF!</v>
      </c>
      <c r="CB13" s="246"/>
      <c r="CC13" s="245" t="e">
        <f>IF(#REF!=#REF!,"Cùg Ng","- - -")</f>
        <v>#REF!</v>
      </c>
      <c r="CD13" s="255" t="str">
        <f>IF(CF13&gt;2000,"NN","- - -")</f>
        <v>- - -</v>
      </c>
      <c r="CE13" s="85"/>
      <c r="CF13" s="85"/>
      <c r="CI13" s="250" t="str">
        <f>IF(CK13&gt;2000,"CN","- - -")</f>
        <v>- - -</v>
      </c>
      <c r="CN13" s="250"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50" t="e">
        <f>IF(AND(CZ13&gt;CY13,CZ13&lt;(CY13+13)),"Hưu",IF(AND(CZ13&gt;(CY13+12),CZ13&lt;1000),"Quá","/-/ /-/"))</f>
        <v>#REF!</v>
      </c>
      <c r="CP13" s="250" t="e">
        <f>IF((#REF!+0)&lt;12,(#REF!+0)+1,IF((#REF!+0)=12,1,IF((#REF!+0)&gt;12,(#REF!+0)-12)))</f>
        <v>#REF!</v>
      </c>
      <c r="CQ13" s="250" t="e">
        <f>IF(OR((#REF!+0)=12,(#REF!+0)&gt;12),#REF!+CY13/12+1,IF(AND((#REF!+0)&gt;0,(#REF!+0)&lt;12),#REF!+CY13/12,"---"))</f>
        <v>#REF!</v>
      </c>
      <c r="CR13" s="250" t="e">
        <f>IF(AND(CP13&gt;3,CP13&lt;13),CP13-3,IF(CP13&lt;4,CP13-3+12))</f>
        <v>#REF!</v>
      </c>
      <c r="CS13" s="250" t="e">
        <f>IF(CR13&lt;CP13,CQ13,IF(CR13&gt;CP13,CQ13-1))</f>
        <v>#REF!</v>
      </c>
      <c r="CT13" s="250" t="e">
        <f>IF(CP13&gt;6,CP13-6,IF(CP13=6,12,IF(CP13&lt;6,CP13+6)))</f>
        <v>#REF!</v>
      </c>
      <c r="CU13" s="250" t="e">
        <f>IF(CP13&gt;6,CQ13,IF(CP13&lt;7,CQ13-1))</f>
        <v>#REF!</v>
      </c>
      <c r="CV13" s="250" t="e">
        <f>IF(AND(CO13="Hưu",#REF!=3),36+#REF!-(12*(CU13-#REF!)+(CT13-#REF!)),IF(AND(CO13="Hưu",#REF!=2),24+#REF!-(12*(CU13-#REF!)+(CT13-#REF!)),IF(AND(CO13="Hưu",#REF!=1),12+#REF!-(12*(CU13-#REF!)+(CT13-#REF!)),"- - -")))</f>
        <v>#REF!</v>
      </c>
      <c r="CW13" s="256" t="str">
        <f>IF(CX13&gt;0,"K.Dài",". .")</f>
        <v>. .</v>
      </c>
      <c r="CX13" s="245"/>
      <c r="CY13" s="241" t="e">
        <f>IF(#REF!="Nam",(60+CX13)*12,IF(#REF!="Nữ",(55+CX13)*12,))</f>
        <v>#REF!</v>
      </c>
      <c r="CZ13" s="3" t="e">
        <f>12*(#REF!-#REF!)+(12-#REF!)</f>
        <v>#REF!</v>
      </c>
      <c r="DA13" s="247" t="e">
        <f>#REF!-#REF!</f>
        <v>#REF!</v>
      </c>
      <c r="DB13" s="242"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44"/>
      <c r="DD13" s="247"/>
      <c r="DE13" s="257" t="e">
        <f>IF(DA13&lt;31,"Đến 30",IF(AND(DA13&gt;30,DA13&lt;46),"31 - 45",IF(AND(DA13&gt;45,DA13&lt;70),"Trên 45")))</f>
        <v>#REF!</v>
      </c>
      <c r="DF13" s="243" t="str">
        <f>IF(DG13&gt;0,"TD","--")</f>
        <v>--</v>
      </c>
      <c r="DG13" s="243"/>
      <c r="DH13" s="244"/>
      <c r="DI13" s="258"/>
      <c r="DJ13" s="259"/>
      <c r="DP13" s="250" t="s">
        <v>29</v>
      </c>
      <c r="DQ13" s="250" t="s">
        <v>37</v>
      </c>
      <c r="DR13" s="250" t="s">
        <v>46</v>
      </c>
      <c r="DS13" s="250" t="s">
        <v>41</v>
      </c>
      <c r="DT13" s="250" t="s">
        <v>46</v>
      </c>
      <c r="DU13" s="250" t="s">
        <v>48</v>
      </c>
      <c r="DV13" s="250">
        <f>(DQ13+0)-(DX13+0)</f>
        <v>0</v>
      </c>
      <c r="DW13" s="250" t="str">
        <f>IF(DV13&gt;0,"Sửa","- - -")</f>
        <v>- - -</v>
      </c>
      <c r="DX13" s="250" t="s">
        <v>37</v>
      </c>
      <c r="DY13" s="250" t="s">
        <v>46</v>
      </c>
      <c r="DZ13" s="250" t="s">
        <v>41</v>
      </c>
      <c r="EA13" s="250" t="s">
        <v>46</v>
      </c>
      <c r="EB13" s="250" t="s">
        <v>48</v>
      </c>
      <c r="ED13" s="250" t="e">
        <f>IF(AND(#REF!&gt;0.34,#REF!=1,OR(#REF!=6.2,#REF!=5.75)),((#REF!-EC13)-2*0.34),IF(AND(#REF!&gt;0.33,#REF!=1,OR(#REF!=4.4,#REF!=4)),((#REF!-EC13)-2*0.33),"- - -"))</f>
        <v>#REF!</v>
      </c>
      <c r="EE13" s="250" t="e">
        <f>IF(CO13="Hưu",12*(CU13-#REF!)+(CT13-#REF!),"---")</f>
        <v>#REF!</v>
      </c>
      <c r="FO13" s="429"/>
      <c r="FP13" s="304"/>
      <c r="FQ13" s="304"/>
      <c r="FR13" s="304"/>
      <c r="FS13" s="304"/>
      <c r="FT13" s="304"/>
      <c r="FU13" s="304"/>
      <c r="FV13" s="304"/>
      <c r="FW13" s="304"/>
      <c r="FX13" s="304"/>
      <c r="FY13" s="304"/>
      <c r="FZ13" s="304"/>
      <c r="GA13" s="304"/>
      <c r="GB13" s="304"/>
      <c r="GC13" s="304"/>
      <c r="GD13" s="304"/>
      <c r="GE13" s="304"/>
      <c r="GF13" s="304"/>
      <c r="GG13" s="304"/>
      <c r="GH13" s="304"/>
      <c r="GI13" s="304"/>
      <c r="GJ13" s="304"/>
      <c r="GK13" s="304"/>
      <c r="GL13" s="304"/>
      <c r="GM13" s="304"/>
      <c r="GN13" s="304"/>
      <c r="GO13" s="304"/>
      <c r="GP13" s="304"/>
      <c r="GQ13" s="304"/>
      <c r="GR13" s="304"/>
      <c r="GS13" s="304"/>
      <c r="GT13" s="304"/>
      <c r="GU13" s="304"/>
      <c r="GV13" s="304"/>
      <c r="GW13" s="304"/>
      <c r="GX13" s="304"/>
      <c r="GY13" s="304"/>
      <c r="GZ13" s="304"/>
      <c r="HA13" s="304"/>
      <c r="HB13" s="304"/>
      <c r="HC13" s="304"/>
      <c r="HD13" s="304"/>
      <c r="HE13" s="304"/>
      <c r="HF13" s="304"/>
      <c r="HG13" s="304"/>
      <c r="HH13" s="304"/>
      <c r="HI13" s="304"/>
      <c r="HJ13" s="304"/>
      <c r="HK13" s="304"/>
    </row>
    <row r="14" spans="1:219" s="377" customFormat="1" ht="14.25" customHeight="1" x14ac:dyDescent="0.2">
      <c r="B14" s="523">
        <v>1</v>
      </c>
      <c r="C14" s="523"/>
      <c r="D14" s="523">
        <v>2</v>
      </c>
      <c r="E14" s="378">
        <v>2</v>
      </c>
      <c r="F14" s="523">
        <v>3</v>
      </c>
      <c r="G14" s="523"/>
      <c r="H14" s="523"/>
      <c r="I14" s="523"/>
      <c r="J14" s="523"/>
      <c r="K14" s="523"/>
      <c r="L14" s="523"/>
      <c r="M14" s="523">
        <v>4</v>
      </c>
      <c r="N14" s="523"/>
      <c r="O14" s="523"/>
      <c r="P14" s="523"/>
      <c r="Q14" s="379"/>
      <c r="R14" s="712">
        <v>4</v>
      </c>
      <c r="S14" s="713"/>
      <c r="T14" s="523"/>
      <c r="U14" s="380"/>
      <c r="V14" s="714">
        <v>5</v>
      </c>
      <c r="W14" s="715"/>
      <c r="X14" s="401">
        <v>6</v>
      </c>
      <c r="Y14" s="523">
        <v>6</v>
      </c>
      <c r="Z14" s="523"/>
      <c r="AA14" s="722">
        <v>7</v>
      </c>
      <c r="AB14" s="712"/>
      <c r="AC14" s="712"/>
      <c r="AD14" s="713"/>
      <c r="AE14" s="523">
        <v>8</v>
      </c>
      <c r="AF14" s="733">
        <v>9</v>
      </c>
      <c r="AG14" s="733"/>
      <c r="AH14" s="722">
        <v>10</v>
      </c>
      <c r="AI14" s="712"/>
      <c r="AJ14" s="712"/>
      <c r="AK14" s="712"/>
      <c r="AL14" s="713"/>
      <c r="AM14" s="722">
        <v>11</v>
      </c>
      <c r="AN14" s="713"/>
      <c r="AO14" s="722">
        <v>12</v>
      </c>
      <c r="AP14" s="712"/>
      <c r="AQ14" s="713"/>
      <c r="AR14" s="722">
        <v>13</v>
      </c>
      <c r="AS14" s="713"/>
      <c r="AT14" s="722">
        <v>14</v>
      </c>
      <c r="AU14" s="712"/>
      <c r="AV14" s="712"/>
      <c r="AW14" s="712"/>
      <c r="AX14" s="713"/>
      <c r="AY14" s="378">
        <v>15</v>
      </c>
      <c r="AZ14" s="444"/>
      <c r="BA14" s="363"/>
      <c r="BB14" s="363"/>
      <c r="BC14" s="363"/>
      <c r="BD14" s="363"/>
      <c r="BE14" s="363"/>
      <c r="BF14" s="363"/>
      <c r="BG14" s="363"/>
      <c r="BH14" s="363"/>
      <c r="BI14" s="363"/>
      <c r="BJ14" s="363">
        <v>12</v>
      </c>
      <c r="BK14" s="363"/>
      <c r="BL14" s="363"/>
      <c r="BM14" s="363"/>
      <c r="BN14" s="363"/>
      <c r="BO14" s="363"/>
      <c r="BP14" s="363"/>
      <c r="BQ14" s="363"/>
      <c r="BR14" s="363"/>
      <c r="BS14" s="363"/>
      <c r="BT14" s="363">
        <v>11</v>
      </c>
      <c r="BU14" s="363">
        <v>13</v>
      </c>
      <c r="BV14" s="381"/>
      <c r="BW14" s="381"/>
      <c r="FP14" s="485"/>
      <c r="FQ14" s="485"/>
      <c r="FR14" s="485"/>
      <c r="FS14" s="485"/>
      <c r="FT14" s="485"/>
      <c r="FU14" s="485"/>
      <c r="FV14" s="485"/>
      <c r="FW14" s="485"/>
      <c r="FX14" s="485"/>
      <c r="FY14" s="485"/>
      <c r="FZ14" s="485"/>
      <c r="GA14" s="485"/>
      <c r="GB14" s="485"/>
      <c r="GC14" s="485"/>
      <c r="GD14" s="485"/>
      <c r="GE14" s="485"/>
      <c r="GF14" s="485"/>
      <c r="GG14" s="485"/>
      <c r="GH14" s="485"/>
      <c r="GI14" s="485"/>
      <c r="GJ14" s="485"/>
      <c r="GK14" s="485"/>
      <c r="GL14" s="485"/>
      <c r="GM14" s="485"/>
      <c r="GN14" s="485"/>
      <c r="GO14" s="485"/>
      <c r="GP14" s="485"/>
      <c r="GQ14" s="485"/>
      <c r="GR14" s="485"/>
      <c r="GS14" s="485"/>
      <c r="GT14" s="485"/>
      <c r="GU14" s="485"/>
      <c r="GV14" s="485"/>
      <c r="GW14" s="485"/>
      <c r="GX14" s="485"/>
      <c r="GY14" s="485"/>
      <c r="GZ14" s="485"/>
      <c r="HA14" s="485"/>
      <c r="HB14" s="485"/>
      <c r="HC14" s="485"/>
      <c r="HD14" s="485"/>
      <c r="HE14" s="485"/>
      <c r="HF14" s="485"/>
      <c r="HG14" s="485"/>
      <c r="HH14" s="485"/>
      <c r="HI14" s="485"/>
      <c r="HJ14" s="485"/>
      <c r="HK14" s="485"/>
    </row>
    <row r="15" spans="1:219" s="382" customFormat="1" ht="45.75" hidden="1" customHeight="1" x14ac:dyDescent="0.2">
      <c r="B15" s="383" t="s">
        <v>57</v>
      </c>
      <c r="C15" s="383"/>
      <c r="D15" s="383" t="s">
        <v>94</v>
      </c>
      <c r="E15" s="384" t="s">
        <v>93</v>
      </c>
      <c r="F15" s="385"/>
      <c r="G15" s="383"/>
      <c r="H15" s="383"/>
      <c r="I15" s="383"/>
      <c r="J15" s="383"/>
      <c r="K15" s="383"/>
      <c r="L15" s="383"/>
      <c r="M15" s="383"/>
      <c r="N15" s="383"/>
      <c r="O15" s="383"/>
      <c r="P15" s="383"/>
      <c r="Q15" s="386"/>
      <c r="R15" s="383" t="s">
        <v>92</v>
      </c>
      <c r="S15" s="383" t="s">
        <v>91</v>
      </c>
      <c r="T15" s="385"/>
      <c r="U15" s="387"/>
      <c r="V15" s="388" t="s">
        <v>89</v>
      </c>
      <c r="W15" s="389" t="s">
        <v>90</v>
      </c>
      <c r="X15" s="390" t="s">
        <v>69</v>
      </c>
      <c r="Y15" s="391"/>
      <c r="Z15" s="392"/>
      <c r="AA15" s="391"/>
      <c r="AB15" s="393" t="s">
        <v>1</v>
      </c>
      <c r="AC15" s="394"/>
      <c r="AD15" s="392" t="s">
        <v>2</v>
      </c>
      <c r="AE15" s="391" t="s">
        <v>88</v>
      </c>
      <c r="AF15" s="395" t="s">
        <v>95</v>
      </c>
      <c r="AG15" s="396"/>
      <c r="AH15" s="391"/>
      <c r="AI15" s="394"/>
      <c r="AJ15" s="393" t="s">
        <v>87</v>
      </c>
      <c r="AK15" s="394"/>
      <c r="AL15" s="383" t="s">
        <v>86</v>
      </c>
      <c r="AM15" s="402"/>
      <c r="AN15" s="403"/>
      <c r="AO15" s="391" t="s">
        <v>3</v>
      </c>
      <c r="AP15" s="394"/>
      <c r="AQ15" s="404" t="s">
        <v>4</v>
      </c>
      <c r="AR15" s="397" t="s">
        <v>96</v>
      </c>
      <c r="AS15" s="398"/>
      <c r="AT15" s="391"/>
      <c r="AU15" s="394"/>
      <c r="AV15" s="383" t="s">
        <v>85</v>
      </c>
      <c r="AW15" s="394"/>
      <c r="AX15" s="383" t="s">
        <v>84</v>
      </c>
      <c r="AY15" s="492"/>
      <c r="AZ15" s="393"/>
      <c r="BA15" s="383"/>
      <c r="BB15" s="383"/>
      <c r="BC15" s="383"/>
      <c r="BD15" s="391"/>
      <c r="BE15" s="383"/>
      <c r="BF15" s="383"/>
      <c r="BG15" s="383"/>
      <c r="BH15" s="383"/>
      <c r="BI15" s="383"/>
      <c r="BJ15" s="383"/>
      <c r="BK15" s="391"/>
      <c r="BL15" s="392"/>
      <c r="BM15" s="383"/>
      <c r="BN15" s="383"/>
      <c r="BO15" s="383"/>
      <c r="BP15" s="383"/>
      <c r="BQ15" s="383"/>
      <c r="BR15" s="383"/>
      <c r="BS15" s="383"/>
      <c r="BT15" s="393"/>
      <c r="BU15" s="399"/>
      <c r="BV15" s="400"/>
      <c r="BW15" s="400"/>
      <c r="BX15" s="384" t="s">
        <v>83</v>
      </c>
      <c r="BY15" s="383" t="s">
        <v>82</v>
      </c>
      <c r="FP15" s="486"/>
      <c r="FQ15" s="486"/>
      <c r="FR15" s="486"/>
      <c r="FS15" s="486"/>
      <c r="FT15" s="486"/>
      <c r="FU15" s="486"/>
      <c r="FV15" s="486"/>
      <c r="FW15" s="486"/>
      <c r="FX15" s="486"/>
      <c r="FY15" s="486"/>
      <c r="FZ15" s="486"/>
      <c r="GA15" s="486"/>
      <c r="GB15" s="486"/>
      <c r="GC15" s="486"/>
      <c r="GD15" s="486"/>
      <c r="GE15" s="486"/>
      <c r="GF15" s="486"/>
      <c r="GG15" s="486"/>
      <c r="GH15" s="486"/>
      <c r="GI15" s="486"/>
      <c r="GJ15" s="486"/>
      <c r="GK15" s="486"/>
      <c r="GL15" s="486"/>
      <c r="GM15" s="486"/>
      <c r="GN15" s="486"/>
      <c r="GO15" s="486"/>
      <c r="GP15" s="486"/>
      <c r="GQ15" s="486"/>
      <c r="GR15" s="486"/>
      <c r="GS15" s="486"/>
      <c r="GT15" s="486"/>
      <c r="GU15" s="486"/>
      <c r="GV15" s="486"/>
      <c r="GW15" s="486"/>
      <c r="GX15" s="486"/>
      <c r="GY15" s="486"/>
      <c r="GZ15" s="486"/>
      <c r="HA15" s="486"/>
      <c r="HB15" s="486"/>
      <c r="HC15" s="486"/>
      <c r="HD15" s="486"/>
      <c r="HE15" s="486"/>
      <c r="HF15" s="486"/>
      <c r="HG15" s="486"/>
      <c r="HH15" s="486"/>
      <c r="HI15" s="486"/>
      <c r="HJ15" s="486"/>
      <c r="HK15" s="486"/>
    </row>
    <row r="16" spans="1:219" s="284" customFormat="1" ht="18.75" customHeight="1" x14ac:dyDescent="0.2">
      <c r="A16" s="260"/>
      <c r="B16" s="261" t="s">
        <v>47</v>
      </c>
      <c r="C16" s="261"/>
      <c r="D16" s="262"/>
      <c r="E16" s="262" t="s">
        <v>302</v>
      </c>
      <c r="F16" s="263"/>
      <c r="G16" s="264"/>
      <c r="H16" s="264"/>
      <c r="I16" s="264"/>
      <c r="J16" s="265"/>
      <c r="K16" s="265"/>
      <c r="L16" s="265"/>
      <c r="M16" s="265"/>
      <c r="N16" s="265"/>
      <c r="O16" s="265"/>
      <c r="P16" s="265"/>
      <c r="Q16" s="262"/>
      <c r="R16" s="266"/>
      <c r="S16" s="267"/>
      <c r="T16" s="268"/>
      <c r="U16" s="268"/>
      <c r="V16" s="343"/>
      <c r="W16" s="344"/>
      <c r="X16" s="302"/>
      <c r="Y16" s="301"/>
      <c r="Z16" s="302"/>
      <c r="AA16" s="303"/>
      <c r="AB16" s="293"/>
      <c r="AC16" s="307"/>
      <c r="AD16" s="294"/>
      <c r="AE16" s="299"/>
      <c r="AF16" s="297"/>
      <c r="AG16" s="294"/>
      <c r="AH16" s="305"/>
      <c r="AI16" s="310"/>
      <c r="AJ16" s="306"/>
      <c r="AK16" s="316"/>
      <c r="AL16" s="317"/>
      <c r="AM16" s="345"/>
      <c r="AN16" s="346"/>
      <c r="AO16" s="318"/>
      <c r="AP16" s="311"/>
      <c r="AQ16" s="321"/>
      <c r="AR16" s="297"/>
      <c r="AS16" s="307"/>
      <c r="AT16" s="295"/>
      <c r="AU16" s="309"/>
      <c r="AV16" s="332"/>
      <c r="AW16" s="315"/>
      <c r="AX16" s="296"/>
      <c r="AY16" s="522"/>
      <c r="AZ16" s="271"/>
      <c r="BA16" s="272"/>
      <c r="BB16" s="272"/>
      <c r="BC16" s="265"/>
      <c r="BD16" s="273"/>
      <c r="BE16" s="274"/>
      <c r="BF16" s="274"/>
      <c r="BG16" s="261"/>
      <c r="BH16" s="339"/>
      <c r="BI16" s="339"/>
      <c r="BJ16" s="274"/>
      <c r="BK16" s="275"/>
      <c r="BL16" s="270"/>
      <c r="BM16" s="276"/>
      <c r="BN16" s="277"/>
      <c r="BO16" s="277"/>
      <c r="BP16" s="277"/>
      <c r="BQ16" s="277"/>
      <c r="BR16" s="277"/>
      <c r="BS16" s="274"/>
      <c r="BT16" s="278"/>
      <c r="BU16" s="279"/>
      <c r="BV16" s="274"/>
      <c r="BW16" s="261"/>
      <c r="BX16" s="265"/>
      <c r="BY16" s="280"/>
      <c r="BZ16" s="281"/>
      <c r="CA16" s="260"/>
      <c r="CB16" s="282"/>
      <c r="CC16" s="282"/>
      <c r="CD16" s="260"/>
      <c r="CE16" s="283"/>
      <c r="CF16" s="260"/>
      <c r="CG16" s="260"/>
      <c r="CX16" s="285"/>
      <c r="CY16" s="286"/>
      <c r="CZ16" s="287"/>
      <c r="DA16" s="260"/>
      <c r="DB16" s="288"/>
      <c r="DC16" s="288"/>
      <c r="DD16" s="288"/>
      <c r="DE16" s="288"/>
      <c r="DF16" s="289"/>
      <c r="DG16" s="290"/>
      <c r="DH16" s="290"/>
      <c r="DI16" s="288"/>
      <c r="DJ16" s="291"/>
      <c r="DK16" s="290"/>
      <c r="DL16" s="292"/>
      <c r="DM16" s="292"/>
      <c r="FP16" s="292"/>
      <c r="FQ16" s="292"/>
      <c r="FR16" s="292"/>
      <c r="FS16" s="292"/>
      <c r="FT16" s="292"/>
      <c r="FU16" s="292"/>
      <c r="FV16" s="292"/>
      <c r="FW16" s="292"/>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row>
    <row r="17" spans="1:144" s="119" customFormat="1" ht="39.75" customHeight="1" x14ac:dyDescent="0.2">
      <c r="A17" s="408">
        <v>28</v>
      </c>
      <c r="B17" s="298">
        <v>1</v>
      </c>
      <c r="C17" s="86"/>
      <c r="D17" s="86" t="str">
        <f t="shared" ref="D17:D48" si="0">IF(F17="Nam","Ông","Bà")</f>
        <v>Bà</v>
      </c>
      <c r="E17" s="410" t="s">
        <v>206</v>
      </c>
      <c r="F17" s="411" t="s">
        <v>56</v>
      </c>
      <c r="G17" s="412" t="s">
        <v>123</v>
      </c>
      <c r="H17" s="412" t="s">
        <v>46</v>
      </c>
      <c r="I17" s="412" t="s">
        <v>45</v>
      </c>
      <c r="J17" s="85" t="s">
        <v>46</v>
      </c>
      <c r="K17" s="85">
        <v>1987</v>
      </c>
      <c r="L17" s="85" t="s">
        <v>71</v>
      </c>
      <c r="M17" s="85" t="str">
        <f t="shared" ref="M17:M48" si="1">IF(L17="công chức","CC",IF(L17="viên chức","VC",IF(L17="người lao động","NLĐ","- - -")))</f>
        <v>NLĐ</v>
      </c>
      <c r="N17" s="85"/>
      <c r="O17" s="85" t="e">
        <f t="shared" ref="O17:O48" si="2">IF(AND((Q17+0)&gt;0.3,(Q17+0)&lt;1.5),"CVụ","- -")</f>
        <v>#N/A</v>
      </c>
      <c r="P17" s="85"/>
      <c r="Q17" s="410" t="e">
        <f>VLOOKUP(P17,'[1]- DLiêu Gốc (Không sửa)'!$C$2:$H$116,2,0)</f>
        <v>#N/A</v>
      </c>
      <c r="R17" s="526"/>
      <c r="S17" s="413" t="s">
        <v>207</v>
      </c>
      <c r="T17" s="414" t="str">
        <f>VLOOKUP(Y17,'[2]- DLiêu Gốc -'!$C$2:$H$60,5,0)</f>
        <v>A1</v>
      </c>
      <c r="U17" s="414" t="str">
        <f>VLOOKUP(Y17,'[2]- DLiêu Gốc -'!$C$2:$H$60,6,0)</f>
        <v>- - -</v>
      </c>
      <c r="V17" s="415" t="s">
        <v>65</v>
      </c>
      <c r="W17" s="416" t="str">
        <f t="shared" ref="W17:W48" si="3">IF(OR(Y17="Kỹ thuật viên đánh máy",Y17="Nhân viên đánh máy",Y17="Nhân viên kỹ thuật",Y17="Nhân viên văn thư",Y17="Nhân viên phục vụ",Y17="Lái xe cơ quan",Y17="Nhân viên bảo vệ"),"Nhân viên",Y17)</f>
        <v>Chuyên viên</v>
      </c>
      <c r="X17" s="417" t="str">
        <f t="shared" ref="X17:X48" si="4">IF(W17="Nhân viên","01.005",Z17)</f>
        <v>01.003</v>
      </c>
      <c r="Y17" s="418" t="s">
        <v>36</v>
      </c>
      <c r="Z17" s="417" t="str">
        <f>VLOOKUP(Y17,'[2]- DLiêu Gốc -'!$C$1:$H$133,2,0)</f>
        <v>01.003</v>
      </c>
      <c r="AA17" s="419" t="str">
        <f t="shared" ref="AA17:AA48" si="5">IF(OR(AND(BC17=36,BB17=3),AND(BC17=24,BB17=2),AND(BC17=12,BB17=1)),"Đến $",IF(OR(AND(BC17&gt;36,BB17=3),AND(BC17&gt;24,BB17=2),AND(BC17&gt;12,BB17=1)),"Dừng $","Lương"))</f>
        <v>Lương</v>
      </c>
      <c r="AB17" s="420">
        <v>3</v>
      </c>
      <c r="AC17" s="355" t="str">
        <f t="shared" ref="AC17:AC48" si="6">IF(AD17&gt;0,"/")</f>
        <v>/</v>
      </c>
      <c r="AD17" s="45">
        <f t="shared" ref="AD17:AD48" si="7">IF(OR(BE17=0.18,BE17=0.2),12,IF(BE17=0.31,10,IF(BE17=0.33,9,IF(BE17=0.34,8,IF(BE17=0.36,6)))))</f>
        <v>9</v>
      </c>
      <c r="AE17" s="421">
        <f t="shared" ref="AE17:AE48" si="8">BD17+(AB17-1)*BE17</f>
        <v>3</v>
      </c>
      <c r="AF17" s="422"/>
      <c r="AG17" s="45"/>
      <c r="AH17" s="423" t="s">
        <v>37</v>
      </c>
      <c r="AI17" s="424" t="s">
        <v>46</v>
      </c>
      <c r="AJ17" s="425" t="s">
        <v>51</v>
      </c>
      <c r="AK17" s="525" t="s">
        <v>46</v>
      </c>
      <c r="AL17" s="426">
        <v>2015</v>
      </c>
      <c r="AM17" s="427"/>
      <c r="AN17" s="428"/>
      <c r="AO17" s="429">
        <f t="shared" ref="AO17:AO30" si="9">AB17+1</f>
        <v>4</v>
      </c>
      <c r="AP17" s="430" t="str">
        <f t="shared" ref="AP17:AP48" si="10">IF(AD17=AB17,"%",IF(AD17&gt;AB17,"/"))</f>
        <v>/</v>
      </c>
      <c r="AQ17" s="431">
        <f t="shared" ref="AQ17:AQ48" si="11">IF(AND(AD17=AB17,AO17=4),5,IF(AND(AD17=AB17,AO17&gt;4),AO17+1,IF(AD17&gt;AB17,AD17)))</f>
        <v>9</v>
      </c>
      <c r="AR17" s="527">
        <f t="shared" ref="AR17:AR48" si="12">IF(AD17=AB17,"%",IF(AD17&gt;AB17,AE17+BE17))</f>
        <v>3.33</v>
      </c>
      <c r="AS17" s="45"/>
      <c r="AT17" s="432" t="s">
        <v>37</v>
      </c>
      <c r="AU17" s="433" t="s">
        <v>46</v>
      </c>
      <c r="AV17" s="434" t="s">
        <v>51</v>
      </c>
      <c r="AW17" s="435" t="s">
        <v>46</v>
      </c>
      <c r="AX17" s="436">
        <v>2018</v>
      </c>
      <c r="AY17" s="439"/>
      <c r="AZ17" s="103"/>
      <c r="BA17" s="94"/>
      <c r="BB17" s="437">
        <f t="shared" ref="BB17:BB48" si="13">IF(AND(AD17&gt;AB17,OR(BE17=0.18,BE17=0.2)),2,IF(AND(AD17&gt;AB17,OR(BE17=0.31,BE17=0.33,BE17=0.34,BE17=0.36)),3,IF(AD17=AB17,1)))</f>
        <v>3</v>
      </c>
      <c r="BC17" s="91">
        <f t="shared" ref="BC17:BC48" si="14">12*($AA$2-AX17)+($AA$3-AV17)-AM17</f>
        <v>-24227</v>
      </c>
      <c r="BD17" s="91">
        <f>VLOOKUP(Y17,'[2]- DLiêu Gốc -'!$C$1:$F$60,3,0)</f>
        <v>2.34</v>
      </c>
      <c r="BE17" s="96">
        <f>VLOOKUP(Y17,'[2]- DLiêu Gốc -'!$C$1:$F$60,4,0)</f>
        <v>0.33</v>
      </c>
      <c r="BF17" s="97" t="str">
        <f t="shared" ref="BF17:BF48" si="15">IF(AND(BG17&gt;3,BY17=12),"Đến %",IF(AND(BG17&gt;3,BY17&gt;12,BY17&lt;120),"Dừng %",IF(AND(BG17&gt;3,BY17&lt;12),"PCTN","o-o-o")))</f>
        <v>o-o-o</v>
      </c>
      <c r="BG17" s="193"/>
      <c r="BH17" s="99"/>
      <c r="BI17" s="330"/>
      <c r="BJ17" s="192"/>
      <c r="BK17" s="330"/>
      <c r="BL17" s="121"/>
      <c r="BM17" s="95"/>
      <c r="BN17" s="131"/>
      <c r="BO17" s="98"/>
      <c r="BP17" s="409"/>
      <c r="BQ17" s="99"/>
      <c r="BR17" s="330"/>
      <c r="BS17" s="192"/>
      <c r="BT17" s="330"/>
      <c r="BU17" s="121"/>
      <c r="BV17" s="123"/>
      <c r="BW17" s="103"/>
      <c r="BX17" s="438"/>
      <c r="BY17" s="96" t="str">
        <f t="shared" ref="BY17:BY48" si="16">IF(BG17&gt;3,(($BF$2-BV17)*12+($BF$3-BT17)-BN17),"- - -")</f>
        <v>- - -</v>
      </c>
      <c r="BZ17" s="87" t="str">
        <f t="shared" ref="BZ17:BZ36" si="17">IF(AND(CV17="Hưu",BG17&gt;3),12-(12*(DB17-BV17)+(DA17-BT17))-BN17,"- - -")</f>
        <v>- - -</v>
      </c>
      <c r="CA17" s="100" t="str">
        <f t="shared" ref="CA17:CA48" si="18">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Ban Kế hoạch - Tài chính</v>
      </c>
      <c r="CB17" s="101" t="str">
        <f t="shared" ref="CB17:CB48" si="19">IF(S17="Cơ sở Học viện Hành chính khu vực miền Trung","B",IF(S17="Phân viện Khu vực Tây Nguyên","C",IF(S17="Cơ sở Học viện Hành chính tại thành phố Hồ Chí Minh","D","A")))</f>
        <v>A</v>
      </c>
      <c r="CC17" s="90" t="str">
        <f t="shared" ref="CC17:CC48" si="20">IF(AND(AO17&gt;0,AB17&lt;(AD17-1),CD17&gt;0,CD17&lt;13,OR(AND(CJ17="Cùg Ng",($CC$2-CF17)&gt;BB17),CJ17="- - -")),"Sớm TT","=&gt; s")</f>
        <v>=&gt; s</v>
      </c>
      <c r="CD17" s="86">
        <f t="shared" ref="CD17:CD48" si="21">IF(BB17=3,36-(12*($CC$2-AX17)+(12-AV17)-AM17),IF(BB17=2,24-(12*($CC$2-AX17)+(12-AV17)-AM17),"---"))</f>
        <v>24251</v>
      </c>
      <c r="CE17" s="86" t="str">
        <f t="shared" ref="CE17:CE48" si="22">IF(CF17&gt;1,"S","---")</f>
        <v>---</v>
      </c>
      <c r="CF17" s="147"/>
      <c r="CG17" s="86"/>
      <c r="CH17" s="102"/>
      <c r="CI17" s="86"/>
      <c r="CJ17" s="103" t="str">
        <f t="shared" ref="CJ17:CJ48" si="23">IF(X17=CG17,"Cùg Ng","- - -")</f>
        <v>- - -</v>
      </c>
      <c r="CK17" s="104" t="str">
        <f t="shared" ref="CK17:CK48" si="24">IF(CM17&gt;2000,"NN","- - -")</f>
        <v>- - -</v>
      </c>
      <c r="CL17" s="105"/>
      <c r="CM17" s="104"/>
      <c r="CN17" s="106"/>
      <c r="CO17" s="103"/>
      <c r="CP17" s="104" t="str">
        <f t="shared" ref="CP17:CP48" si="25">IF(CR17&gt;2000,"CN","- - -")</f>
        <v>- - -</v>
      </c>
      <c r="CQ17" s="105"/>
      <c r="CR17" s="104"/>
      <c r="CS17" s="106"/>
      <c r="CT17" s="107"/>
      <c r="CU17" s="132" t="str">
        <f t="shared" ref="CU17:CU34" si="26">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108" t="str">
        <f t="shared" ref="CV17:CV48" si="27">IF(AND(DG17&gt;DF17,DG17&lt;(DF17+13)),"Hưu",IF(AND(DG17&gt;(DF17+12),DG17&lt;1000),"Quá","/-/ /-/"))</f>
        <v>/-/ /-/</v>
      </c>
      <c r="CW17" s="109">
        <f t="shared" ref="CW17:CW48" si="28">IF((I17+0)&lt;12,(I17+0)+1,IF((I17+0)=12,1,IF((I17+0)&gt;12,(I17+0)-12)))</f>
        <v>1</v>
      </c>
      <c r="CX17" s="108">
        <f t="shared" ref="CX17:CX48" si="29">IF(OR((I17+0)=12,(I17+0)&gt;12),K17+DF17/12+1,IF(AND((I17+0)&gt;0,(I17+0)&lt;12),K17+DF17/12,"---"))</f>
        <v>2043</v>
      </c>
      <c r="CY17" s="109">
        <f t="shared" ref="CY17:CY48" si="30">IF(AND(CW17&gt;3,CW17&lt;13),CW17-3,IF(CW17&lt;4,CW17-3+12))</f>
        <v>10</v>
      </c>
      <c r="CZ17" s="108">
        <f t="shared" ref="CZ17:CZ48" si="31">IF(CY17&lt;CW17,CX17,IF(CY17&gt;CW17,CX17-1))</f>
        <v>2042</v>
      </c>
      <c r="DA17" s="109">
        <f t="shared" ref="DA17:DA48" si="32">IF(CW17&gt;6,CW17-6,IF(CW17=6,12,IF(CW17&lt;6,CW17+6)))</f>
        <v>7</v>
      </c>
      <c r="DB17" s="110">
        <f t="shared" ref="DB17:DB48" si="33">IF(CW17&gt;6,CX17,IF(CW17&lt;7,CX17-1))</f>
        <v>2042</v>
      </c>
      <c r="DC17" s="111" t="str">
        <f t="shared" ref="DC17:DC48" si="34">IF(AND(CV17="Hưu",BB17=3),36+AM17-(12*(DB17-AX17)+(DA17-AV17)),IF(AND(CV17="Hưu",BB17=2),24+AM17-(12*(DB17-AX17)+(DA17-AV17)),IF(AND(CV17="Hưu",BB17=1),12+AM17-(12*(DB17-AX17)+(DA17-AV17)),"- - -")))</f>
        <v>- - -</v>
      </c>
      <c r="DD17" s="111" t="str">
        <f t="shared" ref="DD17:DD48" si="35">IF(DE17&gt;0,"K.Dài",". .")</f>
        <v>. .</v>
      </c>
      <c r="DE17" s="90"/>
      <c r="DF17" s="90">
        <f t="shared" ref="DF17:DF48" si="36">IF(F17="Nam",(60+DE17)*12,IF(F17="Nữ",(55+DE17)*12,))</f>
        <v>660</v>
      </c>
      <c r="DG17" s="90">
        <f t="shared" ref="DG17:DG48" si="37">12*($CV$4-K17)+(12-I17)</f>
        <v>-23844</v>
      </c>
      <c r="DH17" s="90">
        <f t="shared" ref="DH17:DH48" si="38">$DL$4-K17</f>
        <v>-1987</v>
      </c>
      <c r="DI17" s="90" t="str">
        <f t="shared" ref="DI17:DI48" si="39">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90"/>
      <c r="DK17" s="96"/>
      <c r="DL17" s="104" t="str">
        <f t="shared" ref="DL17:DL48" si="40">IF(DH17&lt;31,"Đến 30",IF(AND(DH17&gt;30,DH17&lt;46),"31 - 45",IF(AND(DH17&gt;45,DH17&lt;70),"Trên 45")))</f>
        <v>Đến 30</v>
      </c>
      <c r="DM17" s="88" t="str">
        <f t="shared" ref="DM17:DM48" si="41">IF(DN17&gt;0,"TD","--")</f>
        <v>--</v>
      </c>
      <c r="DN17" s="86"/>
      <c r="DO17" s="122"/>
      <c r="DP17" s="88"/>
      <c r="DQ17" s="106"/>
      <c r="DR17" s="112"/>
      <c r="DS17" s="113"/>
      <c r="DT17" s="114"/>
      <c r="DU17" s="115"/>
      <c r="DV17" s="89"/>
      <c r="DW17" s="92"/>
      <c r="DX17" s="93" t="s">
        <v>173</v>
      </c>
      <c r="DY17" s="125"/>
      <c r="DZ17" s="93" t="s">
        <v>152</v>
      </c>
      <c r="EA17" s="116" t="s">
        <v>46</v>
      </c>
      <c r="EB17" s="93" t="s">
        <v>41</v>
      </c>
      <c r="EC17" s="117" t="s">
        <v>46</v>
      </c>
      <c r="ED17" s="92">
        <v>2013</v>
      </c>
      <c r="EE17" s="93">
        <f t="shared" ref="EE17:EE48" si="42">(DZ17+0)-(EG17+0)</f>
        <v>15</v>
      </c>
      <c r="EF17" s="125" t="str">
        <f t="shared" ref="EF17:EF48" si="43">IF(EE17&gt;0,"Sửa","- - -")</f>
        <v>Sửa</v>
      </c>
      <c r="EG17" s="93" t="s">
        <v>37</v>
      </c>
      <c r="EH17" s="116" t="s">
        <v>46</v>
      </c>
      <c r="EI17" s="86" t="s">
        <v>44</v>
      </c>
      <c r="EJ17" s="103" t="s">
        <v>46</v>
      </c>
      <c r="EK17" s="118">
        <v>2013</v>
      </c>
      <c r="EL17" s="115"/>
      <c r="EM17" s="119" t="str">
        <f t="shared" ref="EM17:EM48" si="44">IF(AND(BE17&gt;0.34,AO17=1,OR(BD17=6.2,BD17=5.75)),((BD17-EL17)-2*0.34),IF(AND(BE17&gt;0.33,AO17=1,OR(BD17=4.4,BD17=4)),((BD17-EL17)-2*0.33),"- - -"))</f>
        <v>- - -</v>
      </c>
      <c r="EN17" s="119" t="str">
        <f t="shared" ref="EN17:EN48" si="45">IF(CV17="Hưu",12*(DB17-AX17)+(DA17-AV17),"---")</f>
        <v>---</v>
      </c>
    </row>
    <row r="18" spans="1:144" s="119" customFormat="1" ht="39.75" customHeight="1" x14ac:dyDescent="0.2">
      <c r="A18" s="408">
        <v>130</v>
      </c>
      <c r="B18" s="298">
        <v>2</v>
      </c>
      <c r="C18" s="86"/>
      <c r="D18" s="86" t="str">
        <f t="shared" si="0"/>
        <v>Bà</v>
      </c>
      <c r="E18" s="410" t="s">
        <v>208</v>
      </c>
      <c r="F18" s="411" t="s">
        <v>56</v>
      </c>
      <c r="G18" s="412" t="s">
        <v>37</v>
      </c>
      <c r="H18" s="412" t="s">
        <v>46</v>
      </c>
      <c r="I18" s="412" t="s">
        <v>42</v>
      </c>
      <c r="J18" s="85" t="s">
        <v>46</v>
      </c>
      <c r="K18" s="85">
        <v>1985</v>
      </c>
      <c r="L18" s="85" t="s">
        <v>71</v>
      </c>
      <c r="M18" s="85" t="str">
        <f t="shared" si="1"/>
        <v>NLĐ</v>
      </c>
      <c r="N18" s="85"/>
      <c r="O18" s="85" t="e">
        <f t="shared" si="2"/>
        <v>#N/A</v>
      </c>
      <c r="P18" s="85"/>
      <c r="Q18" s="410" t="e">
        <f>VLOOKUP(P18,'[2]- DLiêu Gốc -'!$C$2:$H$115,2,0)</f>
        <v>#N/A</v>
      </c>
      <c r="R18" s="526"/>
      <c r="S18" s="413" t="s">
        <v>120</v>
      </c>
      <c r="T18" s="414" t="str">
        <f>VLOOKUP(Y18,'[2]- DLiêu Gốc -'!$C$2:$H$60,5,0)</f>
        <v>A1</v>
      </c>
      <c r="U18" s="414" t="str">
        <f>VLOOKUP(Y18,'[2]- DLiêu Gốc -'!$C$2:$H$60,6,0)</f>
        <v>- - -</v>
      </c>
      <c r="V18" s="415" t="s">
        <v>65</v>
      </c>
      <c r="W18" s="416" t="str">
        <f t="shared" si="3"/>
        <v>Chuyên viên</v>
      </c>
      <c r="X18" s="417" t="str">
        <f t="shared" si="4"/>
        <v>01.003</v>
      </c>
      <c r="Y18" s="418" t="s">
        <v>36</v>
      </c>
      <c r="Z18" s="417" t="str">
        <f>VLOOKUP(Y18,'[2]- DLiêu Gốc -'!$C$1:$H$133,2,0)</f>
        <v>01.003</v>
      </c>
      <c r="AA18" s="419" t="str">
        <f t="shared" si="5"/>
        <v>Lương</v>
      </c>
      <c r="AB18" s="420">
        <v>2</v>
      </c>
      <c r="AC18" s="355" t="str">
        <f t="shared" si="6"/>
        <v>/</v>
      </c>
      <c r="AD18" s="45">
        <f t="shared" si="7"/>
        <v>9</v>
      </c>
      <c r="AE18" s="421">
        <f t="shared" si="8"/>
        <v>2.67</v>
      </c>
      <c r="AF18" s="422"/>
      <c r="AG18" s="45"/>
      <c r="AH18" s="423" t="s">
        <v>37</v>
      </c>
      <c r="AI18" s="424"/>
      <c r="AJ18" s="425" t="s">
        <v>51</v>
      </c>
      <c r="AK18" s="525" t="s">
        <v>46</v>
      </c>
      <c r="AL18" s="426">
        <v>2015</v>
      </c>
      <c r="AM18" s="427"/>
      <c r="AN18" s="428"/>
      <c r="AO18" s="429">
        <f t="shared" si="9"/>
        <v>3</v>
      </c>
      <c r="AP18" s="430" t="str">
        <f t="shared" si="10"/>
        <v>/</v>
      </c>
      <c r="AQ18" s="431">
        <f t="shared" si="11"/>
        <v>9</v>
      </c>
      <c r="AR18" s="527">
        <f t="shared" si="12"/>
        <v>3</v>
      </c>
      <c r="AS18" s="45"/>
      <c r="AT18" s="432" t="s">
        <v>37</v>
      </c>
      <c r="AU18" s="433"/>
      <c r="AV18" s="434" t="s">
        <v>51</v>
      </c>
      <c r="AW18" s="435" t="s">
        <v>46</v>
      </c>
      <c r="AX18" s="436">
        <v>2018</v>
      </c>
      <c r="AY18" s="439"/>
      <c r="AZ18" s="103"/>
      <c r="BA18" s="94"/>
      <c r="BB18" s="437">
        <f t="shared" si="13"/>
        <v>3</v>
      </c>
      <c r="BC18" s="91">
        <f t="shared" si="14"/>
        <v>-24227</v>
      </c>
      <c r="BD18" s="91">
        <f>VLOOKUP(Y18,'[2]- DLiêu Gốc -'!$C$1:$F$60,3,0)</f>
        <v>2.34</v>
      </c>
      <c r="BE18" s="96">
        <f>VLOOKUP(Y18,'[2]- DLiêu Gốc -'!$C$1:$F$60,4,0)</f>
        <v>0.33</v>
      </c>
      <c r="BF18" s="97" t="str">
        <f t="shared" si="15"/>
        <v>o-o-o</v>
      </c>
      <c r="BG18" s="193"/>
      <c r="BH18" s="99"/>
      <c r="BI18" s="330"/>
      <c r="BJ18" s="192"/>
      <c r="BK18" s="330"/>
      <c r="BL18" s="121"/>
      <c r="BM18" s="95"/>
      <c r="BN18" s="131"/>
      <c r="BO18" s="98"/>
      <c r="BP18" s="409"/>
      <c r="BQ18" s="99"/>
      <c r="BR18" s="330"/>
      <c r="BS18" s="192"/>
      <c r="BT18" s="330"/>
      <c r="BU18" s="121"/>
      <c r="BV18" s="123"/>
      <c r="BW18" s="103"/>
      <c r="BX18" s="438"/>
      <c r="BY18" s="96" t="str">
        <f t="shared" si="16"/>
        <v>- - -</v>
      </c>
      <c r="BZ18" s="87" t="str">
        <f t="shared" si="17"/>
        <v>- - -</v>
      </c>
      <c r="CA18" s="100" t="str">
        <f t="shared" si="18"/>
        <v>Chánh Văn phòng Học viện, Trưởng Ban Tổ chức - Cán bộ, Trưởng Khoa Khoa học hành chính và Tổ chức nhân sự</v>
      </c>
      <c r="CB18" s="101" t="str">
        <f t="shared" si="19"/>
        <v>A</v>
      </c>
      <c r="CC18" s="90" t="str">
        <f t="shared" si="20"/>
        <v>=&gt; s</v>
      </c>
      <c r="CD18" s="86">
        <f t="shared" si="21"/>
        <v>24251</v>
      </c>
      <c r="CE18" s="86" t="str">
        <f t="shared" si="22"/>
        <v>---</v>
      </c>
      <c r="CF18" s="147"/>
      <c r="CG18" s="86"/>
      <c r="CH18" s="102"/>
      <c r="CI18" s="86"/>
      <c r="CJ18" s="103" t="str">
        <f t="shared" si="23"/>
        <v>- - -</v>
      </c>
      <c r="CK18" s="104" t="str">
        <f t="shared" si="24"/>
        <v>- - -</v>
      </c>
      <c r="CL18" s="105"/>
      <c r="CM18" s="104"/>
      <c r="CN18" s="106"/>
      <c r="CO18" s="103"/>
      <c r="CP18" s="104" t="str">
        <f t="shared" si="25"/>
        <v>- - -</v>
      </c>
      <c r="CQ18" s="105"/>
      <c r="CR18" s="104"/>
      <c r="CS18" s="106"/>
      <c r="CT18" s="107"/>
      <c r="CU18" s="132" t="str">
        <f t="shared" si="26"/>
        <v>---</v>
      </c>
      <c r="CV18" s="108" t="str">
        <f t="shared" si="27"/>
        <v>/-/ /-/</v>
      </c>
      <c r="CW18" s="109">
        <f t="shared" si="28"/>
        <v>4</v>
      </c>
      <c r="CX18" s="108">
        <f t="shared" si="29"/>
        <v>2040</v>
      </c>
      <c r="CY18" s="109">
        <f t="shared" si="30"/>
        <v>1</v>
      </c>
      <c r="CZ18" s="108">
        <f t="shared" si="31"/>
        <v>2040</v>
      </c>
      <c r="DA18" s="109">
        <f t="shared" si="32"/>
        <v>10</v>
      </c>
      <c r="DB18" s="110">
        <f t="shared" si="33"/>
        <v>2039</v>
      </c>
      <c r="DC18" s="111" t="str">
        <f t="shared" si="34"/>
        <v>- - -</v>
      </c>
      <c r="DD18" s="111" t="str">
        <f t="shared" si="35"/>
        <v>. .</v>
      </c>
      <c r="DE18" s="90"/>
      <c r="DF18" s="90">
        <f t="shared" si="36"/>
        <v>660</v>
      </c>
      <c r="DG18" s="90">
        <f t="shared" si="37"/>
        <v>-23811</v>
      </c>
      <c r="DH18" s="90">
        <f t="shared" si="38"/>
        <v>-1985</v>
      </c>
      <c r="DI18" s="90" t="str">
        <f t="shared" si="39"/>
        <v>Nữ dưới 30</v>
      </c>
      <c r="DJ18" s="90"/>
      <c r="DK18" s="96"/>
      <c r="DL18" s="104" t="str">
        <f t="shared" si="40"/>
        <v>Đến 30</v>
      </c>
      <c r="DM18" s="88" t="str">
        <f t="shared" si="41"/>
        <v>--</v>
      </c>
      <c r="DN18" s="86"/>
      <c r="DO18" s="122"/>
      <c r="DP18" s="88"/>
      <c r="DQ18" s="106"/>
      <c r="DR18" s="112"/>
      <c r="DS18" s="113"/>
      <c r="DT18" s="114"/>
      <c r="DU18" s="115"/>
      <c r="DV18" s="89"/>
      <c r="DW18" s="92"/>
      <c r="DX18" s="93" t="s">
        <v>209</v>
      </c>
      <c r="DY18" s="125"/>
      <c r="DZ18" s="93" t="s">
        <v>37</v>
      </c>
      <c r="EA18" s="116" t="s">
        <v>46</v>
      </c>
      <c r="EB18" s="93" t="s">
        <v>51</v>
      </c>
      <c r="EC18" s="117" t="s">
        <v>46</v>
      </c>
      <c r="ED18" s="92" t="s">
        <v>54</v>
      </c>
      <c r="EE18" s="93">
        <f t="shared" si="42"/>
        <v>0</v>
      </c>
      <c r="EF18" s="125" t="str">
        <f t="shared" si="43"/>
        <v>- - -</v>
      </c>
      <c r="EG18" s="93" t="s">
        <v>37</v>
      </c>
      <c r="EH18" s="116" t="s">
        <v>46</v>
      </c>
      <c r="EI18" s="86" t="s">
        <v>51</v>
      </c>
      <c r="EJ18" s="103" t="s">
        <v>46</v>
      </c>
      <c r="EK18" s="118" t="s">
        <v>54</v>
      </c>
      <c r="EL18" s="115"/>
      <c r="EM18" s="119" t="str">
        <f t="shared" si="44"/>
        <v>- - -</v>
      </c>
      <c r="EN18" s="119" t="str">
        <f t="shared" si="45"/>
        <v>---</v>
      </c>
    </row>
    <row r="19" spans="1:144" s="119" customFormat="1" ht="39.75" customHeight="1" x14ac:dyDescent="0.2">
      <c r="A19" s="408">
        <v>133</v>
      </c>
      <c r="B19" s="298">
        <v>3</v>
      </c>
      <c r="C19" s="86"/>
      <c r="D19" s="86" t="str">
        <f t="shared" si="0"/>
        <v>Ông</v>
      </c>
      <c r="E19" s="410" t="s">
        <v>210</v>
      </c>
      <c r="F19" s="411" t="s">
        <v>55</v>
      </c>
      <c r="G19" s="412" t="s">
        <v>147</v>
      </c>
      <c r="H19" s="412" t="s">
        <v>46</v>
      </c>
      <c r="I19" s="412" t="s">
        <v>44</v>
      </c>
      <c r="J19" s="85" t="s">
        <v>46</v>
      </c>
      <c r="K19" s="85" t="s">
        <v>183</v>
      </c>
      <c r="L19" s="85" t="s">
        <v>73</v>
      </c>
      <c r="M19" s="85" t="str">
        <f t="shared" si="1"/>
        <v>VC</v>
      </c>
      <c r="N19" s="85"/>
      <c r="O19" s="85" t="e">
        <f t="shared" si="2"/>
        <v>#N/A</v>
      </c>
      <c r="P19" s="85"/>
      <c r="Q19" s="410" t="e">
        <f>VLOOKUP(P19,'[2]- DLiêu Gốc -'!$C$2:$H$115,2,0)</f>
        <v>#N/A</v>
      </c>
      <c r="R19" s="526" t="s">
        <v>211</v>
      </c>
      <c r="S19" s="413" t="s">
        <v>120</v>
      </c>
      <c r="T19" s="414" t="str">
        <f>VLOOKUP(Y19,'[2]- DLiêu Gốc -'!$C$2:$H$60,5,0)</f>
        <v>A1</v>
      </c>
      <c r="U19" s="414" t="str">
        <f>VLOOKUP(Y19,'[2]- DLiêu Gốc -'!$C$2:$H$60,6,0)</f>
        <v>- - -</v>
      </c>
      <c r="V19" s="415" t="s">
        <v>64</v>
      </c>
      <c r="W19" s="416" t="str">
        <f t="shared" si="3"/>
        <v>Giảng viên (hạng III)</v>
      </c>
      <c r="X19" s="417" t="str">
        <f t="shared" si="4"/>
        <v>V.07.01.03</v>
      </c>
      <c r="Y19" s="418" t="s">
        <v>67</v>
      </c>
      <c r="Z19" s="417" t="str">
        <f>VLOOKUP(Y19,'[2]- DLiêu Gốc -'!$C$1:$H$133,2,0)</f>
        <v>V.07.01.03</v>
      </c>
      <c r="AA19" s="419" t="str">
        <f t="shared" si="5"/>
        <v>Lương</v>
      </c>
      <c r="AB19" s="420">
        <v>5</v>
      </c>
      <c r="AC19" s="355" t="str">
        <f t="shared" si="6"/>
        <v>/</v>
      </c>
      <c r="AD19" s="45">
        <f t="shared" si="7"/>
        <v>9</v>
      </c>
      <c r="AE19" s="421">
        <f t="shared" si="8"/>
        <v>3.66</v>
      </c>
      <c r="AF19" s="422"/>
      <c r="AG19" s="45"/>
      <c r="AH19" s="423" t="s">
        <v>37</v>
      </c>
      <c r="AI19" s="424" t="s">
        <v>46</v>
      </c>
      <c r="AJ19" s="425" t="s">
        <v>51</v>
      </c>
      <c r="AK19" s="525" t="s">
        <v>46</v>
      </c>
      <c r="AL19" s="426">
        <v>2015</v>
      </c>
      <c r="AM19" s="427"/>
      <c r="AN19" s="428"/>
      <c r="AO19" s="429">
        <f t="shared" si="9"/>
        <v>6</v>
      </c>
      <c r="AP19" s="430" t="str">
        <f t="shared" si="10"/>
        <v>/</v>
      </c>
      <c r="AQ19" s="431">
        <f t="shared" si="11"/>
        <v>9</v>
      </c>
      <c r="AR19" s="527">
        <f t="shared" si="12"/>
        <v>3.99</v>
      </c>
      <c r="AS19" s="45"/>
      <c r="AT19" s="432" t="s">
        <v>37</v>
      </c>
      <c r="AU19" s="433" t="s">
        <v>46</v>
      </c>
      <c r="AV19" s="434" t="s">
        <v>51</v>
      </c>
      <c r="AW19" s="435" t="s">
        <v>46</v>
      </c>
      <c r="AX19" s="436">
        <v>2018</v>
      </c>
      <c r="AY19" s="439"/>
      <c r="AZ19" s="103" t="s">
        <v>188</v>
      </c>
      <c r="BA19" s="94"/>
      <c r="BB19" s="437">
        <f t="shared" si="13"/>
        <v>3</v>
      </c>
      <c r="BC19" s="91">
        <f t="shared" si="14"/>
        <v>-24227</v>
      </c>
      <c r="BD19" s="91">
        <f>VLOOKUP(Y19,'[2]- DLiêu Gốc -'!$C$1:$F$60,3,0)</f>
        <v>2.34</v>
      </c>
      <c r="BE19" s="96">
        <f>VLOOKUP(Y19,'[2]- DLiêu Gốc -'!$C$1:$F$60,4,0)</f>
        <v>0.33</v>
      </c>
      <c r="BF19" s="97" t="str">
        <f t="shared" si="15"/>
        <v>PCTN</v>
      </c>
      <c r="BG19" s="193">
        <v>11</v>
      </c>
      <c r="BH19" s="99" t="s">
        <v>35</v>
      </c>
      <c r="BI19" s="330" t="s">
        <v>37</v>
      </c>
      <c r="BJ19" s="192" t="s">
        <v>46</v>
      </c>
      <c r="BK19" s="330">
        <v>11</v>
      </c>
      <c r="BL19" s="121" t="s">
        <v>46</v>
      </c>
      <c r="BM19" s="95">
        <v>2016</v>
      </c>
      <c r="BN19" s="131"/>
      <c r="BO19" s="98"/>
      <c r="BP19" s="409">
        <f>IF(BG19&gt;3,BG19+1,0)</f>
        <v>12</v>
      </c>
      <c r="BQ19" s="99" t="s">
        <v>35</v>
      </c>
      <c r="BR19" s="330" t="s">
        <v>37</v>
      </c>
      <c r="BS19" s="192" t="s">
        <v>46</v>
      </c>
      <c r="BT19" s="330">
        <v>11</v>
      </c>
      <c r="BU19" s="121" t="s">
        <v>46</v>
      </c>
      <c r="BV19" s="123">
        <v>2017</v>
      </c>
      <c r="BW19" s="103"/>
      <c r="BX19" s="438"/>
      <c r="BY19" s="96">
        <f t="shared" si="16"/>
        <v>-24215</v>
      </c>
      <c r="BZ19" s="87" t="str">
        <f t="shared" si="17"/>
        <v>- - -</v>
      </c>
      <c r="CA19" s="100" t="str">
        <f t="shared" si="18"/>
        <v>Chánh Văn phòng Học viện, Trưởng Ban Tổ chức - Cán bộ, Trưởng Khoa Khoa học hành chính và Tổ chức nhân sự</v>
      </c>
      <c r="CB19" s="101" t="str">
        <f t="shared" si="19"/>
        <v>A</v>
      </c>
      <c r="CC19" s="90" t="str">
        <f t="shared" si="20"/>
        <v>=&gt; s</v>
      </c>
      <c r="CD19" s="86">
        <f t="shared" si="21"/>
        <v>24251</v>
      </c>
      <c r="CE19" s="86" t="str">
        <f t="shared" si="22"/>
        <v>S</v>
      </c>
      <c r="CF19" s="147">
        <v>2012</v>
      </c>
      <c r="CG19" s="86" t="s">
        <v>174</v>
      </c>
      <c r="CH19" s="102"/>
      <c r="CI19" s="86"/>
      <c r="CJ19" s="103" t="str">
        <f t="shared" si="23"/>
        <v>Cùg Ng</v>
      </c>
      <c r="CK19" s="104" t="str">
        <f t="shared" si="24"/>
        <v>- - -</v>
      </c>
      <c r="CL19" s="105"/>
      <c r="CM19" s="104"/>
      <c r="CN19" s="106"/>
      <c r="CO19" s="103"/>
      <c r="CP19" s="104" t="str">
        <f t="shared" si="25"/>
        <v>- - -</v>
      </c>
      <c r="CQ19" s="105"/>
      <c r="CR19" s="104"/>
      <c r="CS19" s="106"/>
      <c r="CT19" s="107"/>
      <c r="CU19" s="132" t="str">
        <f t="shared" si="26"/>
        <v>---</v>
      </c>
      <c r="CV19" s="108" t="str">
        <f t="shared" si="27"/>
        <v>/-/ /-/</v>
      </c>
      <c r="CW19" s="109">
        <f t="shared" si="28"/>
        <v>10</v>
      </c>
      <c r="CX19" s="108">
        <f t="shared" si="29"/>
        <v>2037</v>
      </c>
      <c r="CY19" s="109">
        <f t="shared" si="30"/>
        <v>7</v>
      </c>
      <c r="CZ19" s="108">
        <f t="shared" si="31"/>
        <v>2037</v>
      </c>
      <c r="DA19" s="109">
        <f t="shared" si="32"/>
        <v>4</v>
      </c>
      <c r="DB19" s="110">
        <f t="shared" si="33"/>
        <v>2037</v>
      </c>
      <c r="DC19" s="111" t="str">
        <f t="shared" si="34"/>
        <v>- - -</v>
      </c>
      <c r="DD19" s="111" t="str">
        <f t="shared" si="35"/>
        <v>. .</v>
      </c>
      <c r="DE19" s="90"/>
      <c r="DF19" s="90">
        <f t="shared" si="36"/>
        <v>720</v>
      </c>
      <c r="DG19" s="90">
        <f t="shared" si="37"/>
        <v>-23721</v>
      </c>
      <c r="DH19" s="90">
        <f t="shared" si="38"/>
        <v>-1977</v>
      </c>
      <c r="DI19" s="90" t="str">
        <f t="shared" si="39"/>
        <v>Nam dưới 35</v>
      </c>
      <c r="DJ19" s="90"/>
      <c r="DK19" s="96"/>
      <c r="DL19" s="104" t="str">
        <f t="shared" si="40"/>
        <v>Đến 30</v>
      </c>
      <c r="DM19" s="88" t="str">
        <f t="shared" si="41"/>
        <v>TD</v>
      </c>
      <c r="DN19" s="86">
        <v>2012</v>
      </c>
      <c r="DO19" s="122"/>
      <c r="DP19" s="88"/>
      <c r="DQ19" s="106"/>
      <c r="DR19" s="112"/>
      <c r="DS19" s="113"/>
      <c r="DT19" s="114"/>
      <c r="DU19" s="115"/>
      <c r="DV19" s="89"/>
      <c r="DW19" s="92" t="s">
        <v>211</v>
      </c>
      <c r="DX19" s="93" t="s">
        <v>209</v>
      </c>
      <c r="DY19" s="125" t="s">
        <v>212</v>
      </c>
      <c r="DZ19" s="93" t="s">
        <v>37</v>
      </c>
      <c r="EA19" s="116" t="s">
        <v>46</v>
      </c>
      <c r="EB19" s="93" t="s">
        <v>51</v>
      </c>
      <c r="EC19" s="117" t="s">
        <v>46</v>
      </c>
      <c r="ED19" s="92">
        <v>2012</v>
      </c>
      <c r="EE19" s="93">
        <f t="shared" si="42"/>
        <v>0</v>
      </c>
      <c r="EF19" s="125" t="str">
        <f t="shared" si="43"/>
        <v>- - -</v>
      </c>
      <c r="EG19" s="93" t="s">
        <v>37</v>
      </c>
      <c r="EH19" s="116" t="s">
        <v>46</v>
      </c>
      <c r="EI19" s="86" t="s">
        <v>51</v>
      </c>
      <c r="EJ19" s="103" t="s">
        <v>46</v>
      </c>
      <c r="EK19" s="118">
        <v>2012</v>
      </c>
      <c r="EL19" s="115"/>
      <c r="EM19" s="119" t="str">
        <f t="shared" si="44"/>
        <v>- - -</v>
      </c>
      <c r="EN19" s="119" t="str">
        <f t="shared" si="45"/>
        <v>---</v>
      </c>
    </row>
    <row r="20" spans="1:144" s="119" customFormat="1" ht="39.75" customHeight="1" x14ac:dyDescent="0.2">
      <c r="A20" s="408">
        <v>157</v>
      </c>
      <c r="B20" s="298">
        <v>4</v>
      </c>
      <c r="C20" s="86"/>
      <c r="D20" s="86" t="str">
        <f t="shared" si="0"/>
        <v>Bà</v>
      </c>
      <c r="E20" s="410" t="s">
        <v>213</v>
      </c>
      <c r="F20" s="411" t="s">
        <v>56</v>
      </c>
      <c r="G20" s="412" t="s">
        <v>37</v>
      </c>
      <c r="H20" s="412" t="s">
        <v>46</v>
      </c>
      <c r="I20" s="412" t="s">
        <v>44</v>
      </c>
      <c r="J20" s="85" t="s">
        <v>46</v>
      </c>
      <c r="K20" s="85" t="s">
        <v>164</v>
      </c>
      <c r="L20" s="85" t="s">
        <v>73</v>
      </c>
      <c r="M20" s="85" t="str">
        <f t="shared" si="1"/>
        <v>VC</v>
      </c>
      <c r="N20" s="85"/>
      <c r="O20" s="85" t="e">
        <f t="shared" si="2"/>
        <v>#N/A</v>
      </c>
      <c r="P20" s="85"/>
      <c r="Q20" s="410" t="e">
        <f>VLOOKUP(P20,'[2]- DLiêu Gốc -'!$C$2:$H$115,2,0)</f>
        <v>#N/A</v>
      </c>
      <c r="R20" s="526" t="s">
        <v>214</v>
      </c>
      <c r="S20" s="413" t="s">
        <v>120</v>
      </c>
      <c r="T20" s="414" t="str">
        <f>VLOOKUP(Y20,'[2]- DLiêu Gốc -'!$C$2:$H$60,5,0)</f>
        <v>A1</v>
      </c>
      <c r="U20" s="414" t="str">
        <f>VLOOKUP(Y20,'[2]- DLiêu Gốc -'!$C$2:$H$60,6,0)</f>
        <v>- - -</v>
      </c>
      <c r="V20" s="415" t="s">
        <v>64</v>
      </c>
      <c r="W20" s="416" t="str">
        <f t="shared" si="3"/>
        <v>Giảng viên (hạng III)</v>
      </c>
      <c r="X20" s="417" t="str">
        <f t="shared" si="4"/>
        <v>V.07.01.03</v>
      </c>
      <c r="Y20" s="418" t="s">
        <v>67</v>
      </c>
      <c r="Z20" s="417" t="str">
        <f>VLOOKUP(Y20,'[2]- DLiêu Gốc -'!$C$1:$H$133,2,0)</f>
        <v>V.07.01.03</v>
      </c>
      <c r="AA20" s="419" t="str">
        <f t="shared" si="5"/>
        <v>Lương</v>
      </c>
      <c r="AB20" s="420">
        <v>6</v>
      </c>
      <c r="AC20" s="355" t="str">
        <f t="shared" si="6"/>
        <v>/</v>
      </c>
      <c r="AD20" s="45">
        <f t="shared" si="7"/>
        <v>9</v>
      </c>
      <c r="AE20" s="421">
        <f t="shared" si="8"/>
        <v>3.99</v>
      </c>
      <c r="AF20" s="422"/>
      <c r="AG20" s="45"/>
      <c r="AH20" s="423" t="s">
        <v>37</v>
      </c>
      <c r="AI20" s="424" t="s">
        <v>46</v>
      </c>
      <c r="AJ20" s="425" t="s">
        <v>51</v>
      </c>
      <c r="AK20" s="525" t="s">
        <v>46</v>
      </c>
      <c r="AL20" s="426">
        <v>2015</v>
      </c>
      <c r="AM20" s="427"/>
      <c r="AN20" s="428"/>
      <c r="AO20" s="429">
        <f t="shared" si="9"/>
        <v>7</v>
      </c>
      <c r="AP20" s="430" t="str">
        <f t="shared" si="10"/>
        <v>/</v>
      </c>
      <c r="AQ20" s="431">
        <f t="shared" si="11"/>
        <v>9</v>
      </c>
      <c r="AR20" s="527">
        <f t="shared" si="12"/>
        <v>4.32</v>
      </c>
      <c r="AS20" s="45"/>
      <c r="AT20" s="432" t="s">
        <v>37</v>
      </c>
      <c r="AU20" s="433" t="s">
        <v>46</v>
      </c>
      <c r="AV20" s="434" t="s">
        <v>51</v>
      </c>
      <c r="AW20" s="435" t="s">
        <v>46</v>
      </c>
      <c r="AX20" s="436">
        <v>2018</v>
      </c>
      <c r="AY20" s="439"/>
      <c r="AZ20" s="103"/>
      <c r="BA20" s="94"/>
      <c r="BB20" s="437">
        <f t="shared" si="13"/>
        <v>3</v>
      </c>
      <c r="BC20" s="91">
        <f t="shared" si="14"/>
        <v>-24227</v>
      </c>
      <c r="BD20" s="91">
        <f>VLOOKUP(Y20,'[2]- DLiêu Gốc -'!$C$1:$F$60,3,0)</f>
        <v>2.34</v>
      </c>
      <c r="BE20" s="96">
        <f>VLOOKUP(Y20,'[2]- DLiêu Gốc -'!$C$1:$F$60,4,0)</f>
        <v>0.33</v>
      </c>
      <c r="BF20" s="97" t="str">
        <f t="shared" si="15"/>
        <v>PCTN</v>
      </c>
      <c r="BG20" s="193">
        <v>16</v>
      </c>
      <c r="BH20" s="99" t="s">
        <v>35</v>
      </c>
      <c r="BI20" s="330" t="s">
        <v>37</v>
      </c>
      <c r="BJ20" s="192" t="s">
        <v>46</v>
      </c>
      <c r="BK20" s="330">
        <v>10</v>
      </c>
      <c r="BL20" s="121" t="s">
        <v>46</v>
      </c>
      <c r="BM20" s="95">
        <v>2016</v>
      </c>
      <c r="BN20" s="131"/>
      <c r="BO20" s="98"/>
      <c r="BP20" s="409">
        <f>IF(BG20&gt;3,BG20+1,0)</f>
        <v>17</v>
      </c>
      <c r="BQ20" s="99" t="s">
        <v>35</v>
      </c>
      <c r="BR20" s="330" t="s">
        <v>37</v>
      </c>
      <c r="BS20" s="192" t="s">
        <v>46</v>
      </c>
      <c r="BT20" s="330">
        <v>10</v>
      </c>
      <c r="BU20" s="121" t="s">
        <v>46</v>
      </c>
      <c r="BV20" s="123">
        <v>2017</v>
      </c>
      <c r="BW20" s="103"/>
      <c r="BX20" s="438"/>
      <c r="BY20" s="96">
        <f t="shared" si="16"/>
        <v>-24214</v>
      </c>
      <c r="BZ20" s="87" t="str">
        <f t="shared" si="17"/>
        <v>- - -</v>
      </c>
      <c r="CA20" s="100" t="str">
        <f t="shared" si="18"/>
        <v>Chánh Văn phòng Học viện, Trưởng Ban Tổ chức - Cán bộ, Trưởng Khoa Khoa học hành chính và Tổ chức nhân sự</v>
      </c>
      <c r="CB20" s="101" t="str">
        <f t="shared" si="19"/>
        <v>A</v>
      </c>
      <c r="CC20" s="90" t="str">
        <f t="shared" si="20"/>
        <v>=&gt; s</v>
      </c>
      <c r="CD20" s="86">
        <f t="shared" si="21"/>
        <v>24251</v>
      </c>
      <c r="CE20" s="86" t="str">
        <f t="shared" si="22"/>
        <v>---</v>
      </c>
      <c r="CF20" s="147"/>
      <c r="CG20" s="86"/>
      <c r="CH20" s="102"/>
      <c r="CI20" s="86"/>
      <c r="CJ20" s="103" t="str">
        <f t="shared" si="23"/>
        <v>- - -</v>
      </c>
      <c r="CK20" s="104" t="str">
        <f t="shared" si="24"/>
        <v>- - -</v>
      </c>
      <c r="CL20" s="105"/>
      <c r="CM20" s="104"/>
      <c r="CN20" s="106"/>
      <c r="CO20" s="103"/>
      <c r="CP20" s="104" t="str">
        <f t="shared" si="25"/>
        <v>- - -</v>
      </c>
      <c r="CQ20" s="105"/>
      <c r="CR20" s="104"/>
      <c r="CS20" s="106"/>
      <c r="CT20" s="107"/>
      <c r="CU20" s="132" t="str">
        <f t="shared" si="26"/>
        <v>---</v>
      </c>
      <c r="CV20" s="108" t="str">
        <f t="shared" si="27"/>
        <v>/-/ /-/</v>
      </c>
      <c r="CW20" s="109">
        <f t="shared" si="28"/>
        <v>10</v>
      </c>
      <c r="CX20" s="108">
        <f t="shared" si="29"/>
        <v>2031</v>
      </c>
      <c r="CY20" s="109">
        <f t="shared" si="30"/>
        <v>7</v>
      </c>
      <c r="CZ20" s="108">
        <f t="shared" si="31"/>
        <v>2031</v>
      </c>
      <c r="DA20" s="109">
        <f t="shared" si="32"/>
        <v>4</v>
      </c>
      <c r="DB20" s="110">
        <f t="shared" si="33"/>
        <v>2031</v>
      </c>
      <c r="DC20" s="111" t="str">
        <f t="shared" si="34"/>
        <v>- - -</v>
      </c>
      <c r="DD20" s="111" t="str">
        <f t="shared" si="35"/>
        <v>. .</v>
      </c>
      <c r="DE20" s="90"/>
      <c r="DF20" s="90">
        <f t="shared" si="36"/>
        <v>660</v>
      </c>
      <c r="DG20" s="90">
        <f t="shared" si="37"/>
        <v>-23709</v>
      </c>
      <c r="DH20" s="90">
        <f t="shared" si="38"/>
        <v>-1976</v>
      </c>
      <c r="DI20" s="90" t="str">
        <f t="shared" si="39"/>
        <v>Nữ dưới 30</v>
      </c>
      <c r="DJ20" s="90"/>
      <c r="DK20" s="96"/>
      <c r="DL20" s="104" t="str">
        <f t="shared" si="40"/>
        <v>Đến 30</v>
      </c>
      <c r="DM20" s="88" t="str">
        <f t="shared" si="41"/>
        <v>--</v>
      </c>
      <c r="DN20" s="86"/>
      <c r="DO20" s="122"/>
      <c r="DP20" s="88"/>
      <c r="DQ20" s="106"/>
      <c r="DR20" s="112"/>
      <c r="DS20" s="113"/>
      <c r="DT20" s="114"/>
      <c r="DU20" s="115"/>
      <c r="DV20" s="89"/>
      <c r="DW20" s="92" t="s">
        <v>214</v>
      </c>
      <c r="DX20" s="93" t="s">
        <v>209</v>
      </c>
      <c r="DY20" s="125" t="s">
        <v>214</v>
      </c>
      <c r="DZ20" s="93" t="s">
        <v>37</v>
      </c>
      <c r="EA20" s="116" t="s">
        <v>46</v>
      </c>
      <c r="EB20" s="93" t="s">
        <v>51</v>
      </c>
      <c r="EC20" s="117" t="s">
        <v>46</v>
      </c>
      <c r="ED20" s="92">
        <v>2012</v>
      </c>
      <c r="EE20" s="93">
        <f t="shared" si="42"/>
        <v>0</v>
      </c>
      <c r="EF20" s="125" t="str">
        <f t="shared" si="43"/>
        <v>- - -</v>
      </c>
      <c r="EG20" s="93" t="s">
        <v>37</v>
      </c>
      <c r="EH20" s="116" t="s">
        <v>46</v>
      </c>
      <c r="EI20" s="86" t="s">
        <v>51</v>
      </c>
      <c r="EJ20" s="103" t="s">
        <v>46</v>
      </c>
      <c r="EK20" s="118">
        <v>2012</v>
      </c>
      <c r="EL20" s="115"/>
      <c r="EM20" s="119" t="str">
        <f t="shared" si="44"/>
        <v>- - -</v>
      </c>
      <c r="EN20" s="119" t="str">
        <f t="shared" si="45"/>
        <v>---</v>
      </c>
    </row>
    <row r="21" spans="1:144" s="119" customFormat="1" ht="39.75" customHeight="1" x14ac:dyDescent="0.2">
      <c r="A21" s="408">
        <v>172</v>
      </c>
      <c r="B21" s="298">
        <v>5</v>
      </c>
      <c r="C21" s="86"/>
      <c r="D21" s="86" t="str">
        <f t="shared" si="0"/>
        <v>Bà</v>
      </c>
      <c r="E21" s="410" t="s">
        <v>215</v>
      </c>
      <c r="F21" s="411" t="s">
        <v>56</v>
      </c>
      <c r="G21" s="412" t="s">
        <v>216</v>
      </c>
      <c r="H21" s="412" t="s">
        <v>46</v>
      </c>
      <c r="I21" s="412">
        <v>3</v>
      </c>
      <c r="J21" s="85" t="s">
        <v>46</v>
      </c>
      <c r="K21" s="85">
        <v>1977</v>
      </c>
      <c r="L21" s="85" t="s">
        <v>73</v>
      </c>
      <c r="M21" s="85" t="str">
        <f t="shared" si="1"/>
        <v>VC</v>
      </c>
      <c r="N21" s="85"/>
      <c r="O21" s="85" t="e">
        <f t="shared" si="2"/>
        <v>#N/A</v>
      </c>
      <c r="P21" s="85"/>
      <c r="Q21" s="410" t="e">
        <f>VLOOKUP(P21,'[2]- DLiêu Gốc -'!$C$2:$H$115,2,0)</f>
        <v>#N/A</v>
      </c>
      <c r="R21" s="526" t="s">
        <v>217</v>
      </c>
      <c r="S21" s="413" t="s">
        <v>120</v>
      </c>
      <c r="T21" s="414" t="str">
        <f>VLOOKUP(Y21,'[2]- DLiêu Gốc -'!$C$2:$H$60,5,0)</f>
        <v>A1</v>
      </c>
      <c r="U21" s="414" t="str">
        <f>VLOOKUP(Y21,'[2]- DLiêu Gốc -'!$C$2:$H$60,6,0)</f>
        <v>- - -</v>
      </c>
      <c r="V21" s="415" t="s">
        <v>64</v>
      </c>
      <c r="W21" s="416" t="str">
        <f t="shared" si="3"/>
        <v>Giảng viên (hạng III)</v>
      </c>
      <c r="X21" s="417" t="str">
        <f t="shared" si="4"/>
        <v>V.07.01.03</v>
      </c>
      <c r="Y21" s="418" t="s">
        <v>67</v>
      </c>
      <c r="Z21" s="417" t="str">
        <f>VLOOKUP(Y21,'[2]- DLiêu Gốc -'!$C$1:$H$133,2,0)</f>
        <v>V.07.01.03</v>
      </c>
      <c r="AA21" s="419" t="str">
        <f t="shared" si="5"/>
        <v>Lương</v>
      </c>
      <c r="AB21" s="420">
        <v>6</v>
      </c>
      <c r="AC21" s="355" t="str">
        <f t="shared" si="6"/>
        <v>/</v>
      </c>
      <c r="AD21" s="45">
        <f t="shared" si="7"/>
        <v>9</v>
      </c>
      <c r="AE21" s="421">
        <f t="shared" si="8"/>
        <v>3.99</v>
      </c>
      <c r="AF21" s="422"/>
      <c r="AG21" s="45"/>
      <c r="AH21" s="423" t="s">
        <v>37</v>
      </c>
      <c r="AI21" s="424" t="s">
        <v>46</v>
      </c>
      <c r="AJ21" s="425" t="s">
        <v>51</v>
      </c>
      <c r="AK21" s="525" t="s">
        <v>46</v>
      </c>
      <c r="AL21" s="426">
        <v>2015</v>
      </c>
      <c r="AM21" s="427"/>
      <c r="AN21" s="428"/>
      <c r="AO21" s="429">
        <f t="shared" si="9"/>
        <v>7</v>
      </c>
      <c r="AP21" s="430" t="str">
        <f t="shared" si="10"/>
        <v>/</v>
      </c>
      <c r="AQ21" s="431">
        <f t="shared" si="11"/>
        <v>9</v>
      </c>
      <c r="AR21" s="527">
        <f t="shared" si="12"/>
        <v>4.32</v>
      </c>
      <c r="AS21" s="45"/>
      <c r="AT21" s="432" t="s">
        <v>37</v>
      </c>
      <c r="AU21" s="433" t="s">
        <v>46</v>
      </c>
      <c r="AV21" s="434" t="s">
        <v>51</v>
      </c>
      <c r="AW21" s="435" t="s">
        <v>46</v>
      </c>
      <c r="AX21" s="436">
        <v>2018</v>
      </c>
      <c r="AY21" s="439"/>
      <c r="AZ21" s="103"/>
      <c r="BA21" s="94"/>
      <c r="BB21" s="437">
        <f t="shared" si="13"/>
        <v>3</v>
      </c>
      <c r="BC21" s="91">
        <f t="shared" si="14"/>
        <v>-24227</v>
      </c>
      <c r="BD21" s="91">
        <f>VLOOKUP(Y21,'[2]- DLiêu Gốc -'!$C$1:$F$60,3,0)</f>
        <v>2.34</v>
      </c>
      <c r="BE21" s="96">
        <f>VLOOKUP(Y21,'[2]- DLiêu Gốc -'!$C$1:$F$60,4,0)</f>
        <v>0.33</v>
      </c>
      <c r="BF21" s="97" t="str">
        <f t="shared" si="15"/>
        <v>PCTN</v>
      </c>
      <c r="BG21" s="193">
        <v>8</v>
      </c>
      <c r="BH21" s="99" t="s">
        <v>35</v>
      </c>
      <c r="BI21" s="330" t="s">
        <v>37</v>
      </c>
      <c r="BJ21" s="192" t="s">
        <v>46</v>
      </c>
      <c r="BK21" s="330" t="s">
        <v>41</v>
      </c>
      <c r="BL21" s="121" t="s">
        <v>46</v>
      </c>
      <c r="BM21" s="95">
        <v>2016</v>
      </c>
      <c r="BN21" s="131"/>
      <c r="BO21" s="98"/>
      <c r="BP21" s="409">
        <f>IF(BG21&gt;3,BG21+1,0)</f>
        <v>9</v>
      </c>
      <c r="BQ21" s="99" t="s">
        <v>35</v>
      </c>
      <c r="BR21" s="330" t="s">
        <v>37</v>
      </c>
      <c r="BS21" s="192"/>
      <c r="BT21" s="330" t="s">
        <v>41</v>
      </c>
      <c r="BU21" s="121"/>
      <c r="BV21" s="123">
        <v>2017</v>
      </c>
      <c r="BW21" s="103"/>
      <c r="BX21" s="438"/>
      <c r="BY21" s="96">
        <f t="shared" si="16"/>
        <v>-24212</v>
      </c>
      <c r="BZ21" s="87" t="str">
        <f t="shared" si="17"/>
        <v>- - -</v>
      </c>
      <c r="CA21" s="100" t="str">
        <f t="shared" si="18"/>
        <v>Chánh Văn phòng Học viện, Trưởng Ban Tổ chức - Cán bộ, Trưởng Khoa Khoa học hành chính và Tổ chức nhân sự</v>
      </c>
      <c r="CB21" s="101" t="str">
        <f t="shared" si="19"/>
        <v>A</v>
      </c>
      <c r="CC21" s="90" t="str">
        <f t="shared" si="20"/>
        <v>=&gt; s</v>
      </c>
      <c r="CD21" s="86">
        <f t="shared" si="21"/>
        <v>24251</v>
      </c>
      <c r="CE21" s="86" t="str">
        <f t="shared" si="22"/>
        <v>---</v>
      </c>
      <c r="CF21" s="147"/>
      <c r="CG21" s="86"/>
      <c r="CH21" s="102"/>
      <c r="CI21" s="86"/>
      <c r="CJ21" s="103" t="str">
        <f t="shared" si="23"/>
        <v>- - -</v>
      </c>
      <c r="CK21" s="104" t="str">
        <f t="shared" si="24"/>
        <v>- - -</v>
      </c>
      <c r="CL21" s="105"/>
      <c r="CM21" s="104"/>
      <c r="CN21" s="106"/>
      <c r="CO21" s="103"/>
      <c r="CP21" s="104" t="str">
        <f t="shared" si="25"/>
        <v>- - -</v>
      </c>
      <c r="CQ21" s="105"/>
      <c r="CR21" s="104"/>
      <c r="CS21" s="106"/>
      <c r="CT21" s="107"/>
      <c r="CU21" s="132" t="str">
        <f t="shared" si="26"/>
        <v>---</v>
      </c>
      <c r="CV21" s="108" t="str">
        <f t="shared" si="27"/>
        <v>/-/ /-/</v>
      </c>
      <c r="CW21" s="109">
        <f t="shared" si="28"/>
        <v>4</v>
      </c>
      <c r="CX21" s="108">
        <f t="shared" si="29"/>
        <v>2032</v>
      </c>
      <c r="CY21" s="109">
        <f t="shared" si="30"/>
        <v>1</v>
      </c>
      <c r="CZ21" s="108">
        <f t="shared" si="31"/>
        <v>2032</v>
      </c>
      <c r="DA21" s="109">
        <f t="shared" si="32"/>
        <v>10</v>
      </c>
      <c r="DB21" s="110">
        <f t="shared" si="33"/>
        <v>2031</v>
      </c>
      <c r="DC21" s="111" t="str">
        <f t="shared" si="34"/>
        <v>- - -</v>
      </c>
      <c r="DD21" s="111" t="str">
        <f t="shared" si="35"/>
        <v>. .</v>
      </c>
      <c r="DE21" s="90"/>
      <c r="DF21" s="90">
        <f t="shared" si="36"/>
        <v>660</v>
      </c>
      <c r="DG21" s="90">
        <f t="shared" si="37"/>
        <v>-23715</v>
      </c>
      <c r="DH21" s="90">
        <f t="shared" si="38"/>
        <v>-1977</v>
      </c>
      <c r="DI21" s="90" t="str">
        <f t="shared" si="39"/>
        <v>Nữ dưới 30</v>
      </c>
      <c r="DJ21" s="90"/>
      <c r="DK21" s="96"/>
      <c r="DL21" s="104" t="str">
        <f t="shared" si="40"/>
        <v>Đến 30</v>
      </c>
      <c r="DM21" s="88" t="str">
        <f t="shared" si="41"/>
        <v>TD</v>
      </c>
      <c r="DN21" s="86">
        <v>2009</v>
      </c>
      <c r="DO21" s="122"/>
      <c r="DP21" s="88"/>
      <c r="DQ21" s="106"/>
      <c r="DR21" s="112"/>
      <c r="DS21" s="113"/>
      <c r="DT21" s="114"/>
      <c r="DU21" s="115"/>
      <c r="DV21" s="89"/>
      <c r="DW21" s="92" t="s">
        <v>217</v>
      </c>
      <c r="DX21" s="93" t="s">
        <v>131</v>
      </c>
      <c r="DY21" s="125" t="s">
        <v>218</v>
      </c>
      <c r="DZ21" s="93" t="s">
        <v>37</v>
      </c>
      <c r="EA21" s="116" t="s">
        <v>46</v>
      </c>
      <c r="EB21" s="93" t="s">
        <v>43</v>
      </c>
      <c r="EC21" s="117" t="s">
        <v>46</v>
      </c>
      <c r="ED21" s="92" t="s">
        <v>219</v>
      </c>
      <c r="EE21" s="93">
        <f t="shared" si="42"/>
        <v>0</v>
      </c>
      <c r="EF21" s="125" t="str">
        <f t="shared" si="43"/>
        <v>- - -</v>
      </c>
      <c r="EG21" s="93" t="s">
        <v>37</v>
      </c>
      <c r="EH21" s="116" t="s">
        <v>46</v>
      </c>
      <c r="EI21" s="86" t="s">
        <v>43</v>
      </c>
      <c r="EJ21" s="103" t="s">
        <v>46</v>
      </c>
      <c r="EK21" s="118" t="s">
        <v>219</v>
      </c>
      <c r="EL21" s="115"/>
      <c r="EM21" s="119" t="str">
        <f t="shared" si="44"/>
        <v>- - -</v>
      </c>
      <c r="EN21" s="119" t="str">
        <f t="shared" si="45"/>
        <v>---</v>
      </c>
    </row>
    <row r="22" spans="1:144" s="119" customFormat="1" ht="39.75" customHeight="1" x14ac:dyDescent="0.2">
      <c r="A22" s="408">
        <v>219</v>
      </c>
      <c r="B22" s="298">
        <v>6</v>
      </c>
      <c r="C22" s="86"/>
      <c r="D22" s="86" t="str">
        <f t="shared" si="0"/>
        <v>Bà</v>
      </c>
      <c r="E22" s="410" t="s">
        <v>220</v>
      </c>
      <c r="F22" s="411" t="s">
        <v>56</v>
      </c>
      <c r="G22" s="412" t="s">
        <v>141</v>
      </c>
      <c r="H22" s="412" t="s">
        <v>46</v>
      </c>
      <c r="I22" s="412" t="s">
        <v>51</v>
      </c>
      <c r="J22" s="85" t="s">
        <v>46</v>
      </c>
      <c r="K22" s="85">
        <v>1980</v>
      </c>
      <c r="L22" s="85" t="s">
        <v>73</v>
      </c>
      <c r="M22" s="85" t="str">
        <f t="shared" si="1"/>
        <v>VC</v>
      </c>
      <c r="N22" s="85"/>
      <c r="O22" s="85" t="e">
        <f t="shared" si="2"/>
        <v>#N/A</v>
      </c>
      <c r="P22" s="85"/>
      <c r="Q22" s="410" t="e">
        <f>VLOOKUP(P22,'[2]- DLiêu Gốc -'!$C$2:$H$115,2,0)</f>
        <v>#N/A</v>
      </c>
      <c r="R22" s="526" t="s">
        <v>148</v>
      </c>
      <c r="S22" s="413" t="s">
        <v>127</v>
      </c>
      <c r="T22" s="414" t="str">
        <f>VLOOKUP(Y22,'[2]- DLiêu Gốc -'!$C$2:$H$60,5,0)</f>
        <v>A1</v>
      </c>
      <c r="U22" s="414" t="str">
        <f>VLOOKUP(Y22,'[2]- DLiêu Gốc -'!$C$2:$H$60,6,0)</f>
        <v>- - -</v>
      </c>
      <c r="V22" s="415" t="s">
        <v>65</v>
      </c>
      <c r="W22" s="416" t="str">
        <f t="shared" si="3"/>
        <v>Giáo viên trung học</v>
      </c>
      <c r="X22" s="417" t="str">
        <f t="shared" si="4"/>
        <v>15.113</v>
      </c>
      <c r="Y22" s="418" t="s">
        <v>193</v>
      </c>
      <c r="Z22" s="417" t="str">
        <f>VLOOKUP(Y22,'[2]- DLiêu Gốc -'!$C$1:$H$133,2,0)</f>
        <v>15.113</v>
      </c>
      <c r="AA22" s="419" t="str">
        <f t="shared" si="5"/>
        <v>Lương</v>
      </c>
      <c r="AB22" s="420">
        <v>5</v>
      </c>
      <c r="AC22" s="355" t="str">
        <f t="shared" si="6"/>
        <v>/</v>
      </c>
      <c r="AD22" s="45">
        <f t="shared" si="7"/>
        <v>9</v>
      </c>
      <c r="AE22" s="421">
        <f t="shared" si="8"/>
        <v>3.66</v>
      </c>
      <c r="AF22" s="422"/>
      <c r="AG22" s="45"/>
      <c r="AH22" s="423" t="s">
        <v>37</v>
      </c>
      <c r="AI22" s="424"/>
      <c r="AJ22" s="425" t="s">
        <v>51</v>
      </c>
      <c r="AK22" s="525"/>
      <c r="AL22" s="426">
        <v>2015</v>
      </c>
      <c r="AM22" s="427"/>
      <c r="AN22" s="428"/>
      <c r="AO22" s="429">
        <f t="shared" si="9"/>
        <v>6</v>
      </c>
      <c r="AP22" s="430" t="str">
        <f t="shared" si="10"/>
        <v>/</v>
      </c>
      <c r="AQ22" s="431">
        <f t="shared" si="11"/>
        <v>9</v>
      </c>
      <c r="AR22" s="527">
        <f t="shared" si="12"/>
        <v>3.99</v>
      </c>
      <c r="AS22" s="45"/>
      <c r="AT22" s="432" t="s">
        <v>37</v>
      </c>
      <c r="AU22" s="433"/>
      <c r="AV22" s="434" t="s">
        <v>51</v>
      </c>
      <c r="AW22" s="435"/>
      <c r="AX22" s="436">
        <v>2018</v>
      </c>
      <c r="AY22" s="439"/>
      <c r="AZ22" s="103"/>
      <c r="BA22" s="94"/>
      <c r="BB22" s="437">
        <f t="shared" si="13"/>
        <v>3</v>
      </c>
      <c r="BC22" s="91">
        <f t="shared" si="14"/>
        <v>-24227</v>
      </c>
      <c r="BD22" s="91">
        <f>VLOOKUP(Y22,'[2]- DLiêu Gốc -'!$C$1:$F$60,3,0)</f>
        <v>2.34</v>
      </c>
      <c r="BE22" s="96">
        <f>VLOOKUP(Y22,'[2]- DLiêu Gốc -'!$C$1:$F$60,4,0)</f>
        <v>0.33</v>
      </c>
      <c r="BF22" s="97" t="str">
        <f t="shared" si="15"/>
        <v>PCTN</v>
      </c>
      <c r="BG22" s="193">
        <v>13</v>
      </c>
      <c r="BH22" s="99" t="s">
        <v>35</v>
      </c>
      <c r="BI22" s="330" t="s">
        <v>37</v>
      </c>
      <c r="BJ22" s="192" t="s">
        <v>46</v>
      </c>
      <c r="BK22" s="330">
        <v>11</v>
      </c>
      <c r="BL22" s="121" t="s">
        <v>46</v>
      </c>
      <c r="BM22" s="95">
        <v>2016</v>
      </c>
      <c r="BN22" s="131"/>
      <c r="BO22" s="98"/>
      <c r="BP22" s="409">
        <f>IF(BG22&gt;3,BG22+1,0)</f>
        <v>14</v>
      </c>
      <c r="BQ22" s="99" t="s">
        <v>35</v>
      </c>
      <c r="BR22" s="330" t="s">
        <v>37</v>
      </c>
      <c r="BS22" s="192" t="s">
        <v>46</v>
      </c>
      <c r="BT22" s="330">
        <v>11</v>
      </c>
      <c r="BU22" s="121" t="s">
        <v>46</v>
      </c>
      <c r="BV22" s="123">
        <v>2017</v>
      </c>
      <c r="BW22" s="103" t="s">
        <v>221</v>
      </c>
      <c r="BX22" s="438"/>
      <c r="BY22" s="96">
        <f t="shared" si="16"/>
        <v>-24215</v>
      </c>
      <c r="BZ22" s="87" t="str">
        <f t="shared" si="17"/>
        <v>- - -</v>
      </c>
      <c r="CA22" s="100" t="str">
        <f t="shared" si="18"/>
        <v>Chánh Văn phòng Học viện, Trưởng Ban Tổ chức - Cán bộ, Trưởng Khoa Nhà nước - Pháp luật và Lý luận cơ sở</v>
      </c>
      <c r="CB22" s="101" t="str">
        <f t="shared" si="19"/>
        <v>A</v>
      </c>
      <c r="CC22" s="90" t="str">
        <f t="shared" si="20"/>
        <v>=&gt; s</v>
      </c>
      <c r="CD22" s="86">
        <f t="shared" si="21"/>
        <v>24251</v>
      </c>
      <c r="CE22" s="86" t="str">
        <f t="shared" si="22"/>
        <v>---</v>
      </c>
      <c r="CF22" s="147"/>
      <c r="CG22" s="86"/>
      <c r="CH22" s="102"/>
      <c r="CI22" s="86"/>
      <c r="CJ22" s="103" t="str">
        <f t="shared" si="23"/>
        <v>- - -</v>
      </c>
      <c r="CK22" s="104" t="str">
        <f t="shared" si="24"/>
        <v>- - -</v>
      </c>
      <c r="CL22" s="105"/>
      <c r="CM22" s="104"/>
      <c r="CN22" s="106"/>
      <c r="CO22" s="103"/>
      <c r="CP22" s="104" t="str">
        <f t="shared" si="25"/>
        <v>- - -</v>
      </c>
      <c r="CQ22" s="105"/>
      <c r="CR22" s="104"/>
      <c r="CS22" s="106"/>
      <c r="CT22" s="107"/>
      <c r="CU22" s="132" t="str">
        <f t="shared" si="26"/>
        <v>---</v>
      </c>
      <c r="CV22" s="108" t="str">
        <f t="shared" si="27"/>
        <v>/-/ /-/</v>
      </c>
      <c r="CW22" s="109">
        <f t="shared" si="28"/>
        <v>12</v>
      </c>
      <c r="CX22" s="108">
        <f t="shared" si="29"/>
        <v>2035</v>
      </c>
      <c r="CY22" s="109">
        <f t="shared" si="30"/>
        <v>9</v>
      </c>
      <c r="CZ22" s="108">
        <f t="shared" si="31"/>
        <v>2035</v>
      </c>
      <c r="DA22" s="109">
        <f t="shared" si="32"/>
        <v>6</v>
      </c>
      <c r="DB22" s="110">
        <f t="shared" si="33"/>
        <v>2035</v>
      </c>
      <c r="DC22" s="111" t="str">
        <f t="shared" si="34"/>
        <v>- - -</v>
      </c>
      <c r="DD22" s="111" t="str">
        <f t="shared" si="35"/>
        <v>. .</v>
      </c>
      <c r="DE22" s="90"/>
      <c r="DF22" s="90">
        <f t="shared" si="36"/>
        <v>660</v>
      </c>
      <c r="DG22" s="90">
        <f t="shared" si="37"/>
        <v>-23759</v>
      </c>
      <c r="DH22" s="90">
        <f t="shared" si="38"/>
        <v>-1980</v>
      </c>
      <c r="DI22" s="90" t="str">
        <f t="shared" si="39"/>
        <v>Nữ dưới 30</v>
      </c>
      <c r="DJ22" s="90"/>
      <c r="DK22" s="96"/>
      <c r="DL22" s="104" t="str">
        <f t="shared" si="40"/>
        <v>Đến 30</v>
      </c>
      <c r="DM22" s="88" t="str">
        <f t="shared" si="41"/>
        <v>--</v>
      </c>
      <c r="DN22" s="86"/>
      <c r="DO22" s="122"/>
      <c r="DP22" s="88"/>
      <c r="DQ22" s="106"/>
      <c r="DR22" s="112"/>
      <c r="DS22" s="113"/>
      <c r="DT22" s="114"/>
      <c r="DU22" s="115"/>
      <c r="DV22" s="89"/>
      <c r="DW22" s="92" t="s">
        <v>148</v>
      </c>
      <c r="DX22" s="93" t="s">
        <v>187</v>
      </c>
      <c r="DY22" s="125" t="s">
        <v>148</v>
      </c>
      <c r="DZ22" s="93" t="s">
        <v>37</v>
      </c>
      <c r="EA22" s="116" t="s">
        <v>46</v>
      </c>
      <c r="EB22" s="93" t="s">
        <v>51</v>
      </c>
      <c r="EC22" s="117" t="s">
        <v>46</v>
      </c>
      <c r="ED22" s="92">
        <v>2012</v>
      </c>
      <c r="EE22" s="93">
        <f t="shared" si="42"/>
        <v>0</v>
      </c>
      <c r="EF22" s="125" t="str">
        <f t="shared" si="43"/>
        <v>- - -</v>
      </c>
      <c r="EG22" s="93" t="s">
        <v>37</v>
      </c>
      <c r="EH22" s="116" t="s">
        <v>46</v>
      </c>
      <c r="EI22" s="86" t="s">
        <v>51</v>
      </c>
      <c r="EJ22" s="103" t="s">
        <v>46</v>
      </c>
      <c r="EK22" s="118">
        <v>2012</v>
      </c>
      <c r="EL22" s="115"/>
      <c r="EM22" s="119" t="str">
        <f t="shared" si="44"/>
        <v>- - -</v>
      </c>
      <c r="EN22" s="119" t="str">
        <f t="shared" si="45"/>
        <v>---</v>
      </c>
    </row>
    <row r="23" spans="1:144" s="119" customFormat="1" ht="39.75" customHeight="1" x14ac:dyDescent="0.2">
      <c r="A23" s="408">
        <v>226</v>
      </c>
      <c r="B23" s="298">
        <v>7</v>
      </c>
      <c r="C23" s="86"/>
      <c r="D23" s="86" t="str">
        <f t="shared" si="0"/>
        <v>Bà</v>
      </c>
      <c r="E23" s="410" t="s">
        <v>222</v>
      </c>
      <c r="F23" s="411" t="s">
        <v>56</v>
      </c>
      <c r="G23" s="412" t="s">
        <v>156</v>
      </c>
      <c r="H23" s="412" t="s">
        <v>46</v>
      </c>
      <c r="I23" s="412" t="s">
        <v>42</v>
      </c>
      <c r="J23" s="85" t="s">
        <v>46</v>
      </c>
      <c r="K23" s="85">
        <v>1980</v>
      </c>
      <c r="L23" s="85" t="s">
        <v>73</v>
      </c>
      <c r="M23" s="85" t="str">
        <f t="shared" si="1"/>
        <v>VC</v>
      </c>
      <c r="N23" s="85"/>
      <c r="O23" s="85" t="e">
        <f t="shared" si="2"/>
        <v>#N/A</v>
      </c>
      <c r="P23" s="85"/>
      <c r="Q23" s="410" t="e">
        <f>VLOOKUP(P23,'[2]- DLiêu Gốc -'!$C$2:$H$115,2,0)</f>
        <v>#N/A</v>
      </c>
      <c r="R23" s="526" t="s">
        <v>186</v>
      </c>
      <c r="S23" s="413" t="s">
        <v>127</v>
      </c>
      <c r="T23" s="414" t="str">
        <f>VLOOKUP(Y23,'[2]- DLiêu Gốc -'!$C$2:$H$60,5,0)</f>
        <v>A1</v>
      </c>
      <c r="U23" s="414" t="str">
        <f>VLOOKUP(Y23,'[2]- DLiêu Gốc -'!$C$2:$H$60,6,0)</f>
        <v>- - -</v>
      </c>
      <c r="V23" s="415" t="s">
        <v>64</v>
      </c>
      <c r="W23" s="416" t="str">
        <f t="shared" si="3"/>
        <v>Giảng viên (hạng III)</v>
      </c>
      <c r="X23" s="417" t="str">
        <f t="shared" si="4"/>
        <v>V.07.01.03</v>
      </c>
      <c r="Y23" s="418" t="s">
        <v>67</v>
      </c>
      <c r="Z23" s="417" t="str">
        <f>VLOOKUP(Y23,'[2]- DLiêu Gốc -'!$C$1:$H$133,2,0)</f>
        <v>V.07.01.03</v>
      </c>
      <c r="AA23" s="419" t="str">
        <f t="shared" si="5"/>
        <v>Lương</v>
      </c>
      <c r="AB23" s="420">
        <v>5</v>
      </c>
      <c r="AC23" s="355" t="str">
        <f t="shared" si="6"/>
        <v>/</v>
      </c>
      <c r="AD23" s="45">
        <f t="shared" si="7"/>
        <v>9</v>
      </c>
      <c r="AE23" s="421">
        <f t="shared" si="8"/>
        <v>3.66</v>
      </c>
      <c r="AF23" s="422"/>
      <c r="AG23" s="45"/>
      <c r="AH23" s="423" t="s">
        <v>37</v>
      </c>
      <c r="AI23" s="424"/>
      <c r="AJ23" s="425" t="s">
        <v>51</v>
      </c>
      <c r="AK23" s="525" t="s">
        <v>46</v>
      </c>
      <c r="AL23" s="426">
        <v>2015</v>
      </c>
      <c r="AM23" s="427"/>
      <c r="AN23" s="428"/>
      <c r="AO23" s="429">
        <f t="shared" si="9"/>
        <v>6</v>
      </c>
      <c r="AP23" s="430" t="str">
        <f t="shared" si="10"/>
        <v>/</v>
      </c>
      <c r="AQ23" s="431">
        <f t="shared" si="11"/>
        <v>9</v>
      </c>
      <c r="AR23" s="527">
        <f t="shared" si="12"/>
        <v>3.99</v>
      </c>
      <c r="AS23" s="45"/>
      <c r="AT23" s="432" t="s">
        <v>37</v>
      </c>
      <c r="AU23" s="433"/>
      <c r="AV23" s="434" t="s">
        <v>51</v>
      </c>
      <c r="AW23" s="435" t="s">
        <v>46</v>
      </c>
      <c r="AX23" s="436">
        <v>2018</v>
      </c>
      <c r="AY23" s="439"/>
      <c r="AZ23" s="103"/>
      <c r="BA23" s="94"/>
      <c r="BB23" s="437">
        <f t="shared" si="13"/>
        <v>3</v>
      </c>
      <c r="BC23" s="91">
        <f t="shared" si="14"/>
        <v>-24227</v>
      </c>
      <c r="BD23" s="91">
        <f>VLOOKUP(Y23,'[2]- DLiêu Gốc -'!$C$1:$F$60,3,0)</f>
        <v>2.34</v>
      </c>
      <c r="BE23" s="96">
        <f>VLOOKUP(Y23,'[2]- DLiêu Gốc -'!$C$1:$F$60,4,0)</f>
        <v>0.33</v>
      </c>
      <c r="BF23" s="97" t="str">
        <f t="shared" si="15"/>
        <v>PCTN</v>
      </c>
      <c r="BG23" s="193">
        <v>14</v>
      </c>
      <c r="BH23" s="99" t="s">
        <v>35</v>
      </c>
      <c r="BI23" s="330" t="s">
        <v>37</v>
      </c>
      <c r="BJ23" s="192" t="s">
        <v>46</v>
      </c>
      <c r="BK23" s="330" t="s">
        <v>40</v>
      </c>
      <c r="BL23" s="121" t="s">
        <v>46</v>
      </c>
      <c r="BM23" s="95">
        <v>2017</v>
      </c>
      <c r="BN23" s="131"/>
      <c r="BO23" s="98"/>
      <c r="BP23" s="409">
        <f>IF(BG23&gt;3,BG23+1,0)</f>
        <v>15</v>
      </c>
      <c r="BQ23" s="99" t="s">
        <v>35</v>
      </c>
      <c r="BR23" s="330" t="s">
        <v>37</v>
      </c>
      <c r="BS23" s="192"/>
      <c r="BT23" s="330" t="s">
        <v>40</v>
      </c>
      <c r="BU23" s="121"/>
      <c r="BV23" s="123">
        <v>2018</v>
      </c>
      <c r="BW23" s="103"/>
      <c r="BX23" s="438">
        <v>6</v>
      </c>
      <c r="BY23" s="96">
        <f t="shared" si="16"/>
        <v>-24222</v>
      </c>
      <c r="BZ23" s="87" t="str">
        <f t="shared" si="17"/>
        <v>- - -</v>
      </c>
      <c r="CA23" s="100" t="str">
        <f t="shared" si="18"/>
        <v>Chánh Văn phòng Học viện, Trưởng Ban Tổ chức - Cán bộ, Trưởng Khoa Nhà nước - Pháp luật và Lý luận cơ sở</v>
      </c>
      <c r="CB23" s="101" t="str">
        <f t="shared" si="19"/>
        <v>A</v>
      </c>
      <c r="CC23" s="90" t="str">
        <f t="shared" si="20"/>
        <v>=&gt; s</v>
      </c>
      <c r="CD23" s="86">
        <f t="shared" si="21"/>
        <v>24251</v>
      </c>
      <c r="CE23" s="86" t="str">
        <f t="shared" si="22"/>
        <v>---</v>
      </c>
      <c r="CF23" s="147"/>
      <c r="CG23" s="86"/>
      <c r="CH23" s="102"/>
      <c r="CI23" s="86"/>
      <c r="CJ23" s="103" t="str">
        <f t="shared" si="23"/>
        <v>- - -</v>
      </c>
      <c r="CK23" s="104" t="str">
        <f t="shared" si="24"/>
        <v>- - -</v>
      </c>
      <c r="CL23" s="105"/>
      <c r="CM23" s="104"/>
      <c r="CN23" s="106"/>
      <c r="CO23" s="103"/>
      <c r="CP23" s="104" t="str">
        <f t="shared" si="25"/>
        <v>- - -</v>
      </c>
      <c r="CQ23" s="105"/>
      <c r="CR23" s="104"/>
      <c r="CS23" s="106"/>
      <c r="CT23" s="107"/>
      <c r="CU23" s="132" t="str">
        <f t="shared" si="26"/>
        <v>---</v>
      </c>
      <c r="CV23" s="108" t="str">
        <f t="shared" si="27"/>
        <v>/-/ /-/</v>
      </c>
      <c r="CW23" s="109">
        <f t="shared" si="28"/>
        <v>4</v>
      </c>
      <c r="CX23" s="108">
        <f t="shared" si="29"/>
        <v>2035</v>
      </c>
      <c r="CY23" s="109">
        <f t="shared" si="30"/>
        <v>1</v>
      </c>
      <c r="CZ23" s="108">
        <f t="shared" si="31"/>
        <v>2035</v>
      </c>
      <c r="DA23" s="109">
        <f t="shared" si="32"/>
        <v>10</v>
      </c>
      <c r="DB23" s="110">
        <f t="shared" si="33"/>
        <v>2034</v>
      </c>
      <c r="DC23" s="111" t="str">
        <f t="shared" si="34"/>
        <v>- - -</v>
      </c>
      <c r="DD23" s="111" t="str">
        <f t="shared" si="35"/>
        <v>. .</v>
      </c>
      <c r="DE23" s="90"/>
      <c r="DF23" s="90">
        <f t="shared" si="36"/>
        <v>660</v>
      </c>
      <c r="DG23" s="90">
        <f t="shared" si="37"/>
        <v>-23751</v>
      </c>
      <c r="DH23" s="90">
        <f t="shared" si="38"/>
        <v>-1980</v>
      </c>
      <c r="DI23" s="90" t="str">
        <f t="shared" si="39"/>
        <v>Nữ dưới 30</v>
      </c>
      <c r="DJ23" s="90"/>
      <c r="DK23" s="96"/>
      <c r="DL23" s="104" t="str">
        <f t="shared" si="40"/>
        <v>Đến 30</v>
      </c>
      <c r="DM23" s="88" t="str">
        <f t="shared" si="41"/>
        <v>TD</v>
      </c>
      <c r="DN23" s="86">
        <v>2009</v>
      </c>
      <c r="DO23" s="122"/>
      <c r="DP23" s="88"/>
      <c r="DQ23" s="106"/>
      <c r="DR23" s="112"/>
      <c r="DS23" s="113"/>
      <c r="DT23" s="114"/>
      <c r="DU23" s="115"/>
      <c r="DV23" s="89"/>
      <c r="DW23" s="92" t="s">
        <v>186</v>
      </c>
      <c r="DX23" s="93" t="s">
        <v>187</v>
      </c>
      <c r="DY23" s="125" t="s">
        <v>186</v>
      </c>
      <c r="DZ23" s="93" t="s">
        <v>37</v>
      </c>
      <c r="EA23" s="116" t="s">
        <v>46</v>
      </c>
      <c r="EB23" s="93" t="s">
        <v>51</v>
      </c>
      <c r="EC23" s="117" t="s">
        <v>46</v>
      </c>
      <c r="ED23" s="92">
        <v>2012</v>
      </c>
      <c r="EE23" s="93">
        <f t="shared" si="42"/>
        <v>0</v>
      </c>
      <c r="EF23" s="125" t="str">
        <f t="shared" si="43"/>
        <v>- - -</v>
      </c>
      <c r="EG23" s="93" t="s">
        <v>37</v>
      </c>
      <c r="EH23" s="116" t="s">
        <v>46</v>
      </c>
      <c r="EI23" s="86" t="s">
        <v>51</v>
      </c>
      <c r="EJ23" s="103" t="s">
        <v>46</v>
      </c>
      <c r="EK23" s="118">
        <v>2012</v>
      </c>
      <c r="EL23" s="115"/>
      <c r="EM23" s="119" t="str">
        <f t="shared" si="44"/>
        <v>- - -</v>
      </c>
      <c r="EN23" s="119" t="str">
        <f t="shared" si="45"/>
        <v>---</v>
      </c>
    </row>
    <row r="24" spans="1:144" s="119" customFormat="1" ht="39.75" customHeight="1" x14ac:dyDescent="0.2">
      <c r="A24" s="408">
        <v>231</v>
      </c>
      <c r="B24" s="298">
        <v>8</v>
      </c>
      <c r="C24" s="86"/>
      <c r="D24" s="86" t="str">
        <f t="shared" si="0"/>
        <v>Bà</v>
      </c>
      <c r="E24" s="410" t="s">
        <v>223</v>
      </c>
      <c r="F24" s="411" t="s">
        <v>56</v>
      </c>
      <c r="G24" s="412" t="s">
        <v>224</v>
      </c>
      <c r="H24" s="412" t="s">
        <v>46</v>
      </c>
      <c r="I24" s="412" t="s">
        <v>42</v>
      </c>
      <c r="J24" s="85" t="s">
        <v>46</v>
      </c>
      <c r="K24" s="85">
        <v>1989</v>
      </c>
      <c r="L24" s="85" t="s">
        <v>71</v>
      </c>
      <c r="M24" s="85" t="str">
        <f t="shared" si="1"/>
        <v>NLĐ</v>
      </c>
      <c r="N24" s="85"/>
      <c r="O24" s="85" t="e">
        <f t="shared" si="2"/>
        <v>#N/A</v>
      </c>
      <c r="P24" s="85"/>
      <c r="Q24" s="410" t="e">
        <f>VLOOKUP(P24,'[2]- DLiêu Gốc -'!$C$2:$H$115,2,0)</f>
        <v>#N/A</v>
      </c>
      <c r="R24" s="526" t="s">
        <v>186</v>
      </c>
      <c r="S24" s="413" t="s">
        <v>127</v>
      </c>
      <c r="T24" s="414" t="str">
        <f>VLOOKUP(Y24,'[2]- DLiêu Gốc -'!$C$2:$H$60,5,0)</f>
        <v>A1</v>
      </c>
      <c r="U24" s="414" t="str">
        <f>VLOOKUP(Y24,'[2]- DLiêu Gốc -'!$C$2:$H$60,6,0)</f>
        <v>- - -</v>
      </c>
      <c r="V24" s="415" t="s">
        <v>64</v>
      </c>
      <c r="W24" s="416" t="str">
        <f t="shared" si="3"/>
        <v>Giảng viên (hạng III)</v>
      </c>
      <c r="X24" s="417" t="str">
        <f t="shared" si="4"/>
        <v>V.07.01.03</v>
      </c>
      <c r="Y24" s="418" t="s">
        <v>67</v>
      </c>
      <c r="Z24" s="417" t="str">
        <f>VLOOKUP(Y24,'[2]- DLiêu Gốc -'!$C$1:$H$133,2,0)</f>
        <v>V.07.01.03</v>
      </c>
      <c r="AA24" s="419" t="str">
        <f t="shared" si="5"/>
        <v>Lương</v>
      </c>
      <c r="AB24" s="420">
        <v>2</v>
      </c>
      <c r="AC24" s="355" t="str">
        <f t="shared" si="6"/>
        <v>/</v>
      </c>
      <c r="AD24" s="45">
        <f t="shared" si="7"/>
        <v>9</v>
      </c>
      <c r="AE24" s="421">
        <f t="shared" si="8"/>
        <v>2.67</v>
      </c>
      <c r="AF24" s="422"/>
      <c r="AG24" s="45"/>
      <c r="AH24" s="423" t="s">
        <v>37</v>
      </c>
      <c r="AI24" s="424"/>
      <c r="AJ24" s="425" t="s">
        <v>51</v>
      </c>
      <c r="AK24" s="525" t="s">
        <v>46</v>
      </c>
      <c r="AL24" s="426">
        <v>2015</v>
      </c>
      <c r="AM24" s="427"/>
      <c r="AN24" s="428"/>
      <c r="AO24" s="429">
        <f t="shared" si="9"/>
        <v>3</v>
      </c>
      <c r="AP24" s="430" t="str">
        <f t="shared" si="10"/>
        <v>/</v>
      </c>
      <c r="AQ24" s="431">
        <f t="shared" si="11"/>
        <v>9</v>
      </c>
      <c r="AR24" s="527">
        <f t="shared" si="12"/>
        <v>3</v>
      </c>
      <c r="AS24" s="45"/>
      <c r="AT24" s="432" t="s">
        <v>37</v>
      </c>
      <c r="AU24" s="433"/>
      <c r="AV24" s="434" t="s">
        <v>51</v>
      </c>
      <c r="AW24" s="435" t="s">
        <v>46</v>
      </c>
      <c r="AX24" s="436">
        <v>2018</v>
      </c>
      <c r="AY24" s="439"/>
      <c r="AZ24" s="103"/>
      <c r="BA24" s="94"/>
      <c r="BB24" s="437">
        <f t="shared" si="13"/>
        <v>3</v>
      </c>
      <c r="BC24" s="91">
        <f t="shared" si="14"/>
        <v>-24227</v>
      </c>
      <c r="BD24" s="91">
        <f>VLOOKUP(Y24,'[2]- DLiêu Gốc -'!$C$1:$F$60,3,0)</f>
        <v>2.34</v>
      </c>
      <c r="BE24" s="96">
        <f>VLOOKUP(Y24,'[2]- DLiêu Gốc -'!$C$1:$F$60,4,0)</f>
        <v>0.33</v>
      </c>
      <c r="BF24" s="97" t="str">
        <f t="shared" si="15"/>
        <v>o-o-o</v>
      </c>
      <c r="BG24" s="193"/>
      <c r="BH24" s="99"/>
      <c r="BI24" s="330"/>
      <c r="BJ24" s="192"/>
      <c r="BK24" s="330"/>
      <c r="BL24" s="121"/>
      <c r="BM24" s="95"/>
      <c r="BN24" s="131"/>
      <c r="BO24" s="98"/>
      <c r="BP24" s="409"/>
      <c r="BQ24" s="99"/>
      <c r="BR24" s="330"/>
      <c r="BS24" s="192"/>
      <c r="BT24" s="330"/>
      <c r="BU24" s="121"/>
      <c r="BV24" s="123"/>
      <c r="BW24" s="103"/>
      <c r="BX24" s="438"/>
      <c r="BY24" s="96" t="str">
        <f t="shared" si="16"/>
        <v>- - -</v>
      </c>
      <c r="BZ24" s="87" t="str">
        <f t="shared" si="17"/>
        <v>- - -</v>
      </c>
      <c r="CA24" s="100" t="str">
        <f t="shared" si="18"/>
        <v>Chánh Văn phòng Học viện, Trưởng Ban Tổ chức - Cán bộ, Trưởng Khoa Nhà nước - Pháp luật và Lý luận cơ sở</v>
      </c>
      <c r="CB24" s="101" t="str">
        <f t="shared" si="19"/>
        <v>A</v>
      </c>
      <c r="CC24" s="90" t="str">
        <f t="shared" si="20"/>
        <v>=&gt; s</v>
      </c>
      <c r="CD24" s="86">
        <f t="shared" si="21"/>
        <v>24251</v>
      </c>
      <c r="CE24" s="86" t="str">
        <f t="shared" si="22"/>
        <v>---</v>
      </c>
      <c r="CF24" s="147"/>
      <c r="CG24" s="86"/>
      <c r="CH24" s="102"/>
      <c r="CI24" s="86"/>
      <c r="CJ24" s="103" t="str">
        <f t="shared" si="23"/>
        <v>- - -</v>
      </c>
      <c r="CK24" s="104" t="str">
        <f t="shared" si="24"/>
        <v>- - -</v>
      </c>
      <c r="CL24" s="105"/>
      <c r="CM24" s="104"/>
      <c r="CN24" s="106"/>
      <c r="CO24" s="103"/>
      <c r="CP24" s="104" t="str">
        <f t="shared" si="25"/>
        <v>- - -</v>
      </c>
      <c r="CQ24" s="105"/>
      <c r="CR24" s="104"/>
      <c r="CS24" s="106"/>
      <c r="CT24" s="107"/>
      <c r="CU24" s="132" t="str">
        <f t="shared" si="26"/>
        <v>---</v>
      </c>
      <c r="CV24" s="108" t="str">
        <f t="shared" si="27"/>
        <v>/-/ /-/</v>
      </c>
      <c r="CW24" s="109">
        <f t="shared" si="28"/>
        <v>4</v>
      </c>
      <c r="CX24" s="108">
        <f t="shared" si="29"/>
        <v>2044</v>
      </c>
      <c r="CY24" s="109">
        <f t="shared" si="30"/>
        <v>1</v>
      </c>
      <c r="CZ24" s="108">
        <f t="shared" si="31"/>
        <v>2044</v>
      </c>
      <c r="DA24" s="109">
        <f t="shared" si="32"/>
        <v>10</v>
      </c>
      <c r="DB24" s="110">
        <f t="shared" si="33"/>
        <v>2043</v>
      </c>
      <c r="DC24" s="111" t="str">
        <f t="shared" si="34"/>
        <v>- - -</v>
      </c>
      <c r="DD24" s="111" t="str">
        <f t="shared" si="35"/>
        <v>. .</v>
      </c>
      <c r="DE24" s="90"/>
      <c r="DF24" s="90">
        <f t="shared" si="36"/>
        <v>660</v>
      </c>
      <c r="DG24" s="90">
        <f t="shared" si="37"/>
        <v>-23859</v>
      </c>
      <c r="DH24" s="90">
        <f t="shared" si="38"/>
        <v>-1989</v>
      </c>
      <c r="DI24" s="90" t="str">
        <f t="shared" si="39"/>
        <v>Nữ dưới 30</v>
      </c>
      <c r="DJ24" s="90"/>
      <c r="DK24" s="96"/>
      <c r="DL24" s="104" t="str">
        <f t="shared" si="40"/>
        <v>Đến 30</v>
      </c>
      <c r="DM24" s="88" t="str">
        <f t="shared" si="41"/>
        <v>--</v>
      </c>
      <c r="DN24" s="86"/>
      <c r="DO24" s="122"/>
      <c r="DP24" s="88"/>
      <c r="DQ24" s="106"/>
      <c r="DR24" s="112"/>
      <c r="DS24" s="113"/>
      <c r="DT24" s="114"/>
      <c r="DU24" s="115"/>
      <c r="DV24" s="89"/>
      <c r="DW24" s="92" t="s">
        <v>186</v>
      </c>
      <c r="DX24" s="93" t="s">
        <v>187</v>
      </c>
      <c r="DY24" s="125" t="s">
        <v>186</v>
      </c>
      <c r="DZ24" s="93" t="s">
        <v>224</v>
      </c>
      <c r="EA24" s="116" t="s">
        <v>46</v>
      </c>
      <c r="EB24" s="93" t="s">
        <v>51</v>
      </c>
      <c r="EC24" s="117" t="s">
        <v>46</v>
      </c>
      <c r="ED24" s="92" t="s">
        <v>54</v>
      </c>
      <c r="EE24" s="93">
        <f t="shared" si="42"/>
        <v>14</v>
      </c>
      <c r="EF24" s="125" t="str">
        <f t="shared" si="43"/>
        <v>Sửa</v>
      </c>
      <c r="EG24" s="93" t="s">
        <v>37</v>
      </c>
      <c r="EH24" s="116" t="s">
        <v>46</v>
      </c>
      <c r="EI24" s="86" t="s">
        <v>51</v>
      </c>
      <c r="EJ24" s="103" t="s">
        <v>46</v>
      </c>
      <c r="EK24" s="118" t="s">
        <v>54</v>
      </c>
      <c r="EL24" s="115"/>
      <c r="EM24" s="119" t="str">
        <f t="shared" si="44"/>
        <v>- - -</v>
      </c>
      <c r="EN24" s="119" t="str">
        <f t="shared" si="45"/>
        <v>---</v>
      </c>
    </row>
    <row r="25" spans="1:144" s="119" customFormat="1" ht="39.75" customHeight="1" x14ac:dyDescent="0.2">
      <c r="A25" s="408">
        <v>246</v>
      </c>
      <c r="B25" s="298">
        <v>9</v>
      </c>
      <c r="C25" s="86"/>
      <c r="D25" s="86" t="str">
        <f t="shared" si="0"/>
        <v>Bà</v>
      </c>
      <c r="E25" s="410" t="s">
        <v>225</v>
      </c>
      <c r="F25" s="411" t="s">
        <v>56</v>
      </c>
      <c r="G25" s="412" t="s">
        <v>30</v>
      </c>
      <c r="H25" s="412" t="s">
        <v>46</v>
      </c>
      <c r="I25" s="412">
        <v>5</v>
      </c>
      <c r="J25" s="85" t="s">
        <v>46</v>
      </c>
      <c r="K25" s="85">
        <v>1981</v>
      </c>
      <c r="L25" s="85" t="s">
        <v>73</v>
      </c>
      <c r="M25" s="85" t="str">
        <f t="shared" si="1"/>
        <v>VC</v>
      </c>
      <c r="N25" s="85"/>
      <c r="O25" s="85" t="e">
        <f t="shared" si="2"/>
        <v>#N/A</v>
      </c>
      <c r="P25" s="85"/>
      <c r="Q25" s="410" t="e">
        <f>VLOOKUP(P25,'[2]- DLiêu Gốc -'!$C$2:$H$115,2,0)</f>
        <v>#N/A</v>
      </c>
      <c r="R25" s="526" t="s">
        <v>226</v>
      </c>
      <c r="S25" s="413" t="s">
        <v>128</v>
      </c>
      <c r="T25" s="414" t="str">
        <f>VLOOKUP(Y25,'[2]- DLiêu Gốc -'!$C$2:$H$60,5,0)</f>
        <v>A1</v>
      </c>
      <c r="U25" s="414" t="str">
        <f>VLOOKUP(Y25,'[2]- DLiêu Gốc -'!$C$2:$H$60,6,0)</f>
        <v>- - -</v>
      </c>
      <c r="V25" s="415" t="s">
        <v>64</v>
      </c>
      <c r="W25" s="416" t="str">
        <f t="shared" si="3"/>
        <v>Giảng viên (hạng III)</v>
      </c>
      <c r="X25" s="417" t="str">
        <f t="shared" si="4"/>
        <v>V.07.01.03</v>
      </c>
      <c r="Y25" s="418" t="s">
        <v>67</v>
      </c>
      <c r="Z25" s="417" t="str">
        <f>VLOOKUP(Y25,'[2]- DLiêu Gốc -'!$C$1:$H$133,2,0)</f>
        <v>V.07.01.03</v>
      </c>
      <c r="AA25" s="419" t="str">
        <f t="shared" si="5"/>
        <v>Lương</v>
      </c>
      <c r="AB25" s="420">
        <v>5</v>
      </c>
      <c r="AC25" s="355" t="str">
        <f t="shared" si="6"/>
        <v>/</v>
      </c>
      <c r="AD25" s="45">
        <f t="shared" si="7"/>
        <v>9</v>
      </c>
      <c r="AE25" s="421">
        <f t="shared" si="8"/>
        <v>3.66</v>
      </c>
      <c r="AF25" s="422"/>
      <c r="AG25" s="45"/>
      <c r="AH25" s="423" t="s">
        <v>37</v>
      </c>
      <c r="AI25" s="424" t="s">
        <v>46</v>
      </c>
      <c r="AJ25" s="425" t="s">
        <v>51</v>
      </c>
      <c r="AK25" s="525" t="s">
        <v>46</v>
      </c>
      <c r="AL25" s="426">
        <v>2015</v>
      </c>
      <c r="AM25" s="427"/>
      <c r="AN25" s="428"/>
      <c r="AO25" s="429">
        <f t="shared" si="9"/>
        <v>6</v>
      </c>
      <c r="AP25" s="430" t="str">
        <f t="shared" si="10"/>
        <v>/</v>
      </c>
      <c r="AQ25" s="431">
        <f t="shared" si="11"/>
        <v>9</v>
      </c>
      <c r="AR25" s="527">
        <f t="shared" si="12"/>
        <v>3.99</v>
      </c>
      <c r="AS25" s="45"/>
      <c r="AT25" s="432" t="s">
        <v>37</v>
      </c>
      <c r="AU25" s="433" t="s">
        <v>46</v>
      </c>
      <c r="AV25" s="434" t="s">
        <v>51</v>
      </c>
      <c r="AW25" s="435" t="s">
        <v>46</v>
      </c>
      <c r="AX25" s="436">
        <v>2018</v>
      </c>
      <c r="AY25" s="439"/>
      <c r="AZ25" s="103" t="s">
        <v>188</v>
      </c>
      <c r="BA25" s="94"/>
      <c r="BB25" s="437">
        <f t="shared" si="13"/>
        <v>3</v>
      </c>
      <c r="BC25" s="91">
        <f t="shared" si="14"/>
        <v>-24227</v>
      </c>
      <c r="BD25" s="91">
        <f>VLOOKUP(Y25,'[2]- DLiêu Gốc -'!$C$1:$F$60,3,0)</f>
        <v>2.34</v>
      </c>
      <c r="BE25" s="96">
        <f>VLOOKUP(Y25,'[2]- DLiêu Gốc -'!$C$1:$F$60,4,0)</f>
        <v>0.33</v>
      </c>
      <c r="BF25" s="97" t="str">
        <f t="shared" si="15"/>
        <v>PCTN</v>
      </c>
      <c r="BG25" s="193">
        <v>12</v>
      </c>
      <c r="BH25" s="99" t="s">
        <v>35</v>
      </c>
      <c r="BI25" s="330" t="s">
        <v>37</v>
      </c>
      <c r="BJ25" s="192" t="s">
        <v>46</v>
      </c>
      <c r="BK25" s="330">
        <v>11</v>
      </c>
      <c r="BL25" s="121" t="s">
        <v>46</v>
      </c>
      <c r="BM25" s="95">
        <v>2016</v>
      </c>
      <c r="BN25" s="131"/>
      <c r="BO25" s="98"/>
      <c r="BP25" s="409">
        <f>IF(BG25&gt;3,BG25+1,0)</f>
        <v>13</v>
      </c>
      <c r="BQ25" s="99" t="s">
        <v>35</v>
      </c>
      <c r="BR25" s="330" t="s">
        <v>37</v>
      </c>
      <c r="BS25" s="192" t="s">
        <v>46</v>
      </c>
      <c r="BT25" s="330">
        <v>11</v>
      </c>
      <c r="BU25" s="121" t="s">
        <v>46</v>
      </c>
      <c r="BV25" s="123">
        <v>2017</v>
      </c>
      <c r="BW25" s="103"/>
      <c r="BX25" s="438"/>
      <c r="BY25" s="96">
        <f t="shared" si="16"/>
        <v>-24215</v>
      </c>
      <c r="BZ25" s="87" t="str">
        <f t="shared" si="17"/>
        <v>- - -</v>
      </c>
      <c r="CA25" s="100" t="str">
        <f t="shared" si="18"/>
        <v>Chánh Văn phòng Học viện, Trưởng Ban Tổ chức - Cán bộ, Trưởng Khoa Quản lý nhà nước về Kinh tế và Tài chính công</v>
      </c>
      <c r="CB25" s="101" t="str">
        <f t="shared" si="19"/>
        <v>A</v>
      </c>
      <c r="CC25" s="90" t="str">
        <f t="shared" si="20"/>
        <v>=&gt; s</v>
      </c>
      <c r="CD25" s="86">
        <f t="shared" si="21"/>
        <v>24251</v>
      </c>
      <c r="CE25" s="86" t="str">
        <f t="shared" si="22"/>
        <v>S</v>
      </c>
      <c r="CF25" s="147">
        <v>2012</v>
      </c>
      <c r="CG25" s="86" t="s">
        <v>174</v>
      </c>
      <c r="CH25" s="102"/>
      <c r="CI25" s="86"/>
      <c r="CJ25" s="103" t="str">
        <f t="shared" si="23"/>
        <v>Cùg Ng</v>
      </c>
      <c r="CK25" s="104" t="str">
        <f t="shared" si="24"/>
        <v>- - -</v>
      </c>
      <c r="CL25" s="105"/>
      <c r="CM25" s="104"/>
      <c r="CN25" s="106"/>
      <c r="CO25" s="103"/>
      <c r="CP25" s="104" t="str">
        <f t="shared" si="25"/>
        <v>- - -</v>
      </c>
      <c r="CQ25" s="105"/>
      <c r="CR25" s="104"/>
      <c r="CS25" s="106"/>
      <c r="CT25" s="107"/>
      <c r="CU25" s="132" t="str">
        <f t="shared" si="26"/>
        <v>---</v>
      </c>
      <c r="CV25" s="108" t="str">
        <f t="shared" si="27"/>
        <v>/-/ /-/</v>
      </c>
      <c r="CW25" s="109">
        <f t="shared" si="28"/>
        <v>6</v>
      </c>
      <c r="CX25" s="108">
        <f t="shared" si="29"/>
        <v>2036</v>
      </c>
      <c r="CY25" s="109">
        <f t="shared" si="30"/>
        <v>3</v>
      </c>
      <c r="CZ25" s="108">
        <f t="shared" si="31"/>
        <v>2036</v>
      </c>
      <c r="DA25" s="109">
        <f t="shared" si="32"/>
        <v>12</v>
      </c>
      <c r="DB25" s="110">
        <f t="shared" si="33"/>
        <v>2035</v>
      </c>
      <c r="DC25" s="111" t="str">
        <f t="shared" si="34"/>
        <v>- - -</v>
      </c>
      <c r="DD25" s="111" t="str">
        <f t="shared" si="35"/>
        <v>. .</v>
      </c>
      <c r="DE25" s="90"/>
      <c r="DF25" s="90">
        <f t="shared" si="36"/>
        <v>660</v>
      </c>
      <c r="DG25" s="90">
        <f t="shared" si="37"/>
        <v>-23765</v>
      </c>
      <c r="DH25" s="90">
        <f t="shared" si="38"/>
        <v>-1981</v>
      </c>
      <c r="DI25" s="90" t="str">
        <f t="shared" si="39"/>
        <v>Nữ dưới 30</v>
      </c>
      <c r="DJ25" s="90"/>
      <c r="DK25" s="96"/>
      <c r="DL25" s="104" t="str">
        <f t="shared" si="40"/>
        <v>Đến 30</v>
      </c>
      <c r="DM25" s="88" t="str">
        <f t="shared" si="41"/>
        <v>--</v>
      </c>
      <c r="DN25" s="86"/>
      <c r="DO25" s="122"/>
      <c r="DP25" s="88"/>
      <c r="DQ25" s="106"/>
      <c r="DR25" s="112"/>
      <c r="DS25" s="113"/>
      <c r="DT25" s="114"/>
      <c r="DU25" s="115"/>
      <c r="DV25" s="89"/>
      <c r="DW25" s="92" t="s">
        <v>226</v>
      </c>
      <c r="DX25" s="93" t="s">
        <v>132</v>
      </c>
      <c r="DY25" s="125" t="s">
        <v>226</v>
      </c>
      <c r="DZ25" s="93" t="s">
        <v>37</v>
      </c>
      <c r="EA25" s="116" t="s">
        <v>46</v>
      </c>
      <c r="EB25" s="93" t="s">
        <v>51</v>
      </c>
      <c r="EC25" s="117" t="s">
        <v>46</v>
      </c>
      <c r="ED25" s="92">
        <v>2012</v>
      </c>
      <c r="EE25" s="93">
        <f t="shared" si="42"/>
        <v>0</v>
      </c>
      <c r="EF25" s="125" t="str">
        <f t="shared" si="43"/>
        <v>- - -</v>
      </c>
      <c r="EG25" s="93" t="s">
        <v>37</v>
      </c>
      <c r="EH25" s="116" t="s">
        <v>46</v>
      </c>
      <c r="EI25" s="86" t="s">
        <v>51</v>
      </c>
      <c r="EJ25" s="103" t="s">
        <v>46</v>
      </c>
      <c r="EK25" s="118">
        <v>2012</v>
      </c>
      <c r="EL25" s="115"/>
      <c r="EM25" s="119" t="str">
        <f t="shared" si="44"/>
        <v>- - -</v>
      </c>
      <c r="EN25" s="119" t="str">
        <f t="shared" si="45"/>
        <v>---</v>
      </c>
    </row>
    <row r="26" spans="1:144" s="119" customFormat="1" ht="39.75" customHeight="1" x14ac:dyDescent="0.2">
      <c r="A26" s="408">
        <v>267</v>
      </c>
      <c r="B26" s="298">
        <v>10</v>
      </c>
      <c r="C26" s="86"/>
      <c r="D26" s="86" t="str">
        <f t="shared" si="0"/>
        <v>Bà</v>
      </c>
      <c r="E26" s="410" t="s">
        <v>227</v>
      </c>
      <c r="F26" s="411" t="s">
        <v>56</v>
      </c>
      <c r="G26" s="412" t="s">
        <v>163</v>
      </c>
      <c r="H26" s="412" t="s">
        <v>46</v>
      </c>
      <c r="I26" s="412" t="s">
        <v>40</v>
      </c>
      <c r="J26" s="85" t="s">
        <v>46</v>
      </c>
      <c r="K26" s="85" t="s">
        <v>202</v>
      </c>
      <c r="L26" s="85" t="s">
        <v>73</v>
      </c>
      <c r="M26" s="85" t="str">
        <f t="shared" si="1"/>
        <v>VC</v>
      </c>
      <c r="N26" s="85"/>
      <c r="O26" s="85" t="e">
        <f t="shared" si="2"/>
        <v>#N/A</v>
      </c>
      <c r="P26" s="85"/>
      <c r="Q26" s="410" t="e">
        <f>VLOOKUP(P26,'[2]- DLiêu Gốc -'!$C$2:$H$115,2,0)</f>
        <v>#N/A</v>
      </c>
      <c r="R26" s="526" t="s">
        <v>228</v>
      </c>
      <c r="S26" s="413" t="s">
        <v>128</v>
      </c>
      <c r="T26" s="414" t="str">
        <f>VLOOKUP(Y26,'[2]- DLiêu Gốc -'!$C$2:$H$60,5,0)</f>
        <v>A1</v>
      </c>
      <c r="U26" s="414" t="str">
        <f>VLOOKUP(Y26,'[2]- DLiêu Gốc -'!$C$2:$H$60,6,0)</f>
        <v>- - -</v>
      </c>
      <c r="V26" s="415" t="s">
        <v>64</v>
      </c>
      <c r="W26" s="416" t="str">
        <f t="shared" si="3"/>
        <v>Giảng viên (hạng III)</v>
      </c>
      <c r="X26" s="417" t="str">
        <f t="shared" si="4"/>
        <v>V.07.01.03</v>
      </c>
      <c r="Y26" s="418" t="s">
        <v>67</v>
      </c>
      <c r="Z26" s="417" t="str">
        <f>VLOOKUP(Y26,'[2]- DLiêu Gốc -'!$C$1:$H$133,2,0)</f>
        <v>V.07.01.03</v>
      </c>
      <c r="AA26" s="419" t="str">
        <f t="shared" si="5"/>
        <v>Lương</v>
      </c>
      <c r="AB26" s="420">
        <v>5</v>
      </c>
      <c r="AC26" s="355" t="str">
        <f t="shared" si="6"/>
        <v>/</v>
      </c>
      <c r="AD26" s="45">
        <f t="shared" si="7"/>
        <v>9</v>
      </c>
      <c r="AE26" s="421">
        <f t="shared" si="8"/>
        <v>3.66</v>
      </c>
      <c r="AF26" s="422"/>
      <c r="AG26" s="45"/>
      <c r="AH26" s="423" t="s">
        <v>37</v>
      </c>
      <c r="AI26" s="424" t="s">
        <v>46</v>
      </c>
      <c r="AJ26" s="425" t="s">
        <v>51</v>
      </c>
      <c r="AK26" s="525" t="s">
        <v>46</v>
      </c>
      <c r="AL26" s="426">
        <v>2015</v>
      </c>
      <c r="AM26" s="427"/>
      <c r="AN26" s="428"/>
      <c r="AO26" s="429">
        <f t="shared" si="9"/>
        <v>6</v>
      </c>
      <c r="AP26" s="430" t="str">
        <f t="shared" si="10"/>
        <v>/</v>
      </c>
      <c r="AQ26" s="431">
        <f t="shared" si="11"/>
        <v>9</v>
      </c>
      <c r="AR26" s="527">
        <f t="shared" si="12"/>
        <v>3.99</v>
      </c>
      <c r="AS26" s="45"/>
      <c r="AT26" s="432" t="s">
        <v>37</v>
      </c>
      <c r="AU26" s="433" t="s">
        <v>46</v>
      </c>
      <c r="AV26" s="434" t="s">
        <v>51</v>
      </c>
      <c r="AW26" s="435" t="s">
        <v>46</v>
      </c>
      <c r="AX26" s="436">
        <v>2018</v>
      </c>
      <c r="AY26" s="439"/>
      <c r="AZ26" s="103"/>
      <c r="BA26" s="94"/>
      <c r="BB26" s="437">
        <f t="shared" si="13"/>
        <v>3</v>
      </c>
      <c r="BC26" s="91">
        <f t="shared" si="14"/>
        <v>-24227</v>
      </c>
      <c r="BD26" s="91">
        <f>VLOOKUP(Y26,'[2]- DLiêu Gốc -'!$C$1:$F$60,3,0)</f>
        <v>2.34</v>
      </c>
      <c r="BE26" s="96">
        <f>VLOOKUP(Y26,'[2]- DLiêu Gốc -'!$C$1:$F$60,4,0)</f>
        <v>0.33</v>
      </c>
      <c r="BF26" s="97" t="str">
        <f t="shared" si="15"/>
        <v>PCTN</v>
      </c>
      <c r="BG26" s="193">
        <v>9</v>
      </c>
      <c r="BH26" s="99" t="s">
        <v>35</v>
      </c>
      <c r="BI26" s="330" t="s">
        <v>37</v>
      </c>
      <c r="BJ26" s="192" t="s">
        <v>46</v>
      </c>
      <c r="BK26" s="330" t="s">
        <v>50</v>
      </c>
      <c r="BL26" s="121" t="s">
        <v>46</v>
      </c>
      <c r="BM26" s="95">
        <v>2016</v>
      </c>
      <c r="BN26" s="131"/>
      <c r="BO26" s="98"/>
      <c r="BP26" s="409">
        <f>IF(BG26&gt;3,BG26+1,0)</f>
        <v>10</v>
      </c>
      <c r="BQ26" s="99" t="s">
        <v>35</v>
      </c>
      <c r="BR26" s="330" t="s">
        <v>37</v>
      </c>
      <c r="BS26" s="192" t="s">
        <v>46</v>
      </c>
      <c r="BT26" s="330" t="s">
        <v>50</v>
      </c>
      <c r="BU26" s="121" t="s">
        <v>46</v>
      </c>
      <c r="BV26" s="123">
        <v>2017</v>
      </c>
      <c r="BW26" s="103"/>
      <c r="BX26" s="438"/>
      <c r="BY26" s="96">
        <f t="shared" si="16"/>
        <v>-24214</v>
      </c>
      <c r="BZ26" s="87" t="str">
        <f t="shared" si="17"/>
        <v>- - -</v>
      </c>
      <c r="CA26" s="100" t="str">
        <f t="shared" si="18"/>
        <v>Chánh Văn phòng Học viện, Trưởng Ban Tổ chức - Cán bộ, Trưởng Khoa Quản lý nhà nước về Kinh tế và Tài chính công</v>
      </c>
      <c r="CB26" s="101" t="str">
        <f t="shared" si="19"/>
        <v>A</v>
      </c>
      <c r="CC26" s="90" t="str">
        <f t="shared" si="20"/>
        <v>=&gt; s</v>
      </c>
      <c r="CD26" s="86">
        <f t="shared" si="21"/>
        <v>24251</v>
      </c>
      <c r="CE26" s="86" t="str">
        <f t="shared" si="22"/>
        <v>---</v>
      </c>
      <c r="CF26" s="147"/>
      <c r="CG26" s="86"/>
      <c r="CH26" s="102"/>
      <c r="CI26" s="86"/>
      <c r="CJ26" s="103" t="str">
        <f t="shared" si="23"/>
        <v>- - -</v>
      </c>
      <c r="CK26" s="104" t="str">
        <f t="shared" si="24"/>
        <v>- - -</v>
      </c>
      <c r="CL26" s="105"/>
      <c r="CM26" s="104"/>
      <c r="CN26" s="106"/>
      <c r="CO26" s="103"/>
      <c r="CP26" s="104" t="str">
        <f t="shared" si="25"/>
        <v>- - -</v>
      </c>
      <c r="CQ26" s="105"/>
      <c r="CR26" s="104"/>
      <c r="CS26" s="106"/>
      <c r="CT26" s="107"/>
      <c r="CU26" s="132" t="str">
        <f t="shared" si="26"/>
        <v>---</v>
      </c>
      <c r="CV26" s="108" t="str">
        <f t="shared" si="27"/>
        <v>/-/ /-/</v>
      </c>
      <c r="CW26" s="109">
        <f t="shared" si="28"/>
        <v>7</v>
      </c>
      <c r="CX26" s="108">
        <f t="shared" si="29"/>
        <v>2033</v>
      </c>
      <c r="CY26" s="109">
        <f t="shared" si="30"/>
        <v>4</v>
      </c>
      <c r="CZ26" s="108">
        <f t="shared" si="31"/>
        <v>2033</v>
      </c>
      <c r="DA26" s="109">
        <f t="shared" si="32"/>
        <v>1</v>
      </c>
      <c r="DB26" s="110">
        <f t="shared" si="33"/>
        <v>2033</v>
      </c>
      <c r="DC26" s="111" t="str">
        <f t="shared" si="34"/>
        <v>- - -</v>
      </c>
      <c r="DD26" s="111" t="str">
        <f t="shared" si="35"/>
        <v>. .</v>
      </c>
      <c r="DE26" s="90"/>
      <c r="DF26" s="90">
        <f t="shared" si="36"/>
        <v>660</v>
      </c>
      <c r="DG26" s="90">
        <f t="shared" si="37"/>
        <v>-23730</v>
      </c>
      <c r="DH26" s="90">
        <f t="shared" si="38"/>
        <v>-1978</v>
      </c>
      <c r="DI26" s="90" t="str">
        <f t="shared" si="39"/>
        <v>Nữ dưới 30</v>
      </c>
      <c r="DJ26" s="90"/>
      <c r="DK26" s="96"/>
      <c r="DL26" s="104" t="str">
        <f t="shared" si="40"/>
        <v>Đến 30</v>
      </c>
      <c r="DM26" s="88" t="str">
        <f t="shared" si="41"/>
        <v>--</v>
      </c>
      <c r="DN26" s="86"/>
      <c r="DO26" s="122"/>
      <c r="DP26" s="88"/>
      <c r="DQ26" s="106"/>
      <c r="DR26" s="112"/>
      <c r="DS26" s="113"/>
      <c r="DT26" s="114"/>
      <c r="DU26" s="115"/>
      <c r="DV26" s="89"/>
      <c r="DW26" s="92" t="s">
        <v>228</v>
      </c>
      <c r="DX26" s="93" t="s">
        <v>142</v>
      </c>
      <c r="DY26" s="125" t="s">
        <v>228</v>
      </c>
      <c r="DZ26" s="93" t="s">
        <v>37</v>
      </c>
      <c r="EA26" s="116" t="s">
        <v>46</v>
      </c>
      <c r="EB26" s="93" t="s">
        <v>51</v>
      </c>
      <c r="EC26" s="117" t="s">
        <v>46</v>
      </c>
      <c r="ED26" s="92">
        <v>2012</v>
      </c>
      <c r="EE26" s="93">
        <f t="shared" si="42"/>
        <v>0</v>
      </c>
      <c r="EF26" s="125" t="str">
        <f t="shared" si="43"/>
        <v>- - -</v>
      </c>
      <c r="EG26" s="93" t="s">
        <v>37</v>
      </c>
      <c r="EH26" s="116" t="s">
        <v>46</v>
      </c>
      <c r="EI26" s="86" t="s">
        <v>51</v>
      </c>
      <c r="EJ26" s="103" t="s">
        <v>46</v>
      </c>
      <c r="EK26" s="118">
        <v>2012</v>
      </c>
      <c r="EL26" s="115"/>
      <c r="EM26" s="119" t="str">
        <f t="shared" si="44"/>
        <v>- - -</v>
      </c>
      <c r="EN26" s="119" t="str">
        <f t="shared" si="45"/>
        <v>---</v>
      </c>
    </row>
    <row r="27" spans="1:144" s="119" customFormat="1" ht="39.75" customHeight="1" x14ac:dyDescent="0.2">
      <c r="A27" s="408">
        <v>313</v>
      </c>
      <c r="B27" s="298">
        <v>11</v>
      </c>
      <c r="C27" s="86"/>
      <c r="D27" s="86" t="str">
        <f t="shared" si="0"/>
        <v>Bà</v>
      </c>
      <c r="E27" s="410" t="s">
        <v>227</v>
      </c>
      <c r="F27" s="411" t="s">
        <v>56</v>
      </c>
      <c r="G27" s="412" t="s">
        <v>216</v>
      </c>
      <c r="H27" s="412" t="s">
        <v>46</v>
      </c>
      <c r="I27" s="412" t="s">
        <v>38</v>
      </c>
      <c r="J27" s="85" t="s">
        <v>46</v>
      </c>
      <c r="K27" s="85" t="s">
        <v>233</v>
      </c>
      <c r="L27" s="85" t="s">
        <v>71</v>
      </c>
      <c r="M27" s="85" t="str">
        <f t="shared" si="1"/>
        <v>NLĐ</v>
      </c>
      <c r="N27" s="85"/>
      <c r="O27" s="85" t="e">
        <f t="shared" si="2"/>
        <v>#N/A</v>
      </c>
      <c r="P27" s="85"/>
      <c r="Q27" s="410" t="e">
        <f>VLOOKUP(P27,'[2]- DLiêu Gốc -'!$C$2:$H$115,2,0)</f>
        <v>#N/A</v>
      </c>
      <c r="R27" s="526" t="s">
        <v>234</v>
      </c>
      <c r="S27" s="413" t="s">
        <v>121</v>
      </c>
      <c r="T27" s="414" t="str">
        <f>VLOOKUP(Y27,'[2]- DLiêu Gốc -'!$C$2:$H$60,5,0)</f>
        <v>A1</v>
      </c>
      <c r="U27" s="414" t="str">
        <f>VLOOKUP(Y27,'[2]- DLiêu Gốc -'!$C$2:$H$60,6,0)</f>
        <v>- - -</v>
      </c>
      <c r="V27" s="415" t="s">
        <v>64</v>
      </c>
      <c r="W27" s="416" t="str">
        <f t="shared" si="3"/>
        <v>Giảng viên (hạng III)</v>
      </c>
      <c r="X27" s="417" t="str">
        <f t="shared" si="4"/>
        <v>V.07.01.03</v>
      </c>
      <c r="Y27" s="418" t="s">
        <v>67</v>
      </c>
      <c r="Z27" s="417" t="str">
        <f>VLOOKUP(Y27,'[2]- DLiêu Gốc -'!$C$1:$H$133,2,0)</f>
        <v>V.07.01.03</v>
      </c>
      <c r="AA27" s="419" t="str">
        <f t="shared" si="5"/>
        <v>Lương</v>
      </c>
      <c r="AB27" s="420">
        <v>2</v>
      </c>
      <c r="AC27" s="355" t="str">
        <f t="shared" si="6"/>
        <v>/</v>
      </c>
      <c r="AD27" s="45">
        <f t="shared" si="7"/>
        <v>9</v>
      </c>
      <c r="AE27" s="421">
        <f t="shared" si="8"/>
        <v>2.67</v>
      </c>
      <c r="AF27" s="422"/>
      <c r="AG27" s="45"/>
      <c r="AH27" s="423" t="s">
        <v>37</v>
      </c>
      <c r="AI27" s="424"/>
      <c r="AJ27" s="425" t="s">
        <v>51</v>
      </c>
      <c r="AK27" s="525" t="s">
        <v>46</v>
      </c>
      <c r="AL27" s="426">
        <v>2015</v>
      </c>
      <c r="AM27" s="427"/>
      <c r="AN27" s="428"/>
      <c r="AO27" s="429">
        <f t="shared" si="9"/>
        <v>3</v>
      </c>
      <c r="AP27" s="430" t="str">
        <f t="shared" si="10"/>
        <v>/</v>
      </c>
      <c r="AQ27" s="431">
        <f t="shared" si="11"/>
        <v>9</v>
      </c>
      <c r="AR27" s="527">
        <f t="shared" si="12"/>
        <v>3</v>
      </c>
      <c r="AS27" s="45"/>
      <c r="AT27" s="432" t="s">
        <v>37</v>
      </c>
      <c r="AU27" s="433"/>
      <c r="AV27" s="434" t="s">
        <v>51</v>
      </c>
      <c r="AW27" s="435" t="s">
        <v>46</v>
      </c>
      <c r="AX27" s="436">
        <v>2018</v>
      </c>
      <c r="AY27" s="439"/>
      <c r="AZ27" s="103"/>
      <c r="BA27" s="94"/>
      <c r="BB27" s="437">
        <f t="shared" si="13"/>
        <v>3</v>
      </c>
      <c r="BC27" s="91">
        <f t="shared" si="14"/>
        <v>-24227</v>
      </c>
      <c r="BD27" s="91">
        <f>VLOOKUP(Y27,'[2]- DLiêu Gốc -'!$C$1:$F$60,3,0)</f>
        <v>2.34</v>
      </c>
      <c r="BE27" s="96">
        <f>VLOOKUP(Y27,'[2]- DLiêu Gốc -'!$C$1:$F$60,4,0)</f>
        <v>0.33</v>
      </c>
      <c r="BF27" s="97" t="str">
        <f t="shared" si="15"/>
        <v>o-o-o</v>
      </c>
      <c r="BG27" s="193"/>
      <c r="BH27" s="99"/>
      <c r="BI27" s="330"/>
      <c r="BJ27" s="192"/>
      <c r="BK27" s="330"/>
      <c r="BL27" s="121"/>
      <c r="BM27" s="95"/>
      <c r="BN27" s="131"/>
      <c r="BO27" s="98"/>
      <c r="BP27" s="409"/>
      <c r="BQ27" s="99"/>
      <c r="BR27" s="330"/>
      <c r="BS27" s="192"/>
      <c r="BT27" s="330"/>
      <c r="BU27" s="121"/>
      <c r="BV27" s="123"/>
      <c r="BW27" s="103"/>
      <c r="BX27" s="438"/>
      <c r="BY27" s="96" t="str">
        <f t="shared" si="16"/>
        <v>- - -</v>
      </c>
      <c r="BZ27" s="87" t="str">
        <f t="shared" si="17"/>
        <v>- - -</v>
      </c>
      <c r="CA27" s="100" t="str">
        <f t="shared" si="18"/>
        <v>Chánh Văn phòng Học viện, Trưởng Ban Tổ chức - Cán bộ, Trưởng Khoa Quản lý nhà nước về Xã hội</v>
      </c>
      <c r="CB27" s="101" t="str">
        <f t="shared" si="19"/>
        <v>A</v>
      </c>
      <c r="CC27" s="90" t="str">
        <f t="shared" si="20"/>
        <v>=&gt; s</v>
      </c>
      <c r="CD27" s="86">
        <f t="shared" si="21"/>
        <v>24251</v>
      </c>
      <c r="CE27" s="86" t="str">
        <f t="shared" si="22"/>
        <v>---</v>
      </c>
      <c r="CF27" s="147"/>
      <c r="CG27" s="86"/>
      <c r="CH27" s="102"/>
      <c r="CI27" s="86"/>
      <c r="CJ27" s="103" t="str">
        <f t="shared" si="23"/>
        <v>- - -</v>
      </c>
      <c r="CK27" s="104" t="str">
        <f t="shared" si="24"/>
        <v>- - -</v>
      </c>
      <c r="CL27" s="105"/>
      <c r="CM27" s="104"/>
      <c r="CN27" s="106"/>
      <c r="CO27" s="103"/>
      <c r="CP27" s="104" t="str">
        <f t="shared" si="25"/>
        <v>- - -</v>
      </c>
      <c r="CQ27" s="105"/>
      <c r="CR27" s="104"/>
      <c r="CS27" s="106"/>
      <c r="CT27" s="107"/>
      <c r="CU27" s="132" t="str">
        <f t="shared" si="26"/>
        <v>---</v>
      </c>
      <c r="CV27" s="108" t="str">
        <f t="shared" si="27"/>
        <v>/-/ /-/</v>
      </c>
      <c r="CW27" s="109">
        <f t="shared" si="28"/>
        <v>3</v>
      </c>
      <c r="CX27" s="108">
        <f t="shared" si="29"/>
        <v>2042</v>
      </c>
      <c r="CY27" s="109">
        <f t="shared" si="30"/>
        <v>12</v>
      </c>
      <c r="CZ27" s="108">
        <f t="shared" si="31"/>
        <v>2041</v>
      </c>
      <c r="DA27" s="109">
        <f t="shared" si="32"/>
        <v>9</v>
      </c>
      <c r="DB27" s="110">
        <f t="shared" si="33"/>
        <v>2041</v>
      </c>
      <c r="DC27" s="111" t="str">
        <f t="shared" si="34"/>
        <v>- - -</v>
      </c>
      <c r="DD27" s="111" t="str">
        <f t="shared" si="35"/>
        <v>. .</v>
      </c>
      <c r="DE27" s="90"/>
      <c r="DF27" s="90">
        <f t="shared" si="36"/>
        <v>660</v>
      </c>
      <c r="DG27" s="90">
        <f t="shared" si="37"/>
        <v>-23834</v>
      </c>
      <c r="DH27" s="90">
        <f t="shared" si="38"/>
        <v>-1987</v>
      </c>
      <c r="DI27" s="90" t="str">
        <f t="shared" si="39"/>
        <v>Nữ dưới 30</v>
      </c>
      <c r="DJ27" s="90"/>
      <c r="DK27" s="96"/>
      <c r="DL27" s="104" t="str">
        <f t="shared" si="40"/>
        <v>Đến 30</v>
      </c>
      <c r="DM27" s="88" t="str">
        <f t="shared" si="41"/>
        <v>--</v>
      </c>
      <c r="DN27" s="86"/>
      <c r="DO27" s="122"/>
      <c r="DP27" s="88"/>
      <c r="DQ27" s="106"/>
      <c r="DR27" s="112"/>
      <c r="DS27" s="113"/>
      <c r="DT27" s="114"/>
      <c r="DU27" s="115"/>
      <c r="DV27" s="89"/>
      <c r="DW27" s="92" t="s">
        <v>234</v>
      </c>
      <c r="DX27" s="93" t="s">
        <v>235</v>
      </c>
      <c r="DY27" s="125"/>
      <c r="DZ27" s="93" t="s">
        <v>37</v>
      </c>
      <c r="EA27" s="116" t="s">
        <v>46</v>
      </c>
      <c r="EB27" s="93" t="s">
        <v>51</v>
      </c>
      <c r="EC27" s="117" t="s">
        <v>46</v>
      </c>
      <c r="ED27" s="92" t="s">
        <v>54</v>
      </c>
      <c r="EE27" s="93">
        <f t="shared" si="42"/>
        <v>0</v>
      </c>
      <c r="EF27" s="125" t="str">
        <f t="shared" si="43"/>
        <v>- - -</v>
      </c>
      <c r="EG27" s="93" t="s">
        <v>37</v>
      </c>
      <c r="EH27" s="116" t="s">
        <v>46</v>
      </c>
      <c r="EI27" s="86" t="s">
        <v>51</v>
      </c>
      <c r="EJ27" s="103" t="s">
        <v>46</v>
      </c>
      <c r="EK27" s="118" t="s">
        <v>54</v>
      </c>
      <c r="EL27" s="115"/>
      <c r="EM27" s="119" t="str">
        <f t="shared" si="44"/>
        <v>- - -</v>
      </c>
      <c r="EN27" s="119" t="str">
        <f t="shared" si="45"/>
        <v>---</v>
      </c>
    </row>
    <row r="28" spans="1:144" s="119" customFormat="1" ht="39.75" customHeight="1" x14ac:dyDescent="0.2">
      <c r="A28" s="408">
        <v>314</v>
      </c>
      <c r="B28" s="298">
        <v>12</v>
      </c>
      <c r="C28" s="86"/>
      <c r="D28" s="86" t="str">
        <f t="shared" si="0"/>
        <v>Bà</v>
      </c>
      <c r="E28" s="410" t="s">
        <v>236</v>
      </c>
      <c r="F28" s="411" t="s">
        <v>56</v>
      </c>
      <c r="G28" s="412" t="s">
        <v>123</v>
      </c>
      <c r="H28" s="412" t="s">
        <v>46</v>
      </c>
      <c r="I28" s="412" t="s">
        <v>42</v>
      </c>
      <c r="J28" s="85" t="s">
        <v>46</v>
      </c>
      <c r="K28" s="85">
        <v>1986</v>
      </c>
      <c r="L28" s="85" t="s">
        <v>71</v>
      </c>
      <c r="M28" s="85" t="str">
        <f t="shared" si="1"/>
        <v>NLĐ</v>
      </c>
      <c r="N28" s="85"/>
      <c r="O28" s="85" t="e">
        <f t="shared" si="2"/>
        <v>#N/A</v>
      </c>
      <c r="P28" s="85"/>
      <c r="Q28" s="410" t="e">
        <f>VLOOKUP(P28,'[2]- DLiêu Gốc -'!$C$2:$H$115,2,0)</f>
        <v>#N/A</v>
      </c>
      <c r="R28" s="526" t="s">
        <v>234</v>
      </c>
      <c r="S28" s="413" t="s">
        <v>121</v>
      </c>
      <c r="T28" s="414" t="str">
        <f>VLOOKUP(Y28,'[2]- DLiêu Gốc -'!$C$2:$H$60,5,0)</f>
        <v>A1</v>
      </c>
      <c r="U28" s="414" t="str">
        <f>VLOOKUP(Y28,'[2]- DLiêu Gốc -'!$C$2:$H$60,6,0)</f>
        <v>- - -</v>
      </c>
      <c r="V28" s="415" t="s">
        <v>64</v>
      </c>
      <c r="W28" s="416" t="str">
        <f t="shared" si="3"/>
        <v>Giảng viên (hạng III)</v>
      </c>
      <c r="X28" s="417" t="str">
        <f t="shared" si="4"/>
        <v>V.07.01.03</v>
      </c>
      <c r="Y28" s="418" t="s">
        <v>67</v>
      </c>
      <c r="Z28" s="417" t="str">
        <f>VLOOKUP(Y28,'[2]- DLiêu Gốc -'!$C$1:$H$133,2,0)</f>
        <v>V.07.01.03</v>
      </c>
      <c r="AA28" s="419" t="str">
        <f t="shared" si="5"/>
        <v>Lương</v>
      </c>
      <c r="AB28" s="420">
        <v>3</v>
      </c>
      <c r="AC28" s="355" t="str">
        <f t="shared" si="6"/>
        <v>/</v>
      </c>
      <c r="AD28" s="45">
        <f t="shared" si="7"/>
        <v>9</v>
      </c>
      <c r="AE28" s="421">
        <f t="shared" si="8"/>
        <v>3</v>
      </c>
      <c r="AF28" s="422"/>
      <c r="AG28" s="45"/>
      <c r="AH28" s="423" t="s">
        <v>37</v>
      </c>
      <c r="AI28" s="424" t="s">
        <v>46</v>
      </c>
      <c r="AJ28" s="425" t="s">
        <v>51</v>
      </c>
      <c r="AK28" s="525" t="s">
        <v>46</v>
      </c>
      <c r="AL28" s="426">
        <v>2015</v>
      </c>
      <c r="AM28" s="427"/>
      <c r="AN28" s="428"/>
      <c r="AO28" s="429">
        <f t="shared" si="9"/>
        <v>4</v>
      </c>
      <c r="AP28" s="430" t="str">
        <f t="shared" si="10"/>
        <v>/</v>
      </c>
      <c r="AQ28" s="431">
        <f t="shared" si="11"/>
        <v>9</v>
      </c>
      <c r="AR28" s="527">
        <f t="shared" si="12"/>
        <v>3.33</v>
      </c>
      <c r="AS28" s="45"/>
      <c r="AT28" s="432" t="s">
        <v>37</v>
      </c>
      <c r="AU28" s="433" t="s">
        <v>46</v>
      </c>
      <c r="AV28" s="434" t="s">
        <v>51</v>
      </c>
      <c r="AW28" s="435" t="s">
        <v>46</v>
      </c>
      <c r="AX28" s="436">
        <v>2018</v>
      </c>
      <c r="AY28" s="439"/>
      <c r="AZ28" s="103"/>
      <c r="BA28" s="94"/>
      <c r="BB28" s="437">
        <f t="shared" si="13"/>
        <v>3</v>
      </c>
      <c r="BC28" s="91">
        <f t="shared" si="14"/>
        <v>-24227</v>
      </c>
      <c r="BD28" s="91">
        <f>VLOOKUP(Y28,'[2]- DLiêu Gốc -'!$C$1:$F$60,3,0)</f>
        <v>2.34</v>
      </c>
      <c r="BE28" s="96">
        <f>VLOOKUP(Y28,'[2]- DLiêu Gốc -'!$C$1:$F$60,4,0)</f>
        <v>0.33</v>
      </c>
      <c r="BF28" s="97" t="str">
        <f t="shared" si="15"/>
        <v>o-o-o</v>
      </c>
      <c r="BG28" s="193"/>
      <c r="BH28" s="99"/>
      <c r="BI28" s="330"/>
      <c r="BJ28" s="192"/>
      <c r="BK28" s="330"/>
      <c r="BL28" s="121"/>
      <c r="BM28" s="95"/>
      <c r="BN28" s="131"/>
      <c r="BO28" s="98"/>
      <c r="BP28" s="409"/>
      <c r="BQ28" s="99"/>
      <c r="BR28" s="330"/>
      <c r="BS28" s="192"/>
      <c r="BT28" s="330"/>
      <c r="BU28" s="121"/>
      <c r="BV28" s="123"/>
      <c r="BW28" s="103"/>
      <c r="BX28" s="438"/>
      <c r="BY28" s="96" t="str">
        <f t="shared" si="16"/>
        <v>- - -</v>
      </c>
      <c r="BZ28" s="87" t="str">
        <f t="shared" si="17"/>
        <v>- - -</v>
      </c>
      <c r="CA28" s="100" t="str">
        <f t="shared" si="18"/>
        <v>Chánh Văn phòng Học viện, Trưởng Ban Tổ chức - Cán bộ, Trưởng Khoa Quản lý nhà nước về Xã hội</v>
      </c>
      <c r="CB28" s="101" t="str">
        <f t="shared" si="19"/>
        <v>A</v>
      </c>
      <c r="CC28" s="90" t="str">
        <f t="shared" si="20"/>
        <v>=&gt; s</v>
      </c>
      <c r="CD28" s="86">
        <f t="shared" si="21"/>
        <v>24251</v>
      </c>
      <c r="CE28" s="86" t="str">
        <f t="shared" si="22"/>
        <v>---</v>
      </c>
      <c r="CF28" s="147"/>
      <c r="CG28" s="86"/>
      <c r="CH28" s="102"/>
      <c r="CI28" s="86"/>
      <c r="CJ28" s="103" t="str">
        <f t="shared" si="23"/>
        <v>- - -</v>
      </c>
      <c r="CK28" s="104" t="str">
        <f t="shared" si="24"/>
        <v>- - -</v>
      </c>
      <c r="CL28" s="105"/>
      <c r="CM28" s="104"/>
      <c r="CN28" s="106"/>
      <c r="CO28" s="103"/>
      <c r="CP28" s="104" t="str">
        <f t="shared" si="25"/>
        <v>- - -</v>
      </c>
      <c r="CQ28" s="105"/>
      <c r="CR28" s="104"/>
      <c r="CS28" s="106"/>
      <c r="CT28" s="107"/>
      <c r="CU28" s="132" t="str">
        <f t="shared" si="26"/>
        <v>---</v>
      </c>
      <c r="CV28" s="108" t="str">
        <f t="shared" si="27"/>
        <v>/-/ /-/</v>
      </c>
      <c r="CW28" s="109">
        <f t="shared" si="28"/>
        <v>4</v>
      </c>
      <c r="CX28" s="108">
        <f t="shared" si="29"/>
        <v>2041</v>
      </c>
      <c r="CY28" s="109">
        <f t="shared" si="30"/>
        <v>1</v>
      </c>
      <c r="CZ28" s="108">
        <f t="shared" si="31"/>
        <v>2041</v>
      </c>
      <c r="DA28" s="109">
        <f t="shared" si="32"/>
        <v>10</v>
      </c>
      <c r="DB28" s="110">
        <f t="shared" si="33"/>
        <v>2040</v>
      </c>
      <c r="DC28" s="111" t="str">
        <f t="shared" si="34"/>
        <v>- - -</v>
      </c>
      <c r="DD28" s="111" t="str">
        <f t="shared" si="35"/>
        <v>. .</v>
      </c>
      <c r="DE28" s="90"/>
      <c r="DF28" s="90">
        <f t="shared" si="36"/>
        <v>660</v>
      </c>
      <c r="DG28" s="90">
        <f t="shared" si="37"/>
        <v>-23823</v>
      </c>
      <c r="DH28" s="90">
        <f t="shared" si="38"/>
        <v>-1986</v>
      </c>
      <c r="DI28" s="90" t="str">
        <f t="shared" si="39"/>
        <v>Nữ dưới 30</v>
      </c>
      <c r="DJ28" s="90"/>
      <c r="DK28" s="96"/>
      <c r="DL28" s="104" t="str">
        <f t="shared" si="40"/>
        <v>Đến 30</v>
      </c>
      <c r="DM28" s="88" t="str">
        <f t="shared" si="41"/>
        <v>--</v>
      </c>
      <c r="DN28" s="86"/>
      <c r="DO28" s="122"/>
      <c r="DP28" s="88"/>
      <c r="DQ28" s="106"/>
      <c r="DR28" s="112"/>
      <c r="DS28" s="113"/>
      <c r="DT28" s="114"/>
      <c r="DU28" s="115"/>
      <c r="DV28" s="89"/>
      <c r="DW28" s="92" t="s">
        <v>234</v>
      </c>
      <c r="DX28" s="93" t="s">
        <v>235</v>
      </c>
      <c r="DY28" s="125"/>
      <c r="DZ28" s="93" t="s">
        <v>224</v>
      </c>
      <c r="EA28" s="116" t="s">
        <v>46</v>
      </c>
      <c r="EB28" s="93" t="s">
        <v>51</v>
      </c>
      <c r="EC28" s="117" t="s">
        <v>46</v>
      </c>
      <c r="ED28" s="92">
        <v>2012</v>
      </c>
      <c r="EE28" s="93">
        <f t="shared" si="42"/>
        <v>14</v>
      </c>
      <c r="EF28" s="125" t="str">
        <f t="shared" si="43"/>
        <v>Sửa</v>
      </c>
      <c r="EG28" s="93" t="s">
        <v>37</v>
      </c>
      <c r="EH28" s="116" t="s">
        <v>46</v>
      </c>
      <c r="EI28" s="86" t="s">
        <v>51</v>
      </c>
      <c r="EJ28" s="103" t="s">
        <v>46</v>
      </c>
      <c r="EK28" s="118">
        <v>2012</v>
      </c>
      <c r="EL28" s="115"/>
      <c r="EM28" s="119" t="str">
        <f t="shared" si="44"/>
        <v>- - -</v>
      </c>
      <c r="EN28" s="119" t="str">
        <f t="shared" si="45"/>
        <v>---</v>
      </c>
    </row>
    <row r="29" spans="1:144" s="119" customFormat="1" ht="39.75" customHeight="1" x14ac:dyDescent="0.2">
      <c r="A29" s="408">
        <v>365</v>
      </c>
      <c r="B29" s="298">
        <v>13</v>
      </c>
      <c r="C29" s="86"/>
      <c r="D29" s="86" t="str">
        <f t="shared" si="0"/>
        <v>Ông</v>
      </c>
      <c r="E29" s="410" t="s">
        <v>237</v>
      </c>
      <c r="F29" s="411" t="s">
        <v>55</v>
      </c>
      <c r="G29" s="412" t="s">
        <v>30</v>
      </c>
      <c r="H29" s="412" t="s">
        <v>46</v>
      </c>
      <c r="I29" s="412" t="s">
        <v>42</v>
      </c>
      <c r="J29" s="85" t="s">
        <v>46</v>
      </c>
      <c r="K29" s="85" t="s">
        <v>238</v>
      </c>
      <c r="L29" s="85" t="s">
        <v>73</v>
      </c>
      <c r="M29" s="85" t="str">
        <f t="shared" si="1"/>
        <v>VC</v>
      </c>
      <c r="N29" s="85"/>
      <c r="O29" s="85" t="str">
        <f t="shared" si="2"/>
        <v>CVụ</v>
      </c>
      <c r="P29" s="85" t="s">
        <v>119</v>
      </c>
      <c r="Q29" s="410">
        <f>VLOOKUP(P29,'[2]- DLiêu Gốc -'!$C$2:$H$115,2,0)</f>
        <v>0.4</v>
      </c>
      <c r="R29" s="526" t="s">
        <v>239</v>
      </c>
      <c r="S29" s="413" t="s">
        <v>240</v>
      </c>
      <c r="T29" s="414" t="str">
        <f>VLOOKUP(Y29,'[2]- DLiêu Gốc -'!$C$2:$H$60,5,0)</f>
        <v>A1</v>
      </c>
      <c r="U29" s="414" t="str">
        <f>VLOOKUP(Y29,'[2]- DLiêu Gốc -'!$C$2:$H$60,6,0)</f>
        <v>- - -</v>
      </c>
      <c r="V29" s="415" t="s">
        <v>65</v>
      </c>
      <c r="W29" s="416" t="str">
        <f t="shared" si="3"/>
        <v>Chuyên viên</v>
      </c>
      <c r="X29" s="417" t="str">
        <f t="shared" si="4"/>
        <v>01.003</v>
      </c>
      <c r="Y29" s="418" t="s">
        <v>36</v>
      </c>
      <c r="Z29" s="417" t="str">
        <f>VLOOKUP(Y29,'[2]- DLiêu Gốc -'!$C$1:$H$133,2,0)</f>
        <v>01.003</v>
      </c>
      <c r="AA29" s="419" t="str">
        <f t="shared" si="5"/>
        <v>Lương</v>
      </c>
      <c r="AB29" s="420">
        <v>8</v>
      </c>
      <c r="AC29" s="355" t="str">
        <f t="shared" si="6"/>
        <v>/</v>
      </c>
      <c r="AD29" s="45">
        <f t="shared" si="7"/>
        <v>9</v>
      </c>
      <c r="AE29" s="421">
        <f t="shared" si="8"/>
        <v>4.6500000000000004</v>
      </c>
      <c r="AF29" s="422"/>
      <c r="AG29" s="45"/>
      <c r="AH29" s="423" t="s">
        <v>37</v>
      </c>
      <c r="AI29" s="424" t="s">
        <v>46</v>
      </c>
      <c r="AJ29" s="425" t="s">
        <v>51</v>
      </c>
      <c r="AK29" s="525" t="s">
        <v>46</v>
      </c>
      <c r="AL29" s="426">
        <v>2015</v>
      </c>
      <c r="AM29" s="427"/>
      <c r="AN29" s="428"/>
      <c r="AO29" s="429">
        <f t="shared" si="9"/>
        <v>9</v>
      </c>
      <c r="AP29" s="430" t="str">
        <f t="shared" si="10"/>
        <v>/</v>
      </c>
      <c r="AQ29" s="431">
        <f t="shared" si="11"/>
        <v>9</v>
      </c>
      <c r="AR29" s="527">
        <f t="shared" si="12"/>
        <v>4.9800000000000004</v>
      </c>
      <c r="AS29" s="45"/>
      <c r="AT29" s="432" t="s">
        <v>37</v>
      </c>
      <c r="AU29" s="433" t="s">
        <v>46</v>
      </c>
      <c r="AV29" s="434" t="s">
        <v>51</v>
      </c>
      <c r="AW29" s="435" t="s">
        <v>46</v>
      </c>
      <c r="AX29" s="436">
        <v>2018</v>
      </c>
      <c r="AY29" s="439"/>
      <c r="AZ29" s="103"/>
      <c r="BA29" s="94"/>
      <c r="BB29" s="437">
        <f t="shared" si="13"/>
        <v>3</v>
      </c>
      <c r="BC29" s="91">
        <f t="shared" si="14"/>
        <v>-24227</v>
      </c>
      <c r="BD29" s="91">
        <f>VLOOKUP(Y29,'[2]- DLiêu Gốc -'!$C$1:$F$60,3,0)</f>
        <v>2.34</v>
      </c>
      <c r="BE29" s="96">
        <f>VLOOKUP(Y29,'[2]- DLiêu Gốc -'!$C$1:$F$60,4,0)</f>
        <v>0.33</v>
      </c>
      <c r="BF29" s="97" t="str">
        <f t="shared" si="15"/>
        <v>o-o-o</v>
      </c>
      <c r="BG29" s="193"/>
      <c r="BH29" s="99"/>
      <c r="BI29" s="330"/>
      <c r="BJ29" s="192"/>
      <c r="BK29" s="330"/>
      <c r="BL29" s="121"/>
      <c r="BM29" s="95"/>
      <c r="BN29" s="131"/>
      <c r="BO29" s="98"/>
      <c r="BP29" s="409"/>
      <c r="BQ29" s="99"/>
      <c r="BR29" s="330"/>
      <c r="BS29" s="192"/>
      <c r="BT29" s="330"/>
      <c r="BU29" s="121"/>
      <c r="BV29" s="123"/>
      <c r="BW29" s="103"/>
      <c r="BX29" s="438"/>
      <c r="BY29" s="96" t="str">
        <f t="shared" si="16"/>
        <v>- - -</v>
      </c>
      <c r="BZ29" s="87" t="str">
        <f t="shared" si="17"/>
        <v>- - -</v>
      </c>
      <c r="CA29" s="100" t="str">
        <f t="shared" si="18"/>
        <v>Chánh Văn phòng Học viện, Trưởng Ban Tổ chức - Cán bộ, Trưởng Phòng Kiểm tra - Pháp chế</v>
      </c>
      <c r="CB29" s="101" t="str">
        <f t="shared" si="19"/>
        <v>A</v>
      </c>
      <c r="CC29" s="90" t="str">
        <f t="shared" si="20"/>
        <v>=&gt; s</v>
      </c>
      <c r="CD29" s="86">
        <f t="shared" si="21"/>
        <v>24251</v>
      </c>
      <c r="CE29" s="86" t="str">
        <f t="shared" si="22"/>
        <v>---</v>
      </c>
      <c r="CF29" s="147"/>
      <c r="CG29" s="86"/>
      <c r="CH29" s="102"/>
      <c r="CI29" s="86"/>
      <c r="CJ29" s="103" t="str">
        <f t="shared" si="23"/>
        <v>- - -</v>
      </c>
      <c r="CK29" s="104" t="str">
        <f t="shared" si="24"/>
        <v>- - -</v>
      </c>
      <c r="CL29" s="105"/>
      <c r="CM29" s="104"/>
      <c r="CN29" s="106"/>
      <c r="CO29" s="103"/>
      <c r="CP29" s="104" t="str">
        <f t="shared" si="25"/>
        <v>CN</v>
      </c>
      <c r="CQ29" s="105">
        <v>6</v>
      </c>
      <c r="CR29" s="104">
        <v>2013</v>
      </c>
      <c r="CS29" s="106"/>
      <c r="CT29" s="107"/>
      <c r="CU29" s="132" t="str">
        <f t="shared" si="26"/>
        <v>---</v>
      </c>
      <c r="CV29" s="108" t="str">
        <f t="shared" si="27"/>
        <v>/-/ /-/</v>
      </c>
      <c r="CW29" s="109">
        <f t="shared" si="28"/>
        <v>4</v>
      </c>
      <c r="CX29" s="108">
        <f t="shared" si="29"/>
        <v>2030</v>
      </c>
      <c r="CY29" s="109">
        <f t="shared" si="30"/>
        <v>1</v>
      </c>
      <c r="CZ29" s="108">
        <f t="shared" si="31"/>
        <v>2030</v>
      </c>
      <c r="DA29" s="109">
        <f t="shared" si="32"/>
        <v>10</v>
      </c>
      <c r="DB29" s="110">
        <f t="shared" si="33"/>
        <v>2029</v>
      </c>
      <c r="DC29" s="111" t="str">
        <f t="shared" si="34"/>
        <v>- - -</v>
      </c>
      <c r="DD29" s="111" t="str">
        <f t="shared" si="35"/>
        <v>. .</v>
      </c>
      <c r="DE29" s="90"/>
      <c r="DF29" s="90">
        <f t="shared" si="36"/>
        <v>720</v>
      </c>
      <c r="DG29" s="90">
        <f t="shared" si="37"/>
        <v>-23631</v>
      </c>
      <c r="DH29" s="90">
        <f t="shared" si="38"/>
        <v>-1970</v>
      </c>
      <c r="DI29" s="90" t="str">
        <f t="shared" si="39"/>
        <v>Nam dưới 35</v>
      </c>
      <c r="DJ29" s="90"/>
      <c r="DK29" s="96"/>
      <c r="DL29" s="104" t="str">
        <f t="shared" si="40"/>
        <v>Đến 30</v>
      </c>
      <c r="DM29" s="88" t="str">
        <f t="shared" si="41"/>
        <v>--</v>
      </c>
      <c r="DN29" s="86"/>
      <c r="DO29" s="122" t="s">
        <v>175</v>
      </c>
      <c r="DP29" s="88">
        <v>6</v>
      </c>
      <c r="DQ29" s="106">
        <v>2013</v>
      </c>
      <c r="DR29" s="112"/>
      <c r="DS29" s="113"/>
      <c r="DT29" s="114"/>
      <c r="DU29" s="115"/>
      <c r="DV29" s="89"/>
      <c r="DW29" s="92" t="s">
        <v>239</v>
      </c>
      <c r="DX29" s="93" t="s">
        <v>241</v>
      </c>
      <c r="DY29" s="125" t="s">
        <v>242</v>
      </c>
      <c r="DZ29" s="93" t="s">
        <v>37</v>
      </c>
      <c r="EA29" s="116" t="s">
        <v>46</v>
      </c>
      <c r="EB29" s="93" t="s">
        <v>51</v>
      </c>
      <c r="EC29" s="117" t="s">
        <v>46</v>
      </c>
      <c r="ED29" s="92">
        <v>2012</v>
      </c>
      <c r="EE29" s="93">
        <f t="shared" si="42"/>
        <v>0</v>
      </c>
      <c r="EF29" s="125" t="str">
        <f t="shared" si="43"/>
        <v>- - -</v>
      </c>
      <c r="EG29" s="93" t="s">
        <v>37</v>
      </c>
      <c r="EH29" s="116" t="s">
        <v>46</v>
      </c>
      <c r="EI29" s="86" t="s">
        <v>51</v>
      </c>
      <c r="EJ29" s="103" t="s">
        <v>46</v>
      </c>
      <c r="EK29" s="118">
        <v>2012</v>
      </c>
      <c r="EL29" s="115"/>
      <c r="EM29" s="119" t="str">
        <f t="shared" si="44"/>
        <v>- - -</v>
      </c>
      <c r="EN29" s="119" t="str">
        <f t="shared" si="45"/>
        <v>---</v>
      </c>
    </row>
    <row r="30" spans="1:144" s="119" customFormat="1" ht="39.75" customHeight="1" x14ac:dyDescent="0.2">
      <c r="A30" s="408">
        <v>397</v>
      </c>
      <c r="B30" s="298">
        <v>14</v>
      </c>
      <c r="C30" s="86"/>
      <c r="D30" s="86" t="str">
        <f t="shared" si="0"/>
        <v>Bà</v>
      </c>
      <c r="E30" s="410" t="s">
        <v>243</v>
      </c>
      <c r="F30" s="411" t="s">
        <v>56</v>
      </c>
      <c r="G30" s="412" t="s">
        <v>50</v>
      </c>
      <c r="H30" s="412" t="s">
        <v>46</v>
      </c>
      <c r="I30" s="412" t="s">
        <v>50</v>
      </c>
      <c r="J30" s="85" t="s">
        <v>46</v>
      </c>
      <c r="K30" s="85">
        <v>1970</v>
      </c>
      <c r="L30" s="85" t="s">
        <v>71</v>
      </c>
      <c r="M30" s="85" t="str">
        <f t="shared" si="1"/>
        <v>NLĐ</v>
      </c>
      <c r="N30" s="85"/>
      <c r="O30" s="85" t="e">
        <f t="shared" si="2"/>
        <v>#N/A</v>
      </c>
      <c r="P30" s="85"/>
      <c r="Q30" s="410" t="e">
        <f>VLOOKUP(P30,'[2]- DLiêu Gốc -'!$C$2:$H$115,2,0)</f>
        <v>#N/A</v>
      </c>
      <c r="R30" s="526" t="s">
        <v>178</v>
      </c>
      <c r="S30" s="413" t="s">
        <v>133</v>
      </c>
      <c r="T30" s="414" t="str">
        <f>VLOOKUP(Y30,'[2]- DLiêu Gốc -'!$C$2:$H$60,5,0)</f>
        <v>A1</v>
      </c>
      <c r="U30" s="414" t="str">
        <f>VLOOKUP(Y30,'[2]- DLiêu Gốc -'!$C$2:$H$60,6,0)</f>
        <v>- - -</v>
      </c>
      <c r="V30" s="415" t="s">
        <v>65</v>
      </c>
      <c r="W30" s="416" t="str">
        <f t="shared" si="3"/>
        <v>Chuyên viên</v>
      </c>
      <c r="X30" s="417" t="str">
        <f t="shared" si="4"/>
        <v>01.003</v>
      </c>
      <c r="Y30" s="418" t="s">
        <v>36</v>
      </c>
      <c r="Z30" s="417" t="str">
        <f>VLOOKUP(Y30,'[2]- DLiêu Gốc -'!$C$1:$H$133,2,0)</f>
        <v>01.003</v>
      </c>
      <c r="AA30" s="419" t="str">
        <f t="shared" si="5"/>
        <v>Lương</v>
      </c>
      <c r="AB30" s="420">
        <v>5</v>
      </c>
      <c r="AC30" s="355" t="str">
        <f t="shared" si="6"/>
        <v>/</v>
      </c>
      <c r="AD30" s="45">
        <f t="shared" si="7"/>
        <v>9</v>
      </c>
      <c r="AE30" s="421">
        <f t="shared" si="8"/>
        <v>3.66</v>
      </c>
      <c r="AF30" s="422"/>
      <c r="AG30" s="45"/>
      <c r="AH30" s="423" t="s">
        <v>37</v>
      </c>
      <c r="AI30" s="424" t="s">
        <v>46</v>
      </c>
      <c r="AJ30" s="425" t="s">
        <v>51</v>
      </c>
      <c r="AK30" s="525" t="s">
        <v>46</v>
      </c>
      <c r="AL30" s="426">
        <v>2015</v>
      </c>
      <c r="AM30" s="427"/>
      <c r="AN30" s="428"/>
      <c r="AO30" s="429">
        <f t="shared" si="9"/>
        <v>6</v>
      </c>
      <c r="AP30" s="430" t="str">
        <f t="shared" si="10"/>
        <v>/</v>
      </c>
      <c r="AQ30" s="431">
        <f t="shared" si="11"/>
        <v>9</v>
      </c>
      <c r="AR30" s="527">
        <f t="shared" si="12"/>
        <v>3.99</v>
      </c>
      <c r="AS30" s="45"/>
      <c r="AT30" s="432" t="s">
        <v>37</v>
      </c>
      <c r="AU30" s="433" t="s">
        <v>46</v>
      </c>
      <c r="AV30" s="434" t="s">
        <v>51</v>
      </c>
      <c r="AW30" s="435" t="s">
        <v>46</v>
      </c>
      <c r="AX30" s="436">
        <v>2018</v>
      </c>
      <c r="AY30" s="439"/>
      <c r="AZ30" s="103"/>
      <c r="BA30" s="94"/>
      <c r="BB30" s="437">
        <f t="shared" si="13"/>
        <v>3</v>
      </c>
      <c r="BC30" s="91">
        <f t="shared" si="14"/>
        <v>-24227</v>
      </c>
      <c r="BD30" s="91">
        <f>VLOOKUP(Y30,'[2]- DLiêu Gốc -'!$C$1:$F$60,3,0)</f>
        <v>2.34</v>
      </c>
      <c r="BE30" s="96">
        <f>VLOOKUP(Y30,'[2]- DLiêu Gốc -'!$C$1:$F$60,4,0)</f>
        <v>0.33</v>
      </c>
      <c r="BF30" s="97" t="str">
        <f t="shared" si="15"/>
        <v>o-o-o</v>
      </c>
      <c r="BG30" s="193"/>
      <c r="BH30" s="99"/>
      <c r="BI30" s="330"/>
      <c r="BJ30" s="192"/>
      <c r="BK30" s="330"/>
      <c r="BL30" s="121"/>
      <c r="BM30" s="95"/>
      <c r="BN30" s="131"/>
      <c r="BO30" s="98"/>
      <c r="BP30" s="409"/>
      <c r="BQ30" s="99"/>
      <c r="BR30" s="330"/>
      <c r="BS30" s="192"/>
      <c r="BT30" s="330"/>
      <c r="BU30" s="121"/>
      <c r="BV30" s="123"/>
      <c r="BW30" s="103"/>
      <c r="BX30" s="438"/>
      <c r="BY30" s="96" t="str">
        <f t="shared" si="16"/>
        <v>- - -</v>
      </c>
      <c r="BZ30" s="87" t="str">
        <f t="shared" si="17"/>
        <v>- - -</v>
      </c>
      <c r="CA30" s="100" t="str">
        <f t="shared" si="18"/>
        <v>Chánh Văn phòng Học viện, Trưởng Ban Tổ chức - Cán bộ, Trưởng Phòng Quản lý đào tạo và Phát triển nhân lực hành chính</v>
      </c>
      <c r="CB30" s="101" t="str">
        <f t="shared" si="19"/>
        <v>A</v>
      </c>
      <c r="CC30" s="90" t="str">
        <f t="shared" si="20"/>
        <v>=&gt; s</v>
      </c>
      <c r="CD30" s="86">
        <f t="shared" si="21"/>
        <v>24251</v>
      </c>
      <c r="CE30" s="86" t="str">
        <f t="shared" si="22"/>
        <v>---</v>
      </c>
      <c r="CF30" s="147"/>
      <c r="CG30" s="86"/>
      <c r="CH30" s="102"/>
      <c r="CI30" s="86"/>
      <c r="CJ30" s="103" t="str">
        <f t="shared" si="23"/>
        <v>- - -</v>
      </c>
      <c r="CK30" s="104" t="str">
        <f t="shared" si="24"/>
        <v>- - -</v>
      </c>
      <c r="CL30" s="105"/>
      <c r="CM30" s="104"/>
      <c r="CN30" s="106"/>
      <c r="CO30" s="103"/>
      <c r="CP30" s="104" t="str">
        <f t="shared" si="25"/>
        <v>- - -</v>
      </c>
      <c r="CQ30" s="105"/>
      <c r="CR30" s="104"/>
      <c r="CS30" s="106"/>
      <c r="CT30" s="107"/>
      <c r="CU30" s="132" t="str">
        <f t="shared" si="26"/>
        <v>---</v>
      </c>
      <c r="CV30" s="108" t="str">
        <f t="shared" si="27"/>
        <v>/-/ /-/</v>
      </c>
      <c r="CW30" s="109">
        <f t="shared" si="28"/>
        <v>11</v>
      </c>
      <c r="CX30" s="108">
        <f t="shared" si="29"/>
        <v>2025</v>
      </c>
      <c r="CY30" s="109">
        <f t="shared" si="30"/>
        <v>8</v>
      </c>
      <c r="CZ30" s="108">
        <f t="shared" si="31"/>
        <v>2025</v>
      </c>
      <c r="DA30" s="109">
        <f t="shared" si="32"/>
        <v>5</v>
      </c>
      <c r="DB30" s="110">
        <f t="shared" si="33"/>
        <v>2025</v>
      </c>
      <c r="DC30" s="111" t="str">
        <f t="shared" si="34"/>
        <v>- - -</v>
      </c>
      <c r="DD30" s="111" t="str">
        <f t="shared" si="35"/>
        <v>. .</v>
      </c>
      <c r="DE30" s="90"/>
      <c r="DF30" s="90">
        <f t="shared" si="36"/>
        <v>660</v>
      </c>
      <c r="DG30" s="90">
        <f t="shared" si="37"/>
        <v>-23638</v>
      </c>
      <c r="DH30" s="90">
        <f t="shared" si="38"/>
        <v>-1970</v>
      </c>
      <c r="DI30" s="90" t="str">
        <f t="shared" si="39"/>
        <v>Nữ dưới 30</v>
      </c>
      <c r="DJ30" s="90"/>
      <c r="DK30" s="96"/>
      <c r="DL30" s="104" t="str">
        <f t="shared" si="40"/>
        <v>Đến 30</v>
      </c>
      <c r="DM30" s="88" t="str">
        <f t="shared" si="41"/>
        <v>--</v>
      </c>
      <c r="DN30" s="86"/>
      <c r="DO30" s="122"/>
      <c r="DP30" s="88"/>
      <c r="DQ30" s="106"/>
      <c r="DR30" s="112"/>
      <c r="DS30" s="113"/>
      <c r="DT30" s="114"/>
      <c r="DU30" s="115"/>
      <c r="DV30" s="89"/>
      <c r="DW30" s="92" t="s">
        <v>178</v>
      </c>
      <c r="DX30" s="93" t="s">
        <v>177</v>
      </c>
      <c r="DY30" s="125" t="s">
        <v>178</v>
      </c>
      <c r="DZ30" s="93" t="s">
        <v>37</v>
      </c>
      <c r="EA30" s="116" t="s">
        <v>46</v>
      </c>
      <c r="EB30" s="93" t="s">
        <v>51</v>
      </c>
      <c r="EC30" s="117" t="s">
        <v>46</v>
      </c>
      <c r="ED30" s="92">
        <v>2012</v>
      </c>
      <c r="EE30" s="93">
        <f t="shared" si="42"/>
        <v>0</v>
      </c>
      <c r="EF30" s="125" t="str">
        <f t="shared" si="43"/>
        <v>- - -</v>
      </c>
      <c r="EG30" s="93" t="s">
        <v>37</v>
      </c>
      <c r="EH30" s="116" t="s">
        <v>46</v>
      </c>
      <c r="EI30" s="86" t="s">
        <v>51</v>
      </c>
      <c r="EJ30" s="103" t="s">
        <v>46</v>
      </c>
      <c r="EK30" s="118">
        <v>2012</v>
      </c>
      <c r="EL30" s="115"/>
      <c r="EM30" s="119" t="str">
        <f t="shared" si="44"/>
        <v>- - -</v>
      </c>
      <c r="EN30" s="119" t="str">
        <f t="shared" si="45"/>
        <v>---</v>
      </c>
    </row>
    <row r="31" spans="1:144" s="119" customFormat="1" ht="39.75" customHeight="1" x14ac:dyDescent="0.2">
      <c r="A31" s="408">
        <v>461</v>
      </c>
      <c r="B31" s="298">
        <v>15</v>
      </c>
      <c r="C31" s="86"/>
      <c r="D31" s="86" t="str">
        <f t="shared" si="0"/>
        <v>Ông</v>
      </c>
      <c r="E31" s="410" t="s">
        <v>244</v>
      </c>
      <c r="F31" s="411" t="s">
        <v>55</v>
      </c>
      <c r="G31" s="412" t="s">
        <v>163</v>
      </c>
      <c r="H31" s="412" t="s">
        <v>46</v>
      </c>
      <c r="I31" s="412" t="s">
        <v>51</v>
      </c>
      <c r="J31" s="85" t="s">
        <v>46</v>
      </c>
      <c r="K31" s="85">
        <v>1971</v>
      </c>
      <c r="L31" s="85" t="s">
        <v>73</v>
      </c>
      <c r="M31" s="85" t="str">
        <f t="shared" si="1"/>
        <v>VC</v>
      </c>
      <c r="N31" s="85"/>
      <c r="O31" s="85" t="e">
        <f t="shared" si="2"/>
        <v>#N/A</v>
      </c>
      <c r="P31" s="85"/>
      <c r="Q31" s="410" t="e">
        <f>VLOOKUP(P31,'[1]- DLiêu Gốc (Không sửa)'!$C$2:$H$116,2,0)</f>
        <v>#N/A</v>
      </c>
      <c r="R31" s="526"/>
      <c r="S31" s="413" t="s">
        <v>165</v>
      </c>
      <c r="T31" s="414" t="str">
        <f>VLOOKUP(Y31,'[2]- DLiêu Gốc -'!$C$2:$H$60,5,0)</f>
        <v>A1</v>
      </c>
      <c r="U31" s="414" t="str">
        <f>VLOOKUP(Y31,'[2]- DLiêu Gốc -'!$C$2:$H$60,6,0)</f>
        <v>- - -</v>
      </c>
      <c r="V31" s="415" t="s">
        <v>65</v>
      </c>
      <c r="W31" s="416" t="str">
        <f t="shared" si="3"/>
        <v>Chuyên viên</v>
      </c>
      <c r="X31" s="417" t="str">
        <f t="shared" si="4"/>
        <v>01.003</v>
      </c>
      <c r="Y31" s="418" t="s">
        <v>36</v>
      </c>
      <c r="Z31" s="417" t="str">
        <f>VLOOKUP(Y31,'[2]- DLiêu Gốc -'!$C$1:$H$133,2,0)</f>
        <v>01.003</v>
      </c>
      <c r="AA31" s="419" t="str">
        <f t="shared" si="5"/>
        <v>Lương</v>
      </c>
      <c r="AB31" s="420">
        <v>5</v>
      </c>
      <c r="AC31" s="355" t="str">
        <f t="shared" si="6"/>
        <v>/</v>
      </c>
      <c r="AD31" s="45">
        <f t="shared" si="7"/>
        <v>9</v>
      </c>
      <c r="AE31" s="421">
        <f t="shared" si="8"/>
        <v>3.66</v>
      </c>
      <c r="AF31" s="422"/>
      <c r="AG31" s="45"/>
      <c r="AH31" s="423" t="s">
        <v>37</v>
      </c>
      <c r="AI31" s="424" t="s">
        <v>46</v>
      </c>
      <c r="AJ31" s="425" t="s">
        <v>51</v>
      </c>
      <c r="AK31" s="525" t="s">
        <v>46</v>
      </c>
      <c r="AL31" s="426">
        <v>2015</v>
      </c>
      <c r="AM31" s="427"/>
      <c r="AN31" s="428"/>
      <c r="AO31" s="429">
        <v>5</v>
      </c>
      <c r="AP31" s="430" t="str">
        <f t="shared" si="10"/>
        <v>/</v>
      </c>
      <c r="AQ31" s="431">
        <f t="shared" si="11"/>
        <v>9</v>
      </c>
      <c r="AR31" s="527">
        <f t="shared" si="12"/>
        <v>3.99</v>
      </c>
      <c r="AS31" s="45"/>
      <c r="AT31" s="432" t="s">
        <v>37</v>
      </c>
      <c r="AU31" s="433" t="s">
        <v>46</v>
      </c>
      <c r="AV31" s="434" t="s">
        <v>51</v>
      </c>
      <c r="AW31" s="435" t="s">
        <v>46</v>
      </c>
      <c r="AX31" s="436">
        <v>2018</v>
      </c>
      <c r="AY31" s="439"/>
      <c r="AZ31" s="103"/>
      <c r="BA31" s="94"/>
      <c r="BB31" s="437">
        <f t="shared" si="13"/>
        <v>3</v>
      </c>
      <c r="BC31" s="91">
        <f t="shared" si="14"/>
        <v>-24227</v>
      </c>
      <c r="BD31" s="91">
        <f>VLOOKUP(Y31,'[2]- DLiêu Gốc -'!$C$1:$F$60,3,0)</f>
        <v>2.34</v>
      </c>
      <c r="BE31" s="96">
        <f>VLOOKUP(Y31,'[2]- DLiêu Gốc -'!$C$1:$F$60,4,0)</f>
        <v>0.33</v>
      </c>
      <c r="BF31" s="97" t="str">
        <f t="shared" si="15"/>
        <v>o-o-o</v>
      </c>
      <c r="BG31" s="193"/>
      <c r="BH31" s="99"/>
      <c r="BI31" s="330"/>
      <c r="BJ31" s="192"/>
      <c r="BK31" s="330"/>
      <c r="BL31" s="121"/>
      <c r="BM31" s="95"/>
      <c r="BN31" s="131"/>
      <c r="BO31" s="98"/>
      <c r="BP31" s="409"/>
      <c r="BQ31" s="99"/>
      <c r="BR31" s="330"/>
      <c r="BS31" s="192"/>
      <c r="BT31" s="330"/>
      <c r="BU31" s="121"/>
      <c r="BV31" s="123"/>
      <c r="BW31" s="103"/>
      <c r="BX31" s="438"/>
      <c r="BY31" s="96" t="str">
        <f t="shared" si="16"/>
        <v>- - -</v>
      </c>
      <c r="BZ31" s="87" t="str">
        <f t="shared" si="17"/>
        <v>- - -</v>
      </c>
      <c r="CA31" s="100" t="str">
        <f t="shared" si="18"/>
        <v>Chánh Văn phòng Học viện, Trưởng Ban Tổ chức - Cán bộ, Trưởng Trung tâm Ngoại ngữ - Tin học và Thông tin - Thư viện</v>
      </c>
      <c r="CB31" s="101" t="str">
        <f t="shared" si="19"/>
        <v>A</v>
      </c>
      <c r="CC31" s="90" t="str">
        <f t="shared" si="20"/>
        <v>=&gt; s</v>
      </c>
      <c r="CD31" s="86">
        <f t="shared" si="21"/>
        <v>24251</v>
      </c>
      <c r="CE31" s="86" t="str">
        <f t="shared" si="22"/>
        <v>---</v>
      </c>
      <c r="CF31" s="147"/>
      <c r="CG31" s="86"/>
      <c r="CH31" s="102"/>
      <c r="CI31" s="86"/>
      <c r="CJ31" s="103" t="str">
        <f t="shared" si="23"/>
        <v>- - -</v>
      </c>
      <c r="CK31" s="104" t="str">
        <f t="shared" si="24"/>
        <v>- - -</v>
      </c>
      <c r="CL31" s="105"/>
      <c r="CM31" s="104"/>
      <c r="CN31" s="106"/>
      <c r="CO31" s="103"/>
      <c r="CP31" s="104" t="str">
        <f t="shared" si="25"/>
        <v>CN</v>
      </c>
      <c r="CQ31" s="105">
        <v>6</v>
      </c>
      <c r="CR31" s="104">
        <v>2013</v>
      </c>
      <c r="CS31" s="106"/>
      <c r="CT31" s="107"/>
      <c r="CU31" s="132" t="str">
        <f t="shared" si="26"/>
        <v>---</v>
      </c>
      <c r="CV31" s="108" t="str">
        <f t="shared" si="27"/>
        <v>/-/ /-/</v>
      </c>
      <c r="CW31" s="109">
        <f t="shared" si="28"/>
        <v>12</v>
      </c>
      <c r="CX31" s="108">
        <f t="shared" si="29"/>
        <v>2031</v>
      </c>
      <c r="CY31" s="109">
        <f t="shared" si="30"/>
        <v>9</v>
      </c>
      <c r="CZ31" s="108">
        <f t="shared" si="31"/>
        <v>2031</v>
      </c>
      <c r="DA31" s="109">
        <f t="shared" si="32"/>
        <v>6</v>
      </c>
      <c r="DB31" s="110">
        <f t="shared" si="33"/>
        <v>2031</v>
      </c>
      <c r="DC31" s="111" t="str">
        <f t="shared" si="34"/>
        <v>- - -</v>
      </c>
      <c r="DD31" s="111" t="str">
        <f t="shared" si="35"/>
        <v>. .</v>
      </c>
      <c r="DE31" s="90"/>
      <c r="DF31" s="90">
        <f t="shared" si="36"/>
        <v>720</v>
      </c>
      <c r="DG31" s="90">
        <f t="shared" si="37"/>
        <v>-23651</v>
      </c>
      <c r="DH31" s="90">
        <f t="shared" si="38"/>
        <v>-1971</v>
      </c>
      <c r="DI31" s="90" t="str">
        <f t="shared" si="39"/>
        <v>Nam dưới 35</v>
      </c>
      <c r="DJ31" s="90"/>
      <c r="DK31" s="96"/>
      <c r="DL31" s="104" t="str">
        <f t="shared" si="40"/>
        <v>Đến 30</v>
      </c>
      <c r="DM31" s="88" t="str">
        <f t="shared" si="41"/>
        <v>--</v>
      </c>
      <c r="DN31" s="86"/>
      <c r="DO31" s="122" t="s">
        <v>245</v>
      </c>
      <c r="DP31" s="88">
        <v>6</v>
      </c>
      <c r="DQ31" s="106">
        <v>2013</v>
      </c>
      <c r="DR31" s="112"/>
      <c r="DS31" s="113"/>
      <c r="DT31" s="114"/>
      <c r="DU31" s="115"/>
      <c r="DV31" s="89"/>
      <c r="DW31" s="92"/>
      <c r="DX31" s="93" t="s">
        <v>190</v>
      </c>
      <c r="DY31" s="125"/>
      <c r="DZ31" s="93" t="s">
        <v>37</v>
      </c>
      <c r="EA31" s="116" t="s">
        <v>46</v>
      </c>
      <c r="EB31" s="93" t="s">
        <v>40</v>
      </c>
      <c r="EC31" s="117" t="s">
        <v>46</v>
      </c>
      <c r="ED31" s="92">
        <v>2013</v>
      </c>
      <c r="EE31" s="93">
        <f t="shared" si="42"/>
        <v>0</v>
      </c>
      <c r="EF31" s="125" t="str">
        <f t="shared" si="43"/>
        <v>- - -</v>
      </c>
      <c r="EG31" s="93" t="s">
        <v>37</v>
      </c>
      <c r="EH31" s="116" t="s">
        <v>46</v>
      </c>
      <c r="EI31" s="86" t="s">
        <v>40</v>
      </c>
      <c r="EJ31" s="103" t="s">
        <v>46</v>
      </c>
      <c r="EK31" s="118">
        <v>2013</v>
      </c>
      <c r="EL31" s="115"/>
      <c r="EM31" s="119" t="str">
        <f t="shared" si="44"/>
        <v>- - -</v>
      </c>
      <c r="EN31" s="119" t="str">
        <f t="shared" si="45"/>
        <v>---</v>
      </c>
    </row>
    <row r="32" spans="1:144" s="119" customFormat="1" ht="39.75" customHeight="1" x14ac:dyDescent="0.2">
      <c r="A32" s="408">
        <v>526</v>
      </c>
      <c r="B32" s="298">
        <v>16</v>
      </c>
      <c r="C32" s="86"/>
      <c r="D32" s="86" t="str">
        <f t="shared" si="0"/>
        <v>Ông</v>
      </c>
      <c r="E32" s="410" t="s">
        <v>246</v>
      </c>
      <c r="F32" s="411" t="s">
        <v>55</v>
      </c>
      <c r="G32" s="412" t="s">
        <v>30</v>
      </c>
      <c r="H32" s="412" t="s">
        <v>46</v>
      </c>
      <c r="I32" s="412" t="s">
        <v>41</v>
      </c>
      <c r="J32" s="85" t="s">
        <v>46</v>
      </c>
      <c r="K32" s="85">
        <v>1977</v>
      </c>
      <c r="L32" s="85" t="s">
        <v>71</v>
      </c>
      <c r="M32" s="85" t="str">
        <f t="shared" si="1"/>
        <v>NLĐ</v>
      </c>
      <c r="N32" s="85" t="s">
        <v>247</v>
      </c>
      <c r="O32" s="85" t="e">
        <f t="shared" si="2"/>
        <v>#N/A</v>
      </c>
      <c r="P32" s="85"/>
      <c r="Q32" s="410" t="e">
        <f>VLOOKUP(P32,'[1]- DLiêu Gốc (Không sửa)'!$C$2:$H$116,2,0)</f>
        <v>#N/A</v>
      </c>
      <c r="R32" s="526" t="s">
        <v>49</v>
      </c>
      <c r="S32" s="413" t="s">
        <v>150</v>
      </c>
      <c r="T32" s="414" t="str">
        <f>VLOOKUP(Y32,'[2]- DLiêu Gốc -'!$C$2:$H$60,5,0)</f>
        <v>C</v>
      </c>
      <c r="U32" s="414" t="str">
        <f>VLOOKUP(Y32,'[2]- DLiêu Gốc -'!$C$2:$H$60,6,0)</f>
        <v>Nhân viên</v>
      </c>
      <c r="V32" s="415" t="s">
        <v>65</v>
      </c>
      <c r="W32" s="416" t="str">
        <f t="shared" si="3"/>
        <v>Nhân viên</v>
      </c>
      <c r="X32" s="417" t="str">
        <f t="shared" si="4"/>
        <v>01.005</v>
      </c>
      <c r="Y32" s="418" t="s">
        <v>138</v>
      </c>
      <c r="Z32" s="417" t="str">
        <f>VLOOKUP(Y32,'[2]- DLiêu Gốc -'!$C$1:$H$133,2,0)</f>
        <v>01.007</v>
      </c>
      <c r="AA32" s="419" t="str">
        <f t="shared" si="5"/>
        <v>Lương</v>
      </c>
      <c r="AB32" s="420">
        <v>11</v>
      </c>
      <c r="AC32" s="355" t="str">
        <f t="shared" si="6"/>
        <v>/</v>
      </c>
      <c r="AD32" s="45">
        <f t="shared" si="7"/>
        <v>12</v>
      </c>
      <c r="AE32" s="421">
        <f t="shared" si="8"/>
        <v>3.4499999999999997</v>
      </c>
      <c r="AF32" s="422"/>
      <c r="AG32" s="45"/>
      <c r="AH32" s="423" t="s">
        <v>37</v>
      </c>
      <c r="AI32" s="424" t="s">
        <v>46</v>
      </c>
      <c r="AJ32" s="425" t="s">
        <v>51</v>
      </c>
      <c r="AK32" s="525" t="s">
        <v>46</v>
      </c>
      <c r="AL32" s="426">
        <v>2016</v>
      </c>
      <c r="AM32" s="427"/>
      <c r="AN32" s="428"/>
      <c r="AO32" s="429">
        <f t="shared" ref="AO32:AO48" si="46">AB32+1</f>
        <v>12</v>
      </c>
      <c r="AP32" s="430" t="str">
        <f t="shared" si="10"/>
        <v>/</v>
      </c>
      <c r="AQ32" s="431">
        <f t="shared" si="11"/>
        <v>12</v>
      </c>
      <c r="AR32" s="527">
        <f t="shared" si="12"/>
        <v>3.63</v>
      </c>
      <c r="AS32" s="45"/>
      <c r="AT32" s="432" t="s">
        <v>37</v>
      </c>
      <c r="AU32" s="433" t="s">
        <v>46</v>
      </c>
      <c r="AV32" s="434" t="s">
        <v>51</v>
      </c>
      <c r="AW32" s="435" t="s">
        <v>46</v>
      </c>
      <c r="AX32" s="436">
        <v>2018</v>
      </c>
      <c r="AY32" s="439"/>
      <c r="AZ32" s="103" t="s">
        <v>188</v>
      </c>
      <c r="BA32" s="94"/>
      <c r="BB32" s="437">
        <f t="shared" si="13"/>
        <v>2</v>
      </c>
      <c r="BC32" s="91">
        <f t="shared" si="14"/>
        <v>-24227</v>
      </c>
      <c r="BD32" s="91">
        <f>VLOOKUP(Y32,'[2]- DLiêu Gốc -'!$C$1:$F$60,3,0)</f>
        <v>1.65</v>
      </c>
      <c r="BE32" s="96">
        <f>VLOOKUP(Y32,'[2]- DLiêu Gốc -'!$C$1:$F$60,4,0)</f>
        <v>0.18</v>
      </c>
      <c r="BF32" s="97" t="str">
        <f t="shared" si="15"/>
        <v>o-o-o</v>
      </c>
      <c r="BG32" s="193"/>
      <c r="BH32" s="99"/>
      <c r="BI32" s="330"/>
      <c r="BJ32" s="192"/>
      <c r="BK32" s="330"/>
      <c r="BL32" s="121"/>
      <c r="BM32" s="95"/>
      <c r="BN32" s="131"/>
      <c r="BO32" s="98"/>
      <c r="BP32" s="409"/>
      <c r="BQ32" s="99"/>
      <c r="BR32" s="330"/>
      <c r="BS32" s="192"/>
      <c r="BT32" s="330"/>
      <c r="BU32" s="121"/>
      <c r="BV32" s="123"/>
      <c r="BW32" s="103"/>
      <c r="BX32" s="438"/>
      <c r="BY32" s="96" t="str">
        <f t="shared" si="16"/>
        <v>- - -</v>
      </c>
      <c r="BZ32" s="87" t="str">
        <f t="shared" si="17"/>
        <v>- - -</v>
      </c>
      <c r="CA32" s="100" t="str">
        <f t="shared" si="18"/>
        <v>Chánh Văn phòng Học viện, Trưởng Ban Tổ chức - Cán bộ</v>
      </c>
      <c r="CB32" s="101" t="str">
        <f t="shared" si="19"/>
        <v>A</v>
      </c>
      <c r="CC32" s="90" t="str">
        <f t="shared" si="20"/>
        <v>=&gt; s</v>
      </c>
      <c r="CD32" s="86">
        <f t="shared" si="21"/>
        <v>24239</v>
      </c>
      <c r="CE32" s="86" t="str">
        <f t="shared" si="22"/>
        <v>S</v>
      </c>
      <c r="CF32" s="147">
        <v>2012</v>
      </c>
      <c r="CG32" s="86" t="s">
        <v>180</v>
      </c>
      <c r="CH32" s="102"/>
      <c r="CI32" s="86"/>
      <c r="CJ32" s="103" t="str">
        <f t="shared" si="23"/>
        <v>Cùg Ng</v>
      </c>
      <c r="CK32" s="104" t="str">
        <f t="shared" si="24"/>
        <v>- - -</v>
      </c>
      <c r="CL32" s="105"/>
      <c r="CM32" s="104"/>
      <c r="CN32" s="106"/>
      <c r="CO32" s="103"/>
      <c r="CP32" s="104" t="str">
        <f t="shared" si="25"/>
        <v>- - -</v>
      </c>
      <c r="CQ32" s="105"/>
      <c r="CR32" s="104"/>
      <c r="CS32" s="106"/>
      <c r="CT32" s="107"/>
      <c r="CU32" s="132" t="str">
        <f t="shared" si="26"/>
        <v>---</v>
      </c>
      <c r="CV32" s="108" t="str">
        <f t="shared" si="27"/>
        <v>/-/ /-/</v>
      </c>
      <c r="CW32" s="109">
        <f t="shared" si="28"/>
        <v>9</v>
      </c>
      <c r="CX32" s="108">
        <f t="shared" si="29"/>
        <v>2037</v>
      </c>
      <c r="CY32" s="109">
        <f t="shared" si="30"/>
        <v>6</v>
      </c>
      <c r="CZ32" s="108">
        <f t="shared" si="31"/>
        <v>2037</v>
      </c>
      <c r="DA32" s="109">
        <f t="shared" si="32"/>
        <v>3</v>
      </c>
      <c r="DB32" s="110">
        <f t="shared" si="33"/>
        <v>2037</v>
      </c>
      <c r="DC32" s="111" t="str">
        <f t="shared" si="34"/>
        <v>- - -</v>
      </c>
      <c r="DD32" s="111" t="str">
        <f t="shared" si="35"/>
        <v>. .</v>
      </c>
      <c r="DE32" s="90"/>
      <c r="DF32" s="90">
        <f t="shared" si="36"/>
        <v>720</v>
      </c>
      <c r="DG32" s="90">
        <f t="shared" si="37"/>
        <v>-23720</v>
      </c>
      <c r="DH32" s="90">
        <f t="shared" si="38"/>
        <v>-1977</v>
      </c>
      <c r="DI32" s="90" t="str">
        <f t="shared" si="39"/>
        <v>Nam dưới 35</v>
      </c>
      <c r="DJ32" s="90"/>
      <c r="DK32" s="96"/>
      <c r="DL32" s="104" t="str">
        <f t="shared" si="40"/>
        <v>Đến 30</v>
      </c>
      <c r="DM32" s="88" t="str">
        <f t="shared" si="41"/>
        <v>--</v>
      </c>
      <c r="DN32" s="86"/>
      <c r="DO32" s="122"/>
      <c r="DP32" s="88"/>
      <c r="DQ32" s="106"/>
      <c r="DR32" s="112"/>
      <c r="DS32" s="113"/>
      <c r="DT32" s="114"/>
      <c r="DU32" s="115"/>
      <c r="DV32" s="89"/>
      <c r="DW32" s="92" t="s">
        <v>49</v>
      </c>
      <c r="DX32" s="93" t="s">
        <v>150</v>
      </c>
      <c r="DY32" s="125" t="s">
        <v>49</v>
      </c>
      <c r="DZ32" s="93" t="s">
        <v>37</v>
      </c>
      <c r="EA32" s="116" t="s">
        <v>46</v>
      </c>
      <c r="EB32" s="93" t="s">
        <v>51</v>
      </c>
      <c r="EC32" s="117" t="s">
        <v>46</v>
      </c>
      <c r="ED32" s="92">
        <v>2012</v>
      </c>
      <c r="EE32" s="93">
        <f t="shared" si="42"/>
        <v>0</v>
      </c>
      <c r="EF32" s="125" t="str">
        <f t="shared" si="43"/>
        <v>- - -</v>
      </c>
      <c r="EG32" s="93" t="s">
        <v>37</v>
      </c>
      <c r="EH32" s="116" t="s">
        <v>46</v>
      </c>
      <c r="EI32" s="86" t="s">
        <v>51</v>
      </c>
      <c r="EJ32" s="103" t="s">
        <v>46</v>
      </c>
      <c r="EK32" s="118">
        <v>2012</v>
      </c>
      <c r="EL32" s="115"/>
      <c r="EM32" s="119" t="str">
        <f t="shared" si="44"/>
        <v>- - -</v>
      </c>
      <c r="EN32" s="119" t="str">
        <f t="shared" si="45"/>
        <v>---</v>
      </c>
    </row>
    <row r="33" spans="1:144" s="119" customFormat="1" ht="39.75" customHeight="1" x14ac:dyDescent="0.2">
      <c r="A33" s="408">
        <v>531</v>
      </c>
      <c r="B33" s="298">
        <v>17</v>
      </c>
      <c r="C33" s="86"/>
      <c r="D33" s="86" t="str">
        <f t="shared" si="0"/>
        <v>Bà</v>
      </c>
      <c r="E33" s="410" t="s">
        <v>248</v>
      </c>
      <c r="F33" s="411" t="s">
        <v>56</v>
      </c>
      <c r="G33" s="412" t="s">
        <v>50</v>
      </c>
      <c r="H33" s="412" t="s">
        <v>46</v>
      </c>
      <c r="I33" s="412" t="s">
        <v>38</v>
      </c>
      <c r="J33" s="85" t="s">
        <v>46</v>
      </c>
      <c r="K33" s="85">
        <v>1986</v>
      </c>
      <c r="L33" s="85" t="s">
        <v>71</v>
      </c>
      <c r="M33" s="85" t="str">
        <f t="shared" si="1"/>
        <v>NLĐ</v>
      </c>
      <c r="N33" s="85"/>
      <c r="O33" s="85" t="e">
        <f t="shared" si="2"/>
        <v>#N/A</v>
      </c>
      <c r="P33" s="85"/>
      <c r="Q33" s="410" t="e">
        <f>VLOOKUP(P33,'[1]- DLiêu Gốc (Không sửa)'!$C$2:$H$116,2,0)</f>
        <v>#N/A</v>
      </c>
      <c r="R33" s="526" t="s">
        <v>49</v>
      </c>
      <c r="S33" s="413" t="s">
        <v>150</v>
      </c>
      <c r="T33" s="414" t="str">
        <f>VLOOKUP(Y33,'[2]- DLiêu Gốc -'!$C$2:$H$60,5,0)</f>
        <v>C</v>
      </c>
      <c r="U33" s="414" t="str">
        <f>VLOOKUP(Y33,'[2]- DLiêu Gốc -'!$C$2:$H$60,6,0)</f>
        <v>Nhân viên</v>
      </c>
      <c r="V33" s="415" t="s">
        <v>65</v>
      </c>
      <c r="W33" s="416" t="str">
        <f t="shared" si="3"/>
        <v>Nhân viên</v>
      </c>
      <c r="X33" s="417" t="str">
        <f t="shared" si="4"/>
        <v>01.005</v>
      </c>
      <c r="Y33" s="418" t="s">
        <v>151</v>
      </c>
      <c r="Z33" s="417" t="str">
        <f>VLOOKUP(Y33,'[2]- DLiêu Gốc -'!$C$1:$H$133,2,0)</f>
        <v>01.009</v>
      </c>
      <c r="AA33" s="419" t="str">
        <f t="shared" si="5"/>
        <v>Lương</v>
      </c>
      <c r="AB33" s="420">
        <v>4</v>
      </c>
      <c r="AC33" s="355" t="str">
        <f t="shared" si="6"/>
        <v>/</v>
      </c>
      <c r="AD33" s="45">
        <f t="shared" si="7"/>
        <v>12</v>
      </c>
      <c r="AE33" s="421">
        <f t="shared" si="8"/>
        <v>1.54</v>
      </c>
      <c r="AF33" s="422"/>
      <c r="AG33" s="45"/>
      <c r="AH33" s="423" t="s">
        <v>37</v>
      </c>
      <c r="AI33" s="424" t="s">
        <v>46</v>
      </c>
      <c r="AJ33" s="425" t="s">
        <v>51</v>
      </c>
      <c r="AK33" s="525" t="s">
        <v>46</v>
      </c>
      <c r="AL33" s="426">
        <v>2016</v>
      </c>
      <c r="AM33" s="427"/>
      <c r="AN33" s="428"/>
      <c r="AO33" s="429">
        <f t="shared" si="46"/>
        <v>5</v>
      </c>
      <c r="AP33" s="430" t="str">
        <f t="shared" si="10"/>
        <v>/</v>
      </c>
      <c r="AQ33" s="431">
        <f t="shared" si="11"/>
        <v>12</v>
      </c>
      <c r="AR33" s="527">
        <f t="shared" si="12"/>
        <v>1.72</v>
      </c>
      <c r="AS33" s="45"/>
      <c r="AT33" s="432" t="s">
        <v>37</v>
      </c>
      <c r="AU33" s="433" t="s">
        <v>46</v>
      </c>
      <c r="AV33" s="434" t="s">
        <v>51</v>
      </c>
      <c r="AW33" s="435" t="s">
        <v>46</v>
      </c>
      <c r="AX33" s="436">
        <v>2018</v>
      </c>
      <c r="AY33" s="439"/>
      <c r="AZ33" s="103"/>
      <c r="BA33" s="94"/>
      <c r="BB33" s="437">
        <f t="shared" si="13"/>
        <v>2</v>
      </c>
      <c r="BC33" s="91">
        <f t="shared" si="14"/>
        <v>-24227</v>
      </c>
      <c r="BD33" s="91">
        <f>VLOOKUP(Y33,'[2]- DLiêu Gốc -'!$C$1:$F$60,3,0)</f>
        <v>1</v>
      </c>
      <c r="BE33" s="96">
        <f>VLOOKUP(Y33,'[2]- DLiêu Gốc -'!$C$1:$F$60,4,0)</f>
        <v>0.18</v>
      </c>
      <c r="BF33" s="97" t="str">
        <f t="shared" si="15"/>
        <v>o-o-o</v>
      </c>
      <c r="BG33" s="193"/>
      <c r="BH33" s="99"/>
      <c r="BI33" s="330"/>
      <c r="BJ33" s="192"/>
      <c r="BK33" s="330"/>
      <c r="BL33" s="121"/>
      <c r="BM33" s="95"/>
      <c r="BN33" s="131"/>
      <c r="BO33" s="98"/>
      <c r="BP33" s="409"/>
      <c r="BQ33" s="99"/>
      <c r="BR33" s="330"/>
      <c r="BS33" s="192"/>
      <c r="BT33" s="330"/>
      <c r="BU33" s="121"/>
      <c r="BV33" s="123"/>
      <c r="BW33" s="103"/>
      <c r="BX33" s="438"/>
      <c r="BY33" s="96" t="str">
        <f t="shared" si="16"/>
        <v>- - -</v>
      </c>
      <c r="BZ33" s="87" t="str">
        <f t="shared" si="17"/>
        <v>- - -</v>
      </c>
      <c r="CA33" s="100" t="str">
        <f t="shared" si="18"/>
        <v>Chánh Văn phòng Học viện, Trưởng Ban Tổ chức - Cán bộ</v>
      </c>
      <c r="CB33" s="101" t="str">
        <f t="shared" si="19"/>
        <v>A</v>
      </c>
      <c r="CC33" s="90" t="str">
        <f t="shared" si="20"/>
        <v>=&gt; s</v>
      </c>
      <c r="CD33" s="86">
        <f t="shared" si="21"/>
        <v>24239</v>
      </c>
      <c r="CE33" s="86" t="str">
        <f t="shared" si="22"/>
        <v>---</v>
      </c>
      <c r="CF33" s="147"/>
      <c r="CG33" s="86"/>
      <c r="CH33" s="102"/>
      <c r="CI33" s="86"/>
      <c r="CJ33" s="103" t="str">
        <f t="shared" si="23"/>
        <v>- - -</v>
      </c>
      <c r="CK33" s="104" t="str">
        <f t="shared" si="24"/>
        <v>- - -</v>
      </c>
      <c r="CL33" s="105"/>
      <c r="CM33" s="104"/>
      <c r="CN33" s="106"/>
      <c r="CO33" s="103"/>
      <c r="CP33" s="104" t="str">
        <f t="shared" si="25"/>
        <v>- - -</v>
      </c>
      <c r="CQ33" s="105"/>
      <c r="CR33" s="104"/>
      <c r="CS33" s="106"/>
      <c r="CT33" s="107"/>
      <c r="CU33" s="132" t="str">
        <f t="shared" si="26"/>
        <v>---</v>
      </c>
      <c r="CV33" s="108" t="str">
        <f t="shared" si="27"/>
        <v>/-/ /-/</v>
      </c>
      <c r="CW33" s="109">
        <f t="shared" si="28"/>
        <v>3</v>
      </c>
      <c r="CX33" s="108">
        <f t="shared" si="29"/>
        <v>2041</v>
      </c>
      <c r="CY33" s="109">
        <f t="shared" si="30"/>
        <v>12</v>
      </c>
      <c r="CZ33" s="108">
        <f t="shared" si="31"/>
        <v>2040</v>
      </c>
      <c r="DA33" s="109">
        <f t="shared" si="32"/>
        <v>9</v>
      </c>
      <c r="DB33" s="110">
        <f t="shared" si="33"/>
        <v>2040</v>
      </c>
      <c r="DC33" s="111" t="str">
        <f t="shared" si="34"/>
        <v>- - -</v>
      </c>
      <c r="DD33" s="111" t="str">
        <f t="shared" si="35"/>
        <v>. .</v>
      </c>
      <c r="DE33" s="90"/>
      <c r="DF33" s="90">
        <f t="shared" si="36"/>
        <v>660</v>
      </c>
      <c r="DG33" s="90">
        <f t="shared" si="37"/>
        <v>-23822</v>
      </c>
      <c r="DH33" s="90">
        <f t="shared" si="38"/>
        <v>-1986</v>
      </c>
      <c r="DI33" s="90" t="str">
        <f t="shared" si="39"/>
        <v>Nữ dưới 30</v>
      </c>
      <c r="DJ33" s="90"/>
      <c r="DK33" s="96"/>
      <c r="DL33" s="104" t="str">
        <f t="shared" si="40"/>
        <v>Đến 30</v>
      </c>
      <c r="DM33" s="88" t="str">
        <f t="shared" si="41"/>
        <v>--</v>
      </c>
      <c r="DN33" s="86"/>
      <c r="DO33" s="122"/>
      <c r="DP33" s="88"/>
      <c r="DQ33" s="106"/>
      <c r="DR33" s="112"/>
      <c r="DS33" s="113"/>
      <c r="DT33" s="114"/>
      <c r="DU33" s="115"/>
      <c r="DV33" s="89"/>
      <c r="DW33" s="92" t="s">
        <v>49</v>
      </c>
      <c r="DX33" s="93" t="s">
        <v>150</v>
      </c>
      <c r="DY33" s="125" t="s">
        <v>49</v>
      </c>
      <c r="DZ33" s="93" t="s">
        <v>37</v>
      </c>
      <c r="EA33" s="116" t="s">
        <v>46</v>
      </c>
      <c r="EB33" s="93" t="s">
        <v>51</v>
      </c>
      <c r="EC33" s="117" t="s">
        <v>46</v>
      </c>
      <c r="ED33" s="92">
        <v>2012</v>
      </c>
      <c r="EE33" s="93">
        <f t="shared" si="42"/>
        <v>0</v>
      </c>
      <c r="EF33" s="125" t="str">
        <f t="shared" si="43"/>
        <v>- - -</v>
      </c>
      <c r="EG33" s="93" t="s">
        <v>37</v>
      </c>
      <c r="EH33" s="116" t="s">
        <v>46</v>
      </c>
      <c r="EI33" s="86" t="s">
        <v>51</v>
      </c>
      <c r="EJ33" s="103" t="s">
        <v>46</v>
      </c>
      <c r="EK33" s="118">
        <v>2012</v>
      </c>
      <c r="EL33" s="115"/>
      <c r="EM33" s="119" t="str">
        <f t="shared" si="44"/>
        <v>- - -</v>
      </c>
      <c r="EN33" s="119" t="str">
        <f t="shared" si="45"/>
        <v>---</v>
      </c>
    </row>
    <row r="34" spans="1:144" s="119" customFormat="1" ht="39.75" customHeight="1" x14ac:dyDescent="0.2">
      <c r="A34" s="408">
        <v>542</v>
      </c>
      <c r="B34" s="298">
        <v>18</v>
      </c>
      <c r="C34" s="86"/>
      <c r="D34" s="86" t="str">
        <f t="shared" si="0"/>
        <v>Bà</v>
      </c>
      <c r="E34" s="410" t="s">
        <v>249</v>
      </c>
      <c r="F34" s="411" t="s">
        <v>56</v>
      </c>
      <c r="G34" s="412" t="s">
        <v>30</v>
      </c>
      <c r="H34" s="412" t="s">
        <v>46</v>
      </c>
      <c r="I34" s="412" t="s">
        <v>50</v>
      </c>
      <c r="J34" s="85" t="s">
        <v>46</v>
      </c>
      <c r="K34" s="85">
        <v>1984</v>
      </c>
      <c r="L34" s="85" t="s">
        <v>71</v>
      </c>
      <c r="M34" s="85" t="str">
        <f t="shared" si="1"/>
        <v>NLĐ</v>
      </c>
      <c r="N34" s="85"/>
      <c r="O34" s="85" t="e">
        <f t="shared" si="2"/>
        <v>#N/A</v>
      </c>
      <c r="P34" s="85"/>
      <c r="Q34" s="410" t="e">
        <f>VLOOKUP(P34,'[1]- DLiêu Gốc (Không sửa)'!$C$2:$H$116,2,0)</f>
        <v>#N/A</v>
      </c>
      <c r="R34" s="526" t="s">
        <v>124</v>
      </c>
      <c r="S34" s="413" t="s">
        <v>150</v>
      </c>
      <c r="T34" s="414" t="str">
        <f>VLOOKUP(Y34,'[2]- DLiêu Gốc -'!$C$2:$H$60,5,0)</f>
        <v>A1</v>
      </c>
      <c r="U34" s="414" t="str">
        <f>VLOOKUP(Y34,'[2]- DLiêu Gốc -'!$C$2:$H$60,6,0)</f>
        <v>- - -</v>
      </c>
      <c r="V34" s="415" t="s">
        <v>65</v>
      </c>
      <c r="W34" s="416" t="str">
        <f t="shared" si="3"/>
        <v>Kế toán viên</v>
      </c>
      <c r="X34" s="417" t="str">
        <f t="shared" si="4"/>
        <v>06.031</v>
      </c>
      <c r="Y34" s="418" t="s">
        <v>167</v>
      </c>
      <c r="Z34" s="417" t="str">
        <f>VLOOKUP(Y34,'[2]- DLiêu Gốc -'!$C$1:$H$133,2,0)</f>
        <v>06.031</v>
      </c>
      <c r="AA34" s="419" t="str">
        <f t="shared" si="5"/>
        <v>Lương</v>
      </c>
      <c r="AB34" s="420">
        <v>2</v>
      </c>
      <c r="AC34" s="355" t="str">
        <f t="shared" si="6"/>
        <v>/</v>
      </c>
      <c r="AD34" s="45">
        <f t="shared" si="7"/>
        <v>9</v>
      </c>
      <c r="AE34" s="421">
        <f t="shared" si="8"/>
        <v>2.67</v>
      </c>
      <c r="AF34" s="422"/>
      <c r="AG34" s="45"/>
      <c r="AH34" s="423" t="s">
        <v>37</v>
      </c>
      <c r="AI34" s="424"/>
      <c r="AJ34" s="425" t="s">
        <v>51</v>
      </c>
      <c r="AK34" s="525" t="s">
        <v>46</v>
      </c>
      <c r="AL34" s="426">
        <v>2015</v>
      </c>
      <c r="AM34" s="427"/>
      <c r="AN34" s="428"/>
      <c r="AO34" s="429">
        <f t="shared" si="46"/>
        <v>3</v>
      </c>
      <c r="AP34" s="430" t="str">
        <f t="shared" si="10"/>
        <v>/</v>
      </c>
      <c r="AQ34" s="431">
        <f t="shared" si="11"/>
        <v>9</v>
      </c>
      <c r="AR34" s="527">
        <f t="shared" si="12"/>
        <v>3</v>
      </c>
      <c r="AS34" s="45"/>
      <c r="AT34" s="432" t="s">
        <v>37</v>
      </c>
      <c r="AU34" s="433"/>
      <c r="AV34" s="434" t="s">
        <v>51</v>
      </c>
      <c r="AW34" s="435" t="s">
        <v>46</v>
      </c>
      <c r="AX34" s="436">
        <v>2018</v>
      </c>
      <c r="AY34" s="439"/>
      <c r="AZ34" s="103"/>
      <c r="BA34" s="94"/>
      <c r="BB34" s="437">
        <f t="shared" si="13"/>
        <v>3</v>
      </c>
      <c r="BC34" s="91">
        <f t="shared" si="14"/>
        <v>-24227</v>
      </c>
      <c r="BD34" s="91">
        <f>VLOOKUP(Y34,'[2]- DLiêu Gốc -'!$C$1:$F$60,3,0)</f>
        <v>2.34</v>
      </c>
      <c r="BE34" s="96">
        <f>VLOOKUP(Y34,'[2]- DLiêu Gốc -'!$C$1:$F$60,4,0)</f>
        <v>0.33</v>
      </c>
      <c r="BF34" s="97" t="str">
        <f t="shared" si="15"/>
        <v>o-o-o</v>
      </c>
      <c r="BG34" s="193"/>
      <c r="BH34" s="99"/>
      <c r="BI34" s="330"/>
      <c r="BJ34" s="192"/>
      <c r="BK34" s="330"/>
      <c r="BL34" s="121"/>
      <c r="BM34" s="95"/>
      <c r="BN34" s="131"/>
      <c r="BO34" s="98"/>
      <c r="BP34" s="409"/>
      <c r="BQ34" s="99"/>
      <c r="BR34" s="330"/>
      <c r="BS34" s="192"/>
      <c r="BT34" s="330"/>
      <c r="BU34" s="121"/>
      <c r="BV34" s="123"/>
      <c r="BW34" s="103"/>
      <c r="BX34" s="438"/>
      <c r="BY34" s="96" t="str">
        <f t="shared" si="16"/>
        <v>- - -</v>
      </c>
      <c r="BZ34" s="87" t="str">
        <f t="shared" si="17"/>
        <v>- - -</v>
      </c>
      <c r="CA34" s="100" t="str">
        <f t="shared" si="18"/>
        <v>Chánh Văn phòng Học viện, Trưởng Ban Tổ chức - Cán bộ</v>
      </c>
      <c r="CB34" s="101" t="str">
        <f t="shared" si="19"/>
        <v>A</v>
      </c>
      <c r="CC34" s="90" t="str">
        <f t="shared" si="20"/>
        <v>=&gt; s</v>
      </c>
      <c r="CD34" s="86">
        <f t="shared" si="21"/>
        <v>24251</v>
      </c>
      <c r="CE34" s="86" t="str">
        <f t="shared" si="22"/>
        <v>---</v>
      </c>
      <c r="CF34" s="147"/>
      <c r="CG34" s="86"/>
      <c r="CH34" s="102"/>
      <c r="CI34" s="86"/>
      <c r="CJ34" s="103" t="str">
        <f t="shared" si="23"/>
        <v>- - -</v>
      </c>
      <c r="CK34" s="104" t="str">
        <f t="shared" si="24"/>
        <v>- - -</v>
      </c>
      <c r="CL34" s="105"/>
      <c r="CM34" s="104"/>
      <c r="CN34" s="106"/>
      <c r="CO34" s="103"/>
      <c r="CP34" s="104" t="str">
        <f t="shared" si="25"/>
        <v>- - -</v>
      </c>
      <c r="CQ34" s="105"/>
      <c r="CR34" s="104"/>
      <c r="CS34" s="106"/>
      <c r="CT34" s="107"/>
      <c r="CU34" s="132" t="str">
        <f t="shared" si="26"/>
        <v>---</v>
      </c>
      <c r="CV34" s="108" t="str">
        <f t="shared" si="27"/>
        <v>/-/ /-/</v>
      </c>
      <c r="CW34" s="109">
        <f t="shared" si="28"/>
        <v>11</v>
      </c>
      <c r="CX34" s="108">
        <f t="shared" si="29"/>
        <v>2039</v>
      </c>
      <c r="CY34" s="109">
        <f t="shared" si="30"/>
        <v>8</v>
      </c>
      <c r="CZ34" s="108">
        <f t="shared" si="31"/>
        <v>2039</v>
      </c>
      <c r="DA34" s="109">
        <f t="shared" si="32"/>
        <v>5</v>
      </c>
      <c r="DB34" s="110">
        <f t="shared" si="33"/>
        <v>2039</v>
      </c>
      <c r="DC34" s="111" t="str">
        <f t="shared" si="34"/>
        <v>- - -</v>
      </c>
      <c r="DD34" s="111" t="str">
        <f t="shared" si="35"/>
        <v>. .</v>
      </c>
      <c r="DE34" s="90"/>
      <c r="DF34" s="90">
        <f t="shared" si="36"/>
        <v>660</v>
      </c>
      <c r="DG34" s="90">
        <f t="shared" si="37"/>
        <v>-23806</v>
      </c>
      <c r="DH34" s="90">
        <f t="shared" si="38"/>
        <v>-1984</v>
      </c>
      <c r="DI34" s="90" t="str">
        <f t="shared" si="39"/>
        <v>Nữ dưới 30</v>
      </c>
      <c r="DJ34" s="90"/>
      <c r="DK34" s="96"/>
      <c r="DL34" s="104" t="str">
        <f t="shared" si="40"/>
        <v>Đến 30</v>
      </c>
      <c r="DM34" s="88" t="str">
        <f t="shared" si="41"/>
        <v>--</v>
      </c>
      <c r="DN34" s="86"/>
      <c r="DO34" s="122"/>
      <c r="DP34" s="88"/>
      <c r="DQ34" s="106"/>
      <c r="DR34" s="112"/>
      <c r="DS34" s="113"/>
      <c r="DT34" s="114"/>
      <c r="DU34" s="115"/>
      <c r="DV34" s="89"/>
      <c r="DW34" s="92" t="s">
        <v>124</v>
      </c>
      <c r="DX34" s="93" t="s">
        <v>150</v>
      </c>
      <c r="DY34" s="125" t="s">
        <v>124</v>
      </c>
      <c r="DZ34" s="93" t="s">
        <v>37</v>
      </c>
      <c r="EA34" s="116" t="s">
        <v>46</v>
      </c>
      <c r="EB34" s="93" t="s">
        <v>51</v>
      </c>
      <c r="EC34" s="117" t="s">
        <v>46</v>
      </c>
      <c r="ED34" s="92" t="s">
        <v>54</v>
      </c>
      <c r="EE34" s="93">
        <f t="shared" si="42"/>
        <v>0</v>
      </c>
      <c r="EF34" s="125" t="str">
        <f t="shared" si="43"/>
        <v>- - -</v>
      </c>
      <c r="EG34" s="93" t="s">
        <v>37</v>
      </c>
      <c r="EH34" s="116" t="s">
        <v>46</v>
      </c>
      <c r="EI34" s="86" t="s">
        <v>51</v>
      </c>
      <c r="EJ34" s="103" t="s">
        <v>46</v>
      </c>
      <c r="EK34" s="118" t="s">
        <v>54</v>
      </c>
      <c r="EL34" s="115"/>
      <c r="EM34" s="119" t="str">
        <f t="shared" si="44"/>
        <v>- - -</v>
      </c>
      <c r="EN34" s="119" t="str">
        <f t="shared" si="45"/>
        <v>---</v>
      </c>
    </row>
    <row r="35" spans="1:144" s="119" customFormat="1" ht="39.75" customHeight="1" x14ac:dyDescent="0.2">
      <c r="A35" s="408">
        <v>575</v>
      </c>
      <c r="B35" s="298">
        <v>19</v>
      </c>
      <c r="C35" s="86"/>
      <c r="D35" s="86" t="str">
        <f t="shared" si="0"/>
        <v>Ông</v>
      </c>
      <c r="E35" s="410" t="s">
        <v>250</v>
      </c>
      <c r="F35" s="411" t="s">
        <v>55</v>
      </c>
      <c r="G35" s="412" t="s">
        <v>163</v>
      </c>
      <c r="H35" s="412" t="s">
        <v>46</v>
      </c>
      <c r="I35" s="412" t="s">
        <v>39</v>
      </c>
      <c r="J35" s="85" t="s">
        <v>46</v>
      </c>
      <c r="K35" s="85">
        <v>1987</v>
      </c>
      <c r="L35" s="85" t="s">
        <v>73</v>
      </c>
      <c r="M35" s="85" t="str">
        <f t="shared" si="1"/>
        <v>VC</v>
      </c>
      <c r="N35" s="85"/>
      <c r="O35" s="85" t="str">
        <f t="shared" si="2"/>
        <v>- -</v>
      </c>
      <c r="P35" s="85"/>
      <c r="Q35" s="410">
        <f>VLOOKUP(P35,'[3]- DLiêu Gốc -'!$B$2:$G$120,2,0)</f>
        <v>0</v>
      </c>
      <c r="R35" s="526" t="s">
        <v>251</v>
      </c>
      <c r="S35" s="413" t="s">
        <v>122</v>
      </c>
      <c r="T35" s="414" t="str">
        <f>VLOOKUP(Y35,'[3]- DLiêu Gốc -'!$B$2:$G$54,5,0)</f>
        <v>A1</v>
      </c>
      <c r="U35" s="414" t="str">
        <f>VLOOKUP(Y35,'[3]- DLiêu Gốc -'!$B$2:$G$54,6,0)</f>
        <v>- - -</v>
      </c>
      <c r="V35" s="415" t="s">
        <v>65</v>
      </c>
      <c r="W35" s="416" t="str">
        <f t="shared" si="3"/>
        <v>Chuyên viên</v>
      </c>
      <c r="X35" s="417" t="str">
        <f t="shared" si="4"/>
        <v>01.003</v>
      </c>
      <c r="Y35" s="418" t="s">
        <v>36</v>
      </c>
      <c r="Z35" s="417" t="str">
        <f>VLOOKUP(Y35,'[2]- DLiêu Gốc -'!$C$1:$H$133,2,0)</f>
        <v>01.003</v>
      </c>
      <c r="AA35" s="419" t="str">
        <f t="shared" si="5"/>
        <v>Lương</v>
      </c>
      <c r="AB35" s="420">
        <v>3</v>
      </c>
      <c r="AC35" s="355" t="str">
        <f t="shared" si="6"/>
        <v>/</v>
      </c>
      <c r="AD35" s="45">
        <f t="shared" si="7"/>
        <v>9</v>
      </c>
      <c r="AE35" s="421">
        <f t="shared" si="8"/>
        <v>3</v>
      </c>
      <c r="AF35" s="422"/>
      <c r="AG35" s="45"/>
      <c r="AH35" s="423" t="s">
        <v>37</v>
      </c>
      <c r="AI35" s="424" t="s">
        <v>46</v>
      </c>
      <c r="AJ35" s="425" t="s">
        <v>51</v>
      </c>
      <c r="AK35" s="525" t="s">
        <v>46</v>
      </c>
      <c r="AL35" s="426">
        <v>2015</v>
      </c>
      <c r="AM35" s="427"/>
      <c r="AN35" s="428"/>
      <c r="AO35" s="429">
        <f t="shared" si="46"/>
        <v>4</v>
      </c>
      <c r="AP35" s="430" t="str">
        <f t="shared" si="10"/>
        <v>/</v>
      </c>
      <c r="AQ35" s="431">
        <f t="shared" si="11"/>
        <v>9</v>
      </c>
      <c r="AR35" s="527">
        <f t="shared" si="12"/>
        <v>3.33</v>
      </c>
      <c r="AS35" s="45"/>
      <c r="AT35" s="432" t="s">
        <v>37</v>
      </c>
      <c r="AU35" s="433" t="s">
        <v>46</v>
      </c>
      <c r="AV35" s="434" t="s">
        <v>51</v>
      </c>
      <c r="AW35" s="435" t="s">
        <v>46</v>
      </c>
      <c r="AX35" s="436">
        <v>2018</v>
      </c>
      <c r="AY35" s="439"/>
      <c r="AZ35" s="103" t="s">
        <v>188</v>
      </c>
      <c r="BA35" s="94"/>
      <c r="BB35" s="437">
        <f t="shared" si="13"/>
        <v>3</v>
      </c>
      <c r="BC35" s="91">
        <f t="shared" si="14"/>
        <v>-24227</v>
      </c>
      <c r="BD35" s="91">
        <f>VLOOKUP(Y35,'[3]- DLiêu Gốc -'!$B$1:$E$54,3,0)</f>
        <v>2.34</v>
      </c>
      <c r="BE35" s="96">
        <f>VLOOKUP(Y35,'[3]- DLiêu Gốc -'!$B$1:$E$54,4,0)</f>
        <v>0.33</v>
      </c>
      <c r="BF35" s="97" t="str">
        <f t="shared" si="15"/>
        <v>o-o-o</v>
      </c>
      <c r="BG35" s="193"/>
      <c r="BH35" s="99"/>
      <c r="BI35" s="330"/>
      <c r="BJ35" s="192"/>
      <c r="BK35" s="330"/>
      <c r="BL35" s="121"/>
      <c r="BM35" s="95"/>
      <c r="BN35" s="131"/>
      <c r="BO35" s="98"/>
      <c r="BP35" s="409"/>
      <c r="BQ35" s="99"/>
      <c r="BR35" s="330"/>
      <c r="BS35" s="192"/>
      <c r="BT35" s="330"/>
      <c r="BU35" s="121"/>
      <c r="BV35" s="123"/>
      <c r="BW35" s="103" t="s">
        <v>42</v>
      </c>
      <c r="BX35" s="438"/>
      <c r="BY35" s="96" t="str">
        <f t="shared" si="16"/>
        <v>- - -</v>
      </c>
      <c r="BZ35" s="87" t="str">
        <f t="shared" si="17"/>
        <v>- - -</v>
      </c>
      <c r="CA35" s="100" t="str">
        <f t="shared" si="18"/>
        <v>Chánh Văn phòng Học viện, Trưởng Ban Tổ chức - Cán bộ, Trưởng Phân viện Học viện Hành chính Quốc gia tại thành phố Huế</v>
      </c>
      <c r="CB35" s="101" t="str">
        <f t="shared" si="19"/>
        <v>A</v>
      </c>
      <c r="CC35" s="90" t="str">
        <f t="shared" si="20"/>
        <v>=&gt; s</v>
      </c>
      <c r="CD35" s="86">
        <f t="shared" si="21"/>
        <v>24251</v>
      </c>
      <c r="CE35" s="86" t="str">
        <f t="shared" si="22"/>
        <v>S</v>
      </c>
      <c r="CF35" s="147">
        <v>2012</v>
      </c>
      <c r="CG35" s="86" t="s">
        <v>172</v>
      </c>
      <c r="CH35" s="102"/>
      <c r="CI35" s="86"/>
      <c r="CJ35" s="103" t="str">
        <f t="shared" si="23"/>
        <v>Cùg Ng</v>
      </c>
      <c r="CK35" s="104" t="str">
        <f t="shared" si="24"/>
        <v>- - -</v>
      </c>
      <c r="CL35" s="105"/>
      <c r="CM35" s="104"/>
      <c r="CN35" s="106"/>
      <c r="CO35" s="103"/>
      <c r="CP35" s="104" t="str">
        <f t="shared" si="25"/>
        <v>- - -</v>
      </c>
      <c r="CQ35" s="105"/>
      <c r="CR35" s="104"/>
      <c r="CS35" s="106"/>
      <c r="CT35" s="107"/>
      <c r="CU35" s="132" t="str">
        <f>IF(AND(CV35="Hưu",AB35&lt;(AD35-1),DC35&gt;0,DC35&lt;18,OR(BG35&lt;4,AND(BG35&gt;3,OR(BZ35&lt;3,BZ35&gt;5)))),"Lg Sớm",IF(AND(CV35="Hưu",AB35&gt;(AD35-2),OR(BE35=0.33,BE35=0.34),OR(BG35&lt;4,AND(BG35&gt;3,OR(BZ35&lt;3,BZ35&gt;5)))),"Nâng Ngạch??",IF(AND(CV35="Hưu",BB35=1,DC35&gt;2,DC35&lt;6,OR(BG35&lt;4,AND(BG35&gt;3,OR(BZ35&lt;3,BZ35&gt;5)))),"Nâng PcVK cùng QĐ",IF(AND(CV35="Hưu",BG35&gt;3,BZ35&gt;2,BZ35&lt;6,AB35&lt;(AD35-1),DC35&gt;17,OR(BB35&gt;1,AND(BB35=1,OR(DC35&lt;3,DC35&gt;5)))),"Nâng PcNG cùng QĐ",IF(AND(CV35="Hưu",AB35&lt;(AD35-1),DC35&gt;0,DC35&lt;18,BG35&gt;3,BZ35&gt;2,BZ35&lt;6),"Nâng Lg Sớm +(PcNG cùng QĐ)",IF(AND(CV35="Hưu",AB35&gt;(AD35-2),OR(BE35=0.33,BE35=0.34),BG35&gt;3,BZ35&gt;2,BZ35&lt;6),"Nâng Ngạch?? +(PcNG cùng QĐ)",IF(AND(CV35="Hưu",BB35=1,DC35&gt;2,DC35&lt;6,BG35&gt;3,BZ35&gt;2,BZ35&lt;6),"Nâng (PcVK +PcNG) cùng QĐ",("---"))))))))</f>
        <v>---</v>
      </c>
      <c r="CV35" s="108" t="str">
        <f t="shared" si="27"/>
        <v>/-/ /-/</v>
      </c>
      <c r="CW35" s="109">
        <f t="shared" si="28"/>
        <v>6</v>
      </c>
      <c r="CX35" s="108">
        <f t="shared" si="29"/>
        <v>2047</v>
      </c>
      <c r="CY35" s="109">
        <f t="shared" si="30"/>
        <v>3</v>
      </c>
      <c r="CZ35" s="108">
        <f t="shared" si="31"/>
        <v>2047</v>
      </c>
      <c r="DA35" s="109">
        <f t="shared" si="32"/>
        <v>12</v>
      </c>
      <c r="DB35" s="110">
        <f t="shared" si="33"/>
        <v>2046</v>
      </c>
      <c r="DC35" s="111" t="str">
        <f t="shared" si="34"/>
        <v>- - -</v>
      </c>
      <c r="DD35" s="111" t="str">
        <f t="shared" si="35"/>
        <v>. .</v>
      </c>
      <c r="DE35" s="90"/>
      <c r="DF35" s="90">
        <f t="shared" si="36"/>
        <v>720</v>
      </c>
      <c r="DG35" s="90">
        <f t="shared" si="37"/>
        <v>-23837</v>
      </c>
      <c r="DH35" s="90">
        <f t="shared" si="38"/>
        <v>-1987</v>
      </c>
      <c r="DI35" s="90" t="str">
        <f t="shared" si="39"/>
        <v>Nam dưới 35</v>
      </c>
      <c r="DJ35" s="90"/>
      <c r="DK35" s="96"/>
      <c r="DL35" s="104" t="str">
        <f t="shared" si="40"/>
        <v>Đến 30</v>
      </c>
      <c r="DM35" s="88" t="str">
        <f t="shared" si="41"/>
        <v>TD</v>
      </c>
      <c r="DN35" s="86">
        <v>2012</v>
      </c>
      <c r="DO35" s="122"/>
      <c r="DP35" s="88"/>
      <c r="DQ35" s="106"/>
      <c r="DR35" s="112"/>
      <c r="DS35" s="113"/>
      <c r="DT35" s="114"/>
      <c r="DU35" s="115"/>
      <c r="DV35" s="89"/>
      <c r="DW35" s="92" t="s">
        <v>251</v>
      </c>
      <c r="DX35" s="93" t="s">
        <v>134</v>
      </c>
      <c r="DY35" s="125" t="s">
        <v>252</v>
      </c>
      <c r="DZ35" s="93" t="s">
        <v>37</v>
      </c>
      <c r="EA35" s="116" t="s">
        <v>46</v>
      </c>
      <c r="EB35" s="93" t="s">
        <v>51</v>
      </c>
      <c r="EC35" s="117" t="s">
        <v>46</v>
      </c>
      <c r="ED35" s="92">
        <v>2012</v>
      </c>
      <c r="EE35" s="93">
        <f t="shared" si="42"/>
        <v>0</v>
      </c>
      <c r="EF35" s="125" t="str">
        <f t="shared" si="43"/>
        <v>- - -</v>
      </c>
      <c r="EG35" s="93" t="s">
        <v>37</v>
      </c>
      <c r="EH35" s="116" t="s">
        <v>46</v>
      </c>
      <c r="EI35" s="86" t="s">
        <v>51</v>
      </c>
      <c r="EJ35" s="103" t="s">
        <v>46</v>
      </c>
      <c r="EK35" s="118">
        <v>2012</v>
      </c>
      <c r="EL35" s="115"/>
      <c r="EM35" s="119" t="str">
        <f t="shared" si="44"/>
        <v>- - -</v>
      </c>
      <c r="EN35" s="119" t="str">
        <f t="shared" si="45"/>
        <v>---</v>
      </c>
    </row>
    <row r="36" spans="1:144" s="119" customFormat="1" ht="39.75" customHeight="1" x14ac:dyDescent="0.2">
      <c r="A36" s="408">
        <v>582</v>
      </c>
      <c r="B36" s="298">
        <v>20</v>
      </c>
      <c r="C36" s="86"/>
      <c r="D36" s="86" t="str">
        <f t="shared" si="0"/>
        <v>Bà</v>
      </c>
      <c r="E36" s="410" t="s">
        <v>253</v>
      </c>
      <c r="F36" s="411" t="s">
        <v>56</v>
      </c>
      <c r="G36" s="412" t="s">
        <v>166</v>
      </c>
      <c r="H36" s="412" t="s">
        <v>46</v>
      </c>
      <c r="I36" s="412" t="s">
        <v>44</v>
      </c>
      <c r="J36" s="85" t="s">
        <v>46</v>
      </c>
      <c r="K36" s="85">
        <v>1987</v>
      </c>
      <c r="L36" s="85" t="s">
        <v>73</v>
      </c>
      <c r="M36" s="85" t="str">
        <f t="shared" si="1"/>
        <v>VC</v>
      </c>
      <c r="N36" s="85"/>
      <c r="O36" s="85" t="str">
        <f t="shared" si="2"/>
        <v>CVụ</v>
      </c>
      <c r="P36" s="85" t="s">
        <v>119</v>
      </c>
      <c r="Q36" s="410" t="str">
        <f>VLOOKUP(P36,'[3]- DLiêu Gốc -'!$B$2:$G$120,2,0)</f>
        <v>0,4</v>
      </c>
      <c r="R36" s="526" t="s">
        <v>254</v>
      </c>
      <c r="S36" s="413" t="s">
        <v>122</v>
      </c>
      <c r="T36" s="414" t="str">
        <f>VLOOKUP(Y36,'[3]- DLiêu Gốc -'!$B$2:$G$54,5,0)</f>
        <v>A1</v>
      </c>
      <c r="U36" s="414" t="str">
        <f>VLOOKUP(Y36,'[3]- DLiêu Gốc -'!$B$2:$G$54,6,0)</f>
        <v>- - -</v>
      </c>
      <c r="V36" s="415" t="s">
        <v>65</v>
      </c>
      <c r="W36" s="416" t="str">
        <f t="shared" si="3"/>
        <v>Chuyên viên</v>
      </c>
      <c r="X36" s="417" t="str">
        <f t="shared" si="4"/>
        <v>01.003</v>
      </c>
      <c r="Y36" s="418" t="s">
        <v>36</v>
      </c>
      <c r="Z36" s="417" t="str">
        <f>VLOOKUP(Y36,'[2]- DLiêu Gốc -'!$C$1:$H$133,2,0)</f>
        <v>01.003</v>
      </c>
      <c r="AA36" s="419" t="str">
        <f t="shared" si="5"/>
        <v>Lương</v>
      </c>
      <c r="AB36" s="420">
        <v>3</v>
      </c>
      <c r="AC36" s="355" t="str">
        <f t="shared" si="6"/>
        <v>/</v>
      </c>
      <c r="AD36" s="45">
        <f t="shared" si="7"/>
        <v>9</v>
      </c>
      <c r="AE36" s="421">
        <f t="shared" si="8"/>
        <v>3</v>
      </c>
      <c r="AF36" s="422"/>
      <c r="AG36" s="45"/>
      <c r="AH36" s="423" t="s">
        <v>37</v>
      </c>
      <c r="AI36" s="424" t="s">
        <v>46</v>
      </c>
      <c r="AJ36" s="425" t="s">
        <v>51</v>
      </c>
      <c r="AK36" s="525" t="s">
        <v>46</v>
      </c>
      <c r="AL36" s="426">
        <v>2015</v>
      </c>
      <c r="AM36" s="427"/>
      <c r="AN36" s="428"/>
      <c r="AO36" s="429">
        <f t="shared" si="46"/>
        <v>4</v>
      </c>
      <c r="AP36" s="430" t="str">
        <f t="shared" si="10"/>
        <v>/</v>
      </c>
      <c r="AQ36" s="431">
        <f t="shared" si="11"/>
        <v>9</v>
      </c>
      <c r="AR36" s="527">
        <f t="shared" si="12"/>
        <v>3.33</v>
      </c>
      <c r="AS36" s="45"/>
      <c r="AT36" s="432" t="s">
        <v>37</v>
      </c>
      <c r="AU36" s="433" t="s">
        <v>46</v>
      </c>
      <c r="AV36" s="434" t="s">
        <v>51</v>
      </c>
      <c r="AW36" s="435" t="s">
        <v>46</v>
      </c>
      <c r="AX36" s="436">
        <v>2018</v>
      </c>
      <c r="AY36" s="439"/>
      <c r="AZ36" s="103"/>
      <c r="BA36" s="94"/>
      <c r="BB36" s="437">
        <f t="shared" si="13"/>
        <v>3</v>
      </c>
      <c r="BC36" s="91">
        <f t="shared" si="14"/>
        <v>-24227</v>
      </c>
      <c r="BD36" s="91">
        <f>VLOOKUP(Y36,'[3]- DLiêu Gốc -'!$B$1:$E$54,3,0)</f>
        <v>2.34</v>
      </c>
      <c r="BE36" s="96">
        <f>VLOOKUP(Y36,'[3]- DLiêu Gốc -'!$B$1:$E$54,4,0)</f>
        <v>0.33</v>
      </c>
      <c r="BF36" s="97" t="str">
        <f t="shared" si="15"/>
        <v>o-o-o</v>
      </c>
      <c r="BG36" s="193"/>
      <c r="BH36" s="99"/>
      <c r="BI36" s="330"/>
      <c r="BJ36" s="192"/>
      <c r="BK36" s="330"/>
      <c r="BL36" s="121"/>
      <c r="BM36" s="95"/>
      <c r="BN36" s="131"/>
      <c r="BO36" s="98"/>
      <c r="BP36" s="409"/>
      <c r="BQ36" s="99"/>
      <c r="BR36" s="330"/>
      <c r="BS36" s="192"/>
      <c r="BT36" s="330"/>
      <c r="BU36" s="121"/>
      <c r="BV36" s="123"/>
      <c r="BW36" s="103" t="s">
        <v>39</v>
      </c>
      <c r="BX36" s="438"/>
      <c r="BY36" s="96" t="str">
        <f t="shared" si="16"/>
        <v>- - -</v>
      </c>
      <c r="BZ36" s="87" t="str">
        <f t="shared" si="17"/>
        <v>- - -</v>
      </c>
      <c r="CA36" s="100" t="str">
        <f t="shared" si="18"/>
        <v>Chánh Văn phòng Học viện, Trưởng Ban Tổ chức - Cán bộ, Trưởng Phân viện Học viện Hành chính Quốc gia tại thành phố Huế</v>
      </c>
      <c r="CB36" s="101" t="str">
        <f t="shared" si="19"/>
        <v>A</v>
      </c>
      <c r="CC36" s="90" t="str">
        <f t="shared" si="20"/>
        <v>=&gt; s</v>
      </c>
      <c r="CD36" s="86">
        <f t="shared" si="21"/>
        <v>24251</v>
      </c>
      <c r="CE36" s="86" t="str">
        <f t="shared" si="22"/>
        <v>S</v>
      </c>
      <c r="CF36" s="147">
        <v>2012</v>
      </c>
      <c r="CG36" s="86" t="s">
        <v>172</v>
      </c>
      <c r="CH36" s="102"/>
      <c r="CI36" s="86"/>
      <c r="CJ36" s="103" t="str">
        <f t="shared" si="23"/>
        <v>Cùg Ng</v>
      </c>
      <c r="CK36" s="104" t="str">
        <f t="shared" si="24"/>
        <v>- - -</v>
      </c>
      <c r="CL36" s="105"/>
      <c r="CM36" s="104"/>
      <c r="CN36" s="106"/>
      <c r="CO36" s="103"/>
      <c r="CP36" s="104" t="str">
        <f t="shared" si="25"/>
        <v>- - -</v>
      </c>
      <c r="CQ36" s="105"/>
      <c r="CR36" s="104"/>
      <c r="CS36" s="106"/>
      <c r="CT36" s="107"/>
      <c r="CU36" s="132" t="str">
        <f>IF(AND(CV36="Hưu",AB36&lt;(AD36-1),DC36&gt;0,DC36&lt;18,OR(BG36&lt;4,AND(BG36&gt;3,OR(BZ36&lt;3,BZ36&gt;5)))),"Lg Sớm",IF(AND(CV36="Hưu",AB36&gt;(AD36-2),OR(BE36=0.33,BE36=0.34),OR(BG36&lt;4,AND(BG36&gt;3,OR(BZ36&lt;3,BZ36&gt;5)))),"Nâng Ngạch??",IF(AND(CV36="Hưu",BB36=1,DC36&gt;2,DC36&lt;6,OR(BG36&lt;4,AND(BG36&gt;3,OR(BZ36&lt;3,BZ36&gt;5)))),"Nâng PcVK cùng QĐ",IF(AND(CV36="Hưu",BG36&gt;3,BZ36&gt;2,BZ36&lt;6,AB36&lt;(AD36-1),DC36&gt;17,OR(BB36&gt;1,AND(BB36=1,OR(DC36&lt;3,DC36&gt;5)))),"Nâng PcNG cùng QĐ",IF(AND(CV36="Hưu",AB36&lt;(AD36-1),DC36&gt;0,DC36&lt;18,BG36&gt;3,BZ36&gt;2,BZ36&lt;6),"Nâng Lg Sớm +(PcNG cùng QĐ)",IF(AND(CV36="Hưu",AB36&gt;(AD36-2),OR(BE36=0.33,BE36=0.34),BG36&gt;3,BZ36&gt;2,BZ36&lt;6),"Nâng Ngạch?? +(PcNG cùng QĐ)",IF(AND(CV36="Hưu",BB36=1,DC36&gt;2,DC36&lt;6,BG36&gt;3,BZ36&gt;2,BZ36&lt;6),"Nâng (PcVK +PcNG) cùng QĐ",("---"))))))))</f>
        <v>---</v>
      </c>
      <c r="CV36" s="108" t="str">
        <f t="shared" si="27"/>
        <v>/-/ /-/</v>
      </c>
      <c r="CW36" s="109">
        <f t="shared" si="28"/>
        <v>10</v>
      </c>
      <c r="CX36" s="108">
        <f t="shared" si="29"/>
        <v>2042</v>
      </c>
      <c r="CY36" s="109">
        <f t="shared" si="30"/>
        <v>7</v>
      </c>
      <c r="CZ36" s="108">
        <f t="shared" si="31"/>
        <v>2042</v>
      </c>
      <c r="DA36" s="109">
        <f t="shared" si="32"/>
        <v>4</v>
      </c>
      <c r="DB36" s="110">
        <f t="shared" si="33"/>
        <v>2042</v>
      </c>
      <c r="DC36" s="111" t="str">
        <f t="shared" si="34"/>
        <v>- - -</v>
      </c>
      <c r="DD36" s="111" t="str">
        <f t="shared" si="35"/>
        <v>. .</v>
      </c>
      <c r="DE36" s="90"/>
      <c r="DF36" s="90">
        <f t="shared" si="36"/>
        <v>660</v>
      </c>
      <c r="DG36" s="90">
        <f t="shared" si="37"/>
        <v>-23841</v>
      </c>
      <c r="DH36" s="90">
        <f t="shared" si="38"/>
        <v>-1987</v>
      </c>
      <c r="DI36" s="90" t="str">
        <f t="shared" si="39"/>
        <v>Nữ dưới 30</v>
      </c>
      <c r="DJ36" s="90"/>
      <c r="DK36" s="96"/>
      <c r="DL36" s="104" t="str">
        <f t="shared" si="40"/>
        <v>Đến 30</v>
      </c>
      <c r="DM36" s="88" t="str">
        <f t="shared" si="41"/>
        <v>TD</v>
      </c>
      <c r="DN36" s="86">
        <v>2012</v>
      </c>
      <c r="DO36" s="122"/>
      <c r="DP36" s="88"/>
      <c r="DQ36" s="106"/>
      <c r="DR36" s="112"/>
      <c r="DS36" s="113"/>
      <c r="DT36" s="114"/>
      <c r="DU36" s="115"/>
      <c r="DV36" s="89"/>
      <c r="DW36" s="92" t="s">
        <v>254</v>
      </c>
      <c r="DX36" s="93" t="s">
        <v>134</v>
      </c>
      <c r="DY36" s="125" t="s">
        <v>254</v>
      </c>
      <c r="DZ36" s="93" t="s">
        <v>37</v>
      </c>
      <c r="EA36" s="116" t="s">
        <v>46</v>
      </c>
      <c r="EB36" s="93" t="s">
        <v>51</v>
      </c>
      <c r="EC36" s="117" t="s">
        <v>46</v>
      </c>
      <c r="ED36" s="92">
        <v>2012</v>
      </c>
      <c r="EE36" s="93">
        <f t="shared" si="42"/>
        <v>0</v>
      </c>
      <c r="EF36" s="125" t="str">
        <f t="shared" si="43"/>
        <v>- - -</v>
      </c>
      <c r="EG36" s="93" t="s">
        <v>37</v>
      </c>
      <c r="EH36" s="116" t="s">
        <v>46</v>
      </c>
      <c r="EI36" s="86" t="s">
        <v>51</v>
      </c>
      <c r="EJ36" s="103" t="s">
        <v>46</v>
      </c>
      <c r="EK36" s="118">
        <v>2012</v>
      </c>
      <c r="EL36" s="115"/>
      <c r="EM36" s="119" t="str">
        <f t="shared" si="44"/>
        <v>- - -</v>
      </c>
      <c r="EN36" s="119" t="str">
        <f t="shared" si="45"/>
        <v>---</v>
      </c>
    </row>
    <row r="37" spans="1:144" s="119" customFormat="1" ht="39.75" customHeight="1" x14ac:dyDescent="0.2">
      <c r="A37" s="408">
        <v>620</v>
      </c>
      <c r="B37" s="298">
        <v>21</v>
      </c>
      <c r="C37" s="86"/>
      <c r="D37" s="86" t="str">
        <f t="shared" si="0"/>
        <v>Bà</v>
      </c>
      <c r="E37" s="410" t="s">
        <v>255</v>
      </c>
      <c r="F37" s="411" t="s">
        <v>56</v>
      </c>
      <c r="G37" s="412" t="s">
        <v>198</v>
      </c>
      <c r="H37" s="412" t="s">
        <v>46</v>
      </c>
      <c r="I37" s="412" t="s">
        <v>51</v>
      </c>
      <c r="J37" s="85" t="s">
        <v>46</v>
      </c>
      <c r="K37" s="85" t="s">
        <v>256</v>
      </c>
      <c r="L37" s="85" t="s">
        <v>71</v>
      </c>
      <c r="M37" s="85" t="str">
        <f t="shared" si="1"/>
        <v>NLĐ</v>
      </c>
      <c r="N37" s="85"/>
      <c r="O37" s="85" t="e">
        <f t="shared" si="2"/>
        <v>#N/A</v>
      </c>
      <c r="P37" s="85"/>
      <c r="Q37" s="410" t="e">
        <f>VLOOKUP(P37,'[1]- DLiêu Gốc (Không sửa)'!$C$2:$H$116,2,0)</f>
        <v>#N/A</v>
      </c>
      <c r="R37" s="526" t="s">
        <v>257</v>
      </c>
      <c r="S37" s="413" t="s">
        <v>258</v>
      </c>
      <c r="T37" s="414" t="str">
        <f>VLOOKUP(Y37,'[2]- DLiêu Gốc -'!$C$2:$H$60,5,0)</f>
        <v>A1</v>
      </c>
      <c r="U37" s="414" t="str">
        <f>VLOOKUP(Y37,'[2]- DLiêu Gốc -'!$C$2:$H$60,6,0)</f>
        <v>- - -</v>
      </c>
      <c r="V37" s="415" t="s">
        <v>65</v>
      </c>
      <c r="W37" s="416" t="str">
        <f t="shared" si="3"/>
        <v>Chuyên viên</v>
      </c>
      <c r="X37" s="417" t="str">
        <f t="shared" si="4"/>
        <v>01.003</v>
      </c>
      <c r="Y37" s="418" t="s">
        <v>36</v>
      </c>
      <c r="Z37" s="417" t="str">
        <f>VLOOKUP(Y37,'[2]- DLiêu Gốc -'!$C$1:$H$133,2,0)</f>
        <v>01.003</v>
      </c>
      <c r="AA37" s="419" t="str">
        <f t="shared" si="5"/>
        <v>Lương</v>
      </c>
      <c r="AB37" s="420">
        <v>2</v>
      </c>
      <c r="AC37" s="355" t="str">
        <f t="shared" si="6"/>
        <v>/</v>
      </c>
      <c r="AD37" s="45">
        <f t="shared" si="7"/>
        <v>9</v>
      </c>
      <c r="AE37" s="421">
        <f t="shared" si="8"/>
        <v>2.67</v>
      </c>
      <c r="AF37" s="422"/>
      <c r="AG37" s="45"/>
      <c r="AH37" s="423" t="s">
        <v>37</v>
      </c>
      <c r="AI37" s="424"/>
      <c r="AJ37" s="425" t="s">
        <v>51</v>
      </c>
      <c r="AK37" s="525" t="s">
        <v>46</v>
      </c>
      <c r="AL37" s="426">
        <v>2015</v>
      </c>
      <c r="AM37" s="427"/>
      <c r="AN37" s="428"/>
      <c r="AO37" s="429">
        <f t="shared" si="46"/>
        <v>3</v>
      </c>
      <c r="AP37" s="430" t="str">
        <f t="shared" si="10"/>
        <v>/</v>
      </c>
      <c r="AQ37" s="431">
        <f t="shared" si="11"/>
        <v>9</v>
      </c>
      <c r="AR37" s="527">
        <f t="shared" si="12"/>
        <v>3</v>
      </c>
      <c r="AS37" s="45"/>
      <c r="AT37" s="432" t="s">
        <v>37</v>
      </c>
      <c r="AU37" s="433"/>
      <c r="AV37" s="434" t="s">
        <v>51</v>
      </c>
      <c r="AW37" s="435" t="s">
        <v>46</v>
      </c>
      <c r="AX37" s="436">
        <v>2018</v>
      </c>
      <c r="AY37" s="439"/>
      <c r="AZ37" s="103"/>
      <c r="BA37" s="94"/>
      <c r="BB37" s="437">
        <f t="shared" si="13"/>
        <v>3</v>
      </c>
      <c r="BC37" s="91">
        <f t="shared" si="14"/>
        <v>-24227</v>
      </c>
      <c r="BD37" s="91">
        <f>VLOOKUP(Y37,'[2]- DLiêu Gốc -'!$C$1:$F$60,3,0)</f>
        <v>2.34</v>
      </c>
      <c r="BE37" s="96">
        <f>VLOOKUP(Y37,'[2]- DLiêu Gốc -'!$C$1:$F$60,4,0)</f>
        <v>0.33</v>
      </c>
      <c r="BF37" s="97" t="str">
        <f t="shared" si="15"/>
        <v>o-o-o</v>
      </c>
      <c r="BG37" s="193"/>
      <c r="BH37" s="99"/>
      <c r="BI37" s="330"/>
      <c r="BJ37" s="192"/>
      <c r="BK37" s="330"/>
      <c r="BL37" s="121"/>
      <c r="BM37" s="95"/>
      <c r="BN37" s="131"/>
      <c r="BO37" s="98"/>
      <c r="BP37" s="409"/>
      <c r="BQ37" s="99"/>
      <c r="BR37" s="330"/>
      <c r="BS37" s="192"/>
      <c r="BT37" s="330"/>
      <c r="BU37" s="121"/>
      <c r="BV37" s="123"/>
      <c r="BW37" s="103"/>
      <c r="BX37" s="438"/>
      <c r="BY37" s="96" t="str">
        <f t="shared" si="16"/>
        <v>- - -</v>
      </c>
      <c r="BZ37" s="87" t="str">
        <f>IF(BH37&gt;3,(($BG$2-BW37)*12+($BG$4-BU37)-BO37),"- - -")</f>
        <v>- - -</v>
      </c>
      <c r="CA37" s="100" t="str">
        <f t="shared" si="18"/>
        <v>Chánh Văn phòng Học viện, Trưởng Ban Tổ chức - Cán bộ, Trưởng Phân viện Học viện Hành chính Quốc gia khu vực Tây Nguyên</v>
      </c>
      <c r="CB37" s="101" t="str">
        <f t="shared" si="19"/>
        <v>A</v>
      </c>
      <c r="CC37" s="90" t="str">
        <f t="shared" si="20"/>
        <v>=&gt; s</v>
      </c>
      <c r="CD37" s="86">
        <f t="shared" si="21"/>
        <v>24251</v>
      </c>
      <c r="CE37" s="86" t="str">
        <f t="shared" si="22"/>
        <v>---</v>
      </c>
      <c r="CF37" s="147"/>
      <c r="CG37" s="86"/>
      <c r="CH37" s="102"/>
      <c r="CI37" s="86"/>
      <c r="CJ37" s="103" t="str">
        <f t="shared" si="23"/>
        <v>- - -</v>
      </c>
      <c r="CK37" s="104" t="str">
        <f t="shared" si="24"/>
        <v>- - -</v>
      </c>
      <c r="CL37" s="105"/>
      <c r="CM37" s="104"/>
      <c r="CN37" s="106"/>
      <c r="CO37" s="103"/>
      <c r="CP37" s="104" t="str">
        <f t="shared" si="25"/>
        <v>- - -</v>
      </c>
      <c r="CQ37" s="105"/>
      <c r="CR37" s="104"/>
      <c r="CS37" s="106"/>
      <c r="CT37" s="107"/>
      <c r="CU37" s="132" t="str">
        <f t="shared" ref="CU37:CU48" si="47">IF(AND(CV37="Hưu",AB37&lt;(AD37-1),DC37&gt;0,DC37&lt;18,OR(BG37&lt;4,AND(BG37&gt;3,OR(BZ37&lt;3,BZ37&gt;5)))),"Lg Sớm",IF(AND(CV37="Hưu",AB37&gt;(AD37-2),OR(BE37=0.33,BE37=0.34),OR(BG37&lt;4,AND(BG37&gt;3,OR(BZ37&lt;3,BZ37&gt;5)))),"Nâng Ngạch",IF(AND(CV37="Hưu",BB37=1,DC37&gt;2,DC37&lt;6,OR(BG37&lt;4,AND(BG37&gt;3,OR(BZ37&lt;3,BZ37&gt;5)))),"Nâng PcVK cùng QĐ",IF(AND(CV37="Hưu",BG37&gt;3,BZ37&gt;2,BZ37&lt;6,AB37&lt;(AD37-1),DC37&gt;17,OR(BB37&gt;1,AND(BB37=1,OR(DC37&lt;3,DC37&gt;5)))),"Nâng PcNG cùng QĐ",IF(AND(CV37="Hưu",AB37&lt;(AD37-1),DC37&gt;0,DC37&lt;18,BG37&gt;3,BZ37&gt;2,BZ37&lt;6),"Nâng Lg Sớm +(PcNG cùng QĐ)",IF(AND(CV37="Hưu",AB37&gt;(AD37-2),OR(BE37=0.33,BE37=0.34),BG37&gt;3,BZ37&gt;2,BZ37&lt;6),"Nâng Ngạch +(PcNG cùng QĐ)",IF(AND(CV37="Hưu",BB37=1,DC37&gt;2,DC37&lt;6,BG37&gt;3,BZ37&gt;2,BZ37&lt;6),"Nâng (PcVK +PcNG) cùng QĐ",("---"))))))))</f>
        <v>---</v>
      </c>
      <c r="CV37" s="108" t="str">
        <f t="shared" si="27"/>
        <v>/-/ /-/</v>
      </c>
      <c r="CW37" s="109">
        <f t="shared" si="28"/>
        <v>12</v>
      </c>
      <c r="CX37" s="108">
        <f t="shared" si="29"/>
        <v>2043</v>
      </c>
      <c r="CY37" s="109">
        <f t="shared" si="30"/>
        <v>9</v>
      </c>
      <c r="CZ37" s="108">
        <f t="shared" si="31"/>
        <v>2043</v>
      </c>
      <c r="DA37" s="109">
        <f t="shared" si="32"/>
        <v>6</v>
      </c>
      <c r="DB37" s="110">
        <f t="shared" si="33"/>
        <v>2043</v>
      </c>
      <c r="DC37" s="111" t="str">
        <f t="shared" si="34"/>
        <v>- - -</v>
      </c>
      <c r="DD37" s="111" t="str">
        <f t="shared" si="35"/>
        <v>. .</v>
      </c>
      <c r="DE37" s="90"/>
      <c r="DF37" s="90">
        <f t="shared" si="36"/>
        <v>660</v>
      </c>
      <c r="DG37" s="90">
        <f t="shared" si="37"/>
        <v>-23855</v>
      </c>
      <c r="DH37" s="90">
        <f t="shared" si="38"/>
        <v>-1988</v>
      </c>
      <c r="DI37" s="90" t="str">
        <f t="shared" si="39"/>
        <v>Nữ dưới 30</v>
      </c>
      <c r="DJ37" s="90"/>
      <c r="DK37" s="96"/>
      <c r="DL37" s="104" t="str">
        <f t="shared" si="40"/>
        <v>Đến 30</v>
      </c>
      <c r="DM37" s="88" t="str">
        <f t="shared" si="41"/>
        <v>--</v>
      </c>
      <c r="DN37" s="86"/>
      <c r="DO37" s="122"/>
      <c r="DP37" s="88"/>
      <c r="DQ37" s="106"/>
      <c r="DR37" s="112"/>
      <c r="DS37" s="113"/>
      <c r="DT37" s="114"/>
      <c r="DU37" s="115"/>
      <c r="DV37" s="89"/>
      <c r="DW37" s="92" t="s">
        <v>257</v>
      </c>
      <c r="DX37" s="93" t="s">
        <v>135</v>
      </c>
      <c r="DY37" s="125" t="s">
        <v>257</v>
      </c>
      <c r="DZ37" s="93" t="s">
        <v>37</v>
      </c>
      <c r="EA37" s="116" t="s">
        <v>46</v>
      </c>
      <c r="EB37" s="93" t="s">
        <v>51</v>
      </c>
      <c r="EC37" s="117" t="s">
        <v>46</v>
      </c>
      <c r="ED37" s="92" t="s">
        <v>54</v>
      </c>
      <c r="EE37" s="93">
        <f t="shared" si="42"/>
        <v>0</v>
      </c>
      <c r="EF37" s="125" t="str">
        <f t="shared" si="43"/>
        <v>- - -</v>
      </c>
      <c r="EG37" s="93" t="s">
        <v>37</v>
      </c>
      <c r="EH37" s="116" t="s">
        <v>46</v>
      </c>
      <c r="EI37" s="86" t="s">
        <v>51</v>
      </c>
      <c r="EJ37" s="103" t="s">
        <v>46</v>
      </c>
      <c r="EK37" s="118" t="s">
        <v>54</v>
      </c>
      <c r="EL37" s="115"/>
      <c r="EM37" s="119" t="str">
        <f t="shared" si="44"/>
        <v>- - -</v>
      </c>
      <c r="EN37" s="119" t="str">
        <f t="shared" si="45"/>
        <v>---</v>
      </c>
    </row>
    <row r="38" spans="1:144" s="119" customFormat="1" ht="39.75" customHeight="1" x14ac:dyDescent="0.2">
      <c r="A38" s="408">
        <v>627</v>
      </c>
      <c r="B38" s="298">
        <v>22</v>
      </c>
      <c r="C38" s="86"/>
      <c r="D38" s="86" t="str">
        <f t="shared" si="0"/>
        <v>Bà</v>
      </c>
      <c r="E38" s="410" t="s">
        <v>259</v>
      </c>
      <c r="F38" s="411" t="s">
        <v>56</v>
      </c>
      <c r="G38" s="412" t="s">
        <v>260</v>
      </c>
      <c r="H38" s="412" t="s">
        <v>46</v>
      </c>
      <c r="I38" s="412" t="s">
        <v>40</v>
      </c>
      <c r="J38" s="85" t="s">
        <v>46</v>
      </c>
      <c r="K38" s="85">
        <v>1986</v>
      </c>
      <c r="L38" s="85" t="s">
        <v>71</v>
      </c>
      <c r="M38" s="85" t="str">
        <f t="shared" si="1"/>
        <v>NLĐ</v>
      </c>
      <c r="N38" s="85"/>
      <c r="O38" s="85" t="e">
        <f t="shared" si="2"/>
        <v>#N/A</v>
      </c>
      <c r="P38" s="85"/>
      <c r="Q38" s="410" t="e">
        <f>VLOOKUP(P38,'[1]- DLiêu Gốc (Không sửa)'!$C$2:$H$116,2,0)</f>
        <v>#N/A</v>
      </c>
      <c r="R38" s="526" t="s">
        <v>261</v>
      </c>
      <c r="S38" s="413" t="s">
        <v>258</v>
      </c>
      <c r="T38" s="414" t="str">
        <f>VLOOKUP(Y38,'[2]- DLiêu Gốc -'!$C$2:$H$60,5,0)</f>
        <v>A1</v>
      </c>
      <c r="U38" s="414" t="str">
        <f>VLOOKUP(Y38,'[2]- DLiêu Gốc -'!$C$2:$H$60,6,0)</f>
        <v>- - -</v>
      </c>
      <c r="V38" s="415" t="s">
        <v>64</v>
      </c>
      <c r="W38" s="416" t="str">
        <f t="shared" si="3"/>
        <v>Giảng viên (hạng III)</v>
      </c>
      <c r="X38" s="417" t="str">
        <f t="shared" si="4"/>
        <v>V.07.01.03</v>
      </c>
      <c r="Y38" s="418" t="s">
        <v>67</v>
      </c>
      <c r="Z38" s="417" t="str">
        <f>VLOOKUP(Y38,'[2]- DLiêu Gốc -'!$C$1:$H$133,2,0)</f>
        <v>V.07.01.03</v>
      </c>
      <c r="AA38" s="419" t="str">
        <f t="shared" si="5"/>
        <v>Lương</v>
      </c>
      <c r="AB38" s="420">
        <v>2</v>
      </c>
      <c r="AC38" s="355" t="str">
        <f t="shared" si="6"/>
        <v>/</v>
      </c>
      <c r="AD38" s="45">
        <f t="shared" si="7"/>
        <v>9</v>
      </c>
      <c r="AE38" s="421">
        <f t="shared" si="8"/>
        <v>2.67</v>
      </c>
      <c r="AF38" s="422"/>
      <c r="AG38" s="45"/>
      <c r="AH38" s="423" t="s">
        <v>37</v>
      </c>
      <c r="AI38" s="424" t="s">
        <v>46</v>
      </c>
      <c r="AJ38" s="425" t="s">
        <v>51</v>
      </c>
      <c r="AK38" s="525" t="s">
        <v>46</v>
      </c>
      <c r="AL38" s="426">
        <v>2015</v>
      </c>
      <c r="AM38" s="427"/>
      <c r="AN38" s="428"/>
      <c r="AO38" s="429">
        <f t="shared" si="46"/>
        <v>3</v>
      </c>
      <c r="AP38" s="430" t="str">
        <f t="shared" si="10"/>
        <v>/</v>
      </c>
      <c r="AQ38" s="431">
        <f t="shared" si="11"/>
        <v>9</v>
      </c>
      <c r="AR38" s="527">
        <f t="shared" si="12"/>
        <v>3</v>
      </c>
      <c r="AS38" s="45"/>
      <c r="AT38" s="432" t="s">
        <v>37</v>
      </c>
      <c r="AU38" s="433" t="s">
        <v>46</v>
      </c>
      <c r="AV38" s="434" t="s">
        <v>51</v>
      </c>
      <c r="AW38" s="435" t="s">
        <v>46</v>
      </c>
      <c r="AX38" s="436">
        <v>2018</v>
      </c>
      <c r="AY38" s="439"/>
      <c r="AZ38" s="103"/>
      <c r="BA38" s="94"/>
      <c r="BB38" s="437">
        <f t="shared" si="13"/>
        <v>3</v>
      </c>
      <c r="BC38" s="91">
        <f t="shared" si="14"/>
        <v>-24227</v>
      </c>
      <c r="BD38" s="91">
        <f>VLOOKUP(Y38,'[2]- DLiêu Gốc -'!$C$1:$F$60,3,0)</f>
        <v>2.34</v>
      </c>
      <c r="BE38" s="96">
        <f>VLOOKUP(Y38,'[2]- DLiêu Gốc -'!$C$1:$F$60,4,0)</f>
        <v>0.33</v>
      </c>
      <c r="BF38" s="97" t="str">
        <f t="shared" si="15"/>
        <v>o-o-o</v>
      </c>
      <c r="BG38" s="193"/>
      <c r="BH38" s="99"/>
      <c r="BI38" s="330"/>
      <c r="BJ38" s="192"/>
      <c r="BK38" s="330"/>
      <c r="BL38" s="121"/>
      <c r="BM38" s="95"/>
      <c r="BN38" s="131"/>
      <c r="BO38" s="98"/>
      <c r="BP38" s="409"/>
      <c r="BQ38" s="99"/>
      <c r="BR38" s="330"/>
      <c r="BS38" s="192"/>
      <c r="BT38" s="330"/>
      <c r="BU38" s="121"/>
      <c r="BV38" s="123"/>
      <c r="BW38" s="103"/>
      <c r="BX38" s="438"/>
      <c r="BY38" s="96" t="str">
        <f t="shared" si="16"/>
        <v>- - -</v>
      </c>
      <c r="BZ38" s="87" t="str">
        <f>IF(BH38&gt;3,(($BG$2-BW38)*12+($BG$4-BU38)-BO38),"- - -")</f>
        <v>- - -</v>
      </c>
      <c r="CA38" s="100" t="str">
        <f t="shared" si="18"/>
        <v>Chánh Văn phòng Học viện, Trưởng Ban Tổ chức - Cán bộ, Trưởng Phân viện Học viện Hành chính Quốc gia khu vực Tây Nguyên</v>
      </c>
      <c r="CB38" s="101" t="str">
        <f t="shared" si="19"/>
        <v>A</v>
      </c>
      <c r="CC38" s="90" t="str">
        <f t="shared" si="20"/>
        <v>=&gt; s</v>
      </c>
      <c r="CD38" s="86">
        <f t="shared" si="21"/>
        <v>24251</v>
      </c>
      <c r="CE38" s="86" t="str">
        <f t="shared" si="22"/>
        <v>---</v>
      </c>
      <c r="CF38" s="147"/>
      <c r="CG38" s="86"/>
      <c r="CH38" s="102"/>
      <c r="CI38" s="86"/>
      <c r="CJ38" s="103" t="str">
        <f t="shared" si="23"/>
        <v>- - -</v>
      </c>
      <c r="CK38" s="104" t="str">
        <f t="shared" si="24"/>
        <v>- - -</v>
      </c>
      <c r="CL38" s="105"/>
      <c r="CM38" s="104"/>
      <c r="CN38" s="106"/>
      <c r="CO38" s="103"/>
      <c r="CP38" s="104" t="str">
        <f t="shared" si="25"/>
        <v>CN</v>
      </c>
      <c r="CQ38" s="105">
        <v>6</v>
      </c>
      <c r="CR38" s="104">
        <v>2013</v>
      </c>
      <c r="CS38" s="106"/>
      <c r="CT38" s="107"/>
      <c r="CU38" s="132" t="str">
        <f t="shared" si="47"/>
        <v>---</v>
      </c>
      <c r="CV38" s="108" t="str">
        <f t="shared" si="27"/>
        <v>/-/ /-/</v>
      </c>
      <c r="CW38" s="109">
        <f t="shared" si="28"/>
        <v>7</v>
      </c>
      <c r="CX38" s="108">
        <f t="shared" si="29"/>
        <v>2041</v>
      </c>
      <c r="CY38" s="109">
        <f t="shared" si="30"/>
        <v>4</v>
      </c>
      <c r="CZ38" s="108">
        <f t="shared" si="31"/>
        <v>2041</v>
      </c>
      <c r="DA38" s="109">
        <f t="shared" si="32"/>
        <v>1</v>
      </c>
      <c r="DB38" s="110">
        <f t="shared" si="33"/>
        <v>2041</v>
      </c>
      <c r="DC38" s="111" t="str">
        <f t="shared" si="34"/>
        <v>- - -</v>
      </c>
      <c r="DD38" s="111" t="str">
        <f t="shared" si="35"/>
        <v>. .</v>
      </c>
      <c r="DE38" s="90"/>
      <c r="DF38" s="90">
        <f t="shared" si="36"/>
        <v>660</v>
      </c>
      <c r="DG38" s="90">
        <f t="shared" si="37"/>
        <v>-23826</v>
      </c>
      <c r="DH38" s="90">
        <f t="shared" si="38"/>
        <v>-1986</v>
      </c>
      <c r="DI38" s="90" t="str">
        <f t="shared" si="39"/>
        <v>Nữ dưới 30</v>
      </c>
      <c r="DJ38" s="90"/>
      <c r="DK38" s="96"/>
      <c r="DL38" s="104" t="str">
        <f t="shared" si="40"/>
        <v>Đến 30</v>
      </c>
      <c r="DM38" s="88" t="str">
        <f t="shared" si="41"/>
        <v>--</v>
      </c>
      <c r="DN38" s="86"/>
      <c r="DO38" s="122" t="s">
        <v>179</v>
      </c>
      <c r="DP38" s="88">
        <v>6</v>
      </c>
      <c r="DQ38" s="106">
        <v>2013</v>
      </c>
      <c r="DR38" s="112"/>
      <c r="DS38" s="113"/>
      <c r="DT38" s="114"/>
      <c r="DU38" s="115"/>
      <c r="DV38" s="89"/>
      <c r="DW38" s="92" t="s">
        <v>261</v>
      </c>
      <c r="DX38" s="93" t="s">
        <v>135</v>
      </c>
      <c r="DY38" s="125" t="s">
        <v>261</v>
      </c>
      <c r="DZ38" s="93" t="s">
        <v>37</v>
      </c>
      <c r="EA38" s="116" t="s">
        <v>46</v>
      </c>
      <c r="EB38" s="93" t="s">
        <v>51</v>
      </c>
      <c r="EC38" s="117" t="s">
        <v>46</v>
      </c>
      <c r="ED38" s="92" t="s">
        <v>54</v>
      </c>
      <c r="EE38" s="93">
        <f t="shared" si="42"/>
        <v>0</v>
      </c>
      <c r="EF38" s="125" t="str">
        <f t="shared" si="43"/>
        <v>- - -</v>
      </c>
      <c r="EG38" s="93" t="s">
        <v>37</v>
      </c>
      <c r="EH38" s="116" t="s">
        <v>46</v>
      </c>
      <c r="EI38" s="86" t="s">
        <v>51</v>
      </c>
      <c r="EJ38" s="103" t="s">
        <v>46</v>
      </c>
      <c r="EK38" s="118" t="s">
        <v>54</v>
      </c>
      <c r="EL38" s="115"/>
      <c r="EM38" s="119" t="str">
        <f t="shared" si="44"/>
        <v>- - -</v>
      </c>
      <c r="EN38" s="119" t="str">
        <f t="shared" si="45"/>
        <v>---</v>
      </c>
    </row>
    <row r="39" spans="1:144" s="119" customFormat="1" ht="39.75" customHeight="1" x14ac:dyDescent="0.2">
      <c r="A39" s="408">
        <v>629</v>
      </c>
      <c r="B39" s="298">
        <v>23</v>
      </c>
      <c r="C39" s="86"/>
      <c r="D39" s="86" t="str">
        <f t="shared" si="0"/>
        <v>Bà</v>
      </c>
      <c r="E39" s="410" t="s">
        <v>262</v>
      </c>
      <c r="F39" s="411" t="s">
        <v>56</v>
      </c>
      <c r="G39" s="412" t="s">
        <v>263</v>
      </c>
      <c r="H39" s="412" t="s">
        <v>46</v>
      </c>
      <c r="I39" s="412" t="s">
        <v>44</v>
      </c>
      <c r="J39" s="85" t="s">
        <v>46</v>
      </c>
      <c r="K39" s="85">
        <v>1989</v>
      </c>
      <c r="L39" s="85" t="s">
        <v>71</v>
      </c>
      <c r="M39" s="85" t="str">
        <f t="shared" si="1"/>
        <v>NLĐ</v>
      </c>
      <c r="N39" s="85"/>
      <c r="O39" s="85" t="e">
        <f t="shared" si="2"/>
        <v>#N/A</v>
      </c>
      <c r="P39" s="85"/>
      <c r="Q39" s="410" t="e">
        <f>VLOOKUP(P39,'[1]- DLiêu Gốc (Không sửa)'!$C$2:$H$116,2,0)</f>
        <v>#N/A</v>
      </c>
      <c r="R39" s="526" t="s">
        <v>261</v>
      </c>
      <c r="S39" s="413" t="s">
        <v>258</v>
      </c>
      <c r="T39" s="414" t="str">
        <f>VLOOKUP(Y39,'[2]- DLiêu Gốc -'!$C$2:$H$60,5,0)</f>
        <v>A1</v>
      </c>
      <c r="U39" s="414" t="str">
        <f>VLOOKUP(Y39,'[2]- DLiêu Gốc -'!$C$2:$H$60,6,0)</f>
        <v>- - -</v>
      </c>
      <c r="V39" s="415" t="s">
        <v>64</v>
      </c>
      <c r="W39" s="416" t="str">
        <f t="shared" si="3"/>
        <v>Giảng viên (hạng III)</v>
      </c>
      <c r="X39" s="417" t="str">
        <f t="shared" si="4"/>
        <v>V.07.01.03</v>
      </c>
      <c r="Y39" s="418" t="s">
        <v>67</v>
      </c>
      <c r="Z39" s="417" t="str">
        <f>VLOOKUP(Y39,'[2]- DLiêu Gốc -'!$C$1:$H$133,2,0)</f>
        <v>V.07.01.03</v>
      </c>
      <c r="AA39" s="419" t="str">
        <f t="shared" si="5"/>
        <v>Lương</v>
      </c>
      <c r="AB39" s="420">
        <v>2</v>
      </c>
      <c r="AC39" s="355" t="str">
        <f t="shared" si="6"/>
        <v>/</v>
      </c>
      <c r="AD39" s="45">
        <f t="shared" si="7"/>
        <v>9</v>
      </c>
      <c r="AE39" s="421">
        <f t="shared" si="8"/>
        <v>2.67</v>
      </c>
      <c r="AF39" s="422"/>
      <c r="AG39" s="45"/>
      <c r="AH39" s="423" t="s">
        <v>37</v>
      </c>
      <c r="AI39" s="424" t="s">
        <v>46</v>
      </c>
      <c r="AJ39" s="425" t="s">
        <v>51</v>
      </c>
      <c r="AK39" s="525" t="s">
        <v>46</v>
      </c>
      <c r="AL39" s="426">
        <v>2015</v>
      </c>
      <c r="AM39" s="427"/>
      <c r="AN39" s="428"/>
      <c r="AO39" s="429">
        <f t="shared" si="46"/>
        <v>3</v>
      </c>
      <c r="AP39" s="430" t="str">
        <f t="shared" si="10"/>
        <v>/</v>
      </c>
      <c r="AQ39" s="431">
        <f t="shared" si="11"/>
        <v>9</v>
      </c>
      <c r="AR39" s="527">
        <f t="shared" si="12"/>
        <v>3</v>
      </c>
      <c r="AS39" s="45"/>
      <c r="AT39" s="432" t="s">
        <v>37</v>
      </c>
      <c r="AU39" s="433" t="s">
        <v>46</v>
      </c>
      <c r="AV39" s="434" t="s">
        <v>51</v>
      </c>
      <c r="AW39" s="435" t="s">
        <v>46</v>
      </c>
      <c r="AX39" s="436">
        <v>2018</v>
      </c>
      <c r="AY39" s="439"/>
      <c r="AZ39" s="103"/>
      <c r="BA39" s="94"/>
      <c r="BB39" s="437">
        <f t="shared" si="13"/>
        <v>3</v>
      </c>
      <c r="BC39" s="91">
        <f t="shared" si="14"/>
        <v>-24227</v>
      </c>
      <c r="BD39" s="91">
        <f>VLOOKUP(Y39,'[2]- DLiêu Gốc -'!$C$1:$F$60,3,0)</f>
        <v>2.34</v>
      </c>
      <c r="BE39" s="96">
        <f>VLOOKUP(Y39,'[2]- DLiêu Gốc -'!$C$1:$F$60,4,0)</f>
        <v>0.33</v>
      </c>
      <c r="BF39" s="97" t="str">
        <f t="shared" si="15"/>
        <v>o-o-o</v>
      </c>
      <c r="BG39" s="193"/>
      <c r="BH39" s="99"/>
      <c r="BI39" s="330"/>
      <c r="BJ39" s="192"/>
      <c r="BK39" s="330"/>
      <c r="BL39" s="121"/>
      <c r="BM39" s="95"/>
      <c r="BN39" s="131"/>
      <c r="BO39" s="98"/>
      <c r="BP39" s="409"/>
      <c r="BQ39" s="99"/>
      <c r="BR39" s="330"/>
      <c r="BS39" s="192"/>
      <c r="BT39" s="330"/>
      <c r="BU39" s="121"/>
      <c r="BV39" s="123"/>
      <c r="BW39" s="103"/>
      <c r="BX39" s="438"/>
      <c r="BY39" s="96" t="str">
        <f t="shared" si="16"/>
        <v>- - -</v>
      </c>
      <c r="BZ39" s="87" t="str">
        <f>IF(BH39&gt;3,(($BG$2-BW39)*12+($BG$4-BU39)-BO39),"- - -")</f>
        <v>- - -</v>
      </c>
      <c r="CA39" s="100" t="str">
        <f t="shared" si="18"/>
        <v>Chánh Văn phòng Học viện, Trưởng Ban Tổ chức - Cán bộ, Trưởng Phân viện Học viện Hành chính Quốc gia khu vực Tây Nguyên</v>
      </c>
      <c r="CB39" s="101" t="str">
        <f t="shared" si="19"/>
        <v>A</v>
      </c>
      <c r="CC39" s="90" t="str">
        <f t="shared" si="20"/>
        <v>=&gt; s</v>
      </c>
      <c r="CD39" s="86">
        <f t="shared" si="21"/>
        <v>24251</v>
      </c>
      <c r="CE39" s="86" t="str">
        <f t="shared" si="22"/>
        <v>---</v>
      </c>
      <c r="CF39" s="147"/>
      <c r="CG39" s="86"/>
      <c r="CH39" s="102"/>
      <c r="CI39" s="86"/>
      <c r="CJ39" s="103" t="str">
        <f t="shared" si="23"/>
        <v>- - -</v>
      </c>
      <c r="CK39" s="104" t="str">
        <f t="shared" si="24"/>
        <v>- - -</v>
      </c>
      <c r="CL39" s="105"/>
      <c r="CM39" s="104"/>
      <c r="CN39" s="106"/>
      <c r="CO39" s="103"/>
      <c r="CP39" s="104" t="str">
        <f t="shared" si="25"/>
        <v>CN</v>
      </c>
      <c r="CQ39" s="105">
        <v>6</v>
      </c>
      <c r="CR39" s="104">
        <v>2013</v>
      </c>
      <c r="CS39" s="106"/>
      <c r="CT39" s="107"/>
      <c r="CU39" s="132" t="str">
        <f t="shared" si="47"/>
        <v>---</v>
      </c>
      <c r="CV39" s="108" t="str">
        <f t="shared" si="27"/>
        <v>/-/ /-/</v>
      </c>
      <c r="CW39" s="109">
        <f t="shared" si="28"/>
        <v>10</v>
      </c>
      <c r="CX39" s="108">
        <f t="shared" si="29"/>
        <v>2044</v>
      </c>
      <c r="CY39" s="109">
        <f t="shared" si="30"/>
        <v>7</v>
      </c>
      <c r="CZ39" s="108">
        <f t="shared" si="31"/>
        <v>2044</v>
      </c>
      <c r="DA39" s="109">
        <f t="shared" si="32"/>
        <v>4</v>
      </c>
      <c r="DB39" s="110">
        <f t="shared" si="33"/>
        <v>2044</v>
      </c>
      <c r="DC39" s="111" t="str">
        <f t="shared" si="34"/>
        <v>- - -</v>
      </c>
      <c r="DD39" s="111" t="str">
        <f t="shared" si="35"/>
        <v>. .</v>
      </c>
      <c r="DE39" s="90"/>
      <c r="DF39" s="90">
        <f t="shared" si="36"/>
        <v>660</v>
      </c>
      <c r="DG39" s="90">
        <f t="shared" si="37"/>
        <v>-23865</v>
      </c>
      <c r="DH39" s="90">
        <f t="shared" si="38"/>
        <v>-1989</v>
      </c>
      <c r="DI39" s="90" t="str">
        <f t="shared" si="39"/>
        <v>Nữ dưới 30</v>
      </c>
      <c r="DJ39" s="90"/>
      <c r="DK39" s="96"/>
      <c r="DL39" s="104" t="str">
        <f t="shared" si="40"/>
        <v>Đến 30</v>
      </c>
      <c r="DM39" s="88" t="str">
        <f t="shared" si="41"/>
        <v>--</v>
      </c>
      <c r="DN39" s="86"/>
      <c r="DO39" s="122" t="s">
        <v>179</v>
      </c>
      <c r="DP39" s="88">
        <v>6</v>
      </c>
      <c r="DQ39" s="106">
        <v>2013</v>
      </c>
      <c r="DR39" s="112"/>
      <c r="DS39" s="113"/>
      <c r="DT39" s="114"/>
      <c r="DU39" s="115"/>
      <c r="DV39" s="89"/>
      <c r="DW39" s="92" t="s">
        <v>261</v>
      </c>
      <c r="DX39" s="93" t="s">
        <v>135</v>
      </c>
      <c r="DY39" s="125" t="s">
        <v>261</v>
      </c>
      <c r="DZ39" s="93" t="s">
        <v>37</v>
      </c>
      <c r="EA39" s="116" t="s">
        <v>46</v>
      </c>
      <c r="EB39" s="93" t="s">
        <v>51</v>
      </c>
      <c r="EC39" s="117" t="s">
        <v>46</v>
      </c>
      <c r="ED39" s="92" t="s">
        <v>54</v>
      </c>
      <c r="EE39" s="93">
        <f t="shared" si="42"/>
        <v>0</v>
      </c>
      <c r="EF39" s="125" t="str">
        <f t="shared" si="43"/>
        <v>- - -</v>
      </c>
      <c r="EG39" s="93" t="s">
        <v>37</v>
      </c>
      <c r="EH39" s="116" t="s">
        <v>46</v>
      </c>
      <c r="EI39" s="86" t="s">
        <v>51</v>
      </c>
      <c r="EJ39" s="103" t="s">
        <v>46</v>
      </c>
      <c r="EK39" s="118" t="s">
        <v>54</v>
      </c>
      <c r="EL39" s="115"/>
      <c r="EM39" s="119" t="str">
        <f t="shared" si="44"/>
        <v>- - -</v>
      </c>
      <c r="EN39" s="119" t="str">
        <f t="shared" si="45"/>
        <v>---</v>
      </c>
    </row>
    <row r="40" spans="1:144" s="119" customFormat="1" ht="39.75" customHeight="1" x14ac:dyDescent="0.2">
      <c r="A40" s="408">
        <v>651</v>
      </c>
      <c r="B40" s="298">
        <v>24</v>
      </c>
      <c r="C40" s="86"/>
      <c r="D40" s="86" t="str">
        <f t="shared" si="0"/>
        <v>Bà</v>
      </c>
      <c r="E40" s="410" t="s">
        <v>264</v>
      </c>
      <c r="F40" s="411" t="s">
        <v>56</v>
      </c>
      <c r="G40" s="412" t="s">
        <v>260</v>
      </c>
      <c r="H40" s="412" t="s">
        <v>46</v>
      </c>
      <c r="I40" s="412" t="s">
        <v>53</v>
      </c>
      <c r="J40" s="85" t="s">
        <v>46</v>
      </c>
      <c r="K40" s="85">
        <v>1988</v>
      </c>
      <c r="L40" s="85" t="s">
        <v>71</v>
      </c>
      <c r="M40" s="85" t="str">
        <f t="shared" si="1"/>
        <v>NLĐ</v>
      </c>
      <c r="N40" s="85"/>
      <c r="O40" s="85" t="e">
        <f t="shared" si="2"/>
        <v>#N/A</v>
      </c>
      <c r="P40" s="85"/>
      <c r="Q40" s="410" t="e">
        <f>VLOOKUP(P40,'[1]- DLiêu Gốc (Không sửa)'!$C$2:$H$116,2,0)</f>
        <v>#N/A</v>
      </c>
      <c r="R40" s="526" t="s">
        <v>124</v>
      </c>
      <c r="S40" s="413" t="s">
        <v>258</v>
      </c>
      <c r="T40" s="414" t="str">
        <f>VLOOKUP(Y40,'[2]- DLiêu Gốc -'!$C$2:$H$60,5,0)</f>
        <v>A1</v>
      </c>
      <c r="U40" s="414" t="str">
        <f>VLOOKUP(Y40,'[2]- DLiêu Gốc -'!$C$2:$H$60,6,0)</f>
        <v>- - -</v>
      </c>
      <c r="V40" s="415" t="s">
        <v>65</v>
      </c>
      <c r="W40" s="416" t="str">
        <f t="shared" si="3"/>
        <v>Kế toán viên</v>
      </c>
      <c r="X40" s="417" t="str">
        <f t="shared" si="4"/>
        <v>06.031</v>
      </c>
      <c r="Y40" s="418" t="s">
        <v>167</v>
      </c>
      <c r="Z40" s="417" t="str">
        <f>VLOOKUP(Y40,'[2]- DLiêu Gốc -'!$C$1:$H$133,2,0)</f>
        <v>06.031</v>
      </c>
      <c r="AA40" s="419" t="str">
        <f t="shared" si="5"/>
        <v>Lương</v>
      </c>
      <c r="AB40" s="420">
        <v>2</v>
      </c>
      <c r="AC40" s="355" t="str">
        <f t="shared" si="6"/>
        <v>/</v>
      </c>
      <c r="AD40" s="45">
        <f t="shared" si="7"/>
        <v>9</v>
      </c>
      <c r="AE40" s="421">
        <f t="shared" si="8"/>
        <v>2.67</v>
      </c>
      <c r="AF40" s="422"/>
      <c r="AG40" s="45"/>
      <c r="AH40" s="423" t="s">
        <v>37</v>
      </c>
      <c r="AI40" s="424"/>
      <c r="AJ40" s="425" t="s">
        <v>51</v>
      </c>
      <c r="AK40" s="525" t="s">
        <v>46</v>
      </c>
      <c r="AL40" s="426">
        <v>2015</v>
      </c>
      <c r="AM40" s="427"/>
      <c r="AN40" s="428"/>
      <c r="AO40" s="429">
        <f t="shared" si="46"/>
        <v>3</v>
      </c>
      <c r="AP40" s="430" t="str">
        <f t="shared" si="10"/>
        <v>/</v>
      </c>
      <c r="AQ40" s="431">
        <f t="shared" si="11"/>
        <v>9</v>
      </c>
      <c r="AR40" s="527">
        <f t="shared" si="12"/>
        <v>3</v>
      </c>
      <c r="AS40" s="45"/>
      <c r="AT40" s="432" t="s">
        <v>37</v>
      </c>
      <c r="AU40" s="433"/>
      <c r="AV40" s="434" t="s">
        <v>51</v>
      </c>
      <c r="AW40" s="435" t="s">
        <v>46</v>
      </c>
      <c r="AX40" s="436">
        <v>2018</v>
      </c>
      <c r="AY40" s="439"/>
      <c r="AZ40" s="103"/>
      <c r="BA40" s="94"/>
      <c r="BB40" s="437">
        <f t="shared" si="13"/>
        <v>3</v>
      </c>
      <c r="BC40" s="91">
        <f t="shared" si="14"/>
        <v>-24227</v>
      </c>
      <c r="BD40" s="91">
        <f>VLOOKUP(Y40,'[2]- DLiêu Gốc -'!$C$1:$F$60,3,0)</f>
        <v>2.34</v>
      </c>
      <c r="BE40" s="96">
        <f>VLOOKUP(Y40,'[2]- DLiêu Gốc -'!$C$1:$F$60,4,0)</f>
        <v>0.33</v>
      </c>
      <c r="BF40" s="97" t="str">
        <f t="shared" si="15"/>
        <v>o-o-o</v>
      </c>
      <c r="BG40" s="193"/>
      <c r="BH40" s="99"/>
      <c r="BI40" s="330"/>
      <c r="BJ40" s="192"/>
      <c r="BK40" s="330"/>
      <c r="BL40" s="121"/>
      <c r="BM40" s="95"/>
      <c r="BN40" s="131"/>
      <c r="BO40" s="98"/>
      <c r="BP40" s="409"/>
      <c r="BQ40" s="99"/>
      <c r="BR40" s="330"/>
      <c r="BS40" s="192"/>
      <c r="BT40" s="330"/>
      <c r="BU40" s="121"/>
      <c r="BV40" s="123"/>
      <c r="BW40" s="103"/>
      <c r="BX40" s="438"/>
      <c r="BY40" s="96" t="str">
        <f t="shared" si="16"/>
        <v>- - -</v>
      </c>
      <c r="BZ40" s="87" t="str">
        <f>IF(BH40&gt;3,(($BG$2-BW40)*12+($BG$4-BU40)-BO40),"- - -")</f>
        <v>- - -</v>
      </c>
      <c r="CA40" s="100" t="str">
        <f t="shared" si="18"/>
        <v>Chánh Văn phòng Học viện, Trưởng Ban Tổ chức - Cán bộ, Trưởng Phân viện Học viện Hành chính Quốc gia khu vực Tây Nguyên</v>
      </c>
      <c r="CB40" s="101" t="str">
        <f t="shared" si="19"/>
        <v>A</v>
      </c>
      <c r="CC40" s="90" t="str">
        <f t="shared" si="20"/>
        <v>=&gt; s</v>
      </c>
      <c r="CD40" s="86">
        <f t="shared" si="21"/>
        <v>24251</v>
      </c>
      <c r="CE40" s="86" t="str">
        <f t="shared" si="22"/>
        <v>---</v>
      </c>
      <c r="CF40" s="147"/>
      <c r="CG40" s="86"/>
      <c r="CH40" s="102"/>
      <c r="CI40" s="86"/>
      <c r="CJ40" s="103" t="str">
        <f t="shared" si="23"/>
        <v>- - -</v>
      </c>
      <c r="CK40" s="104" t="str">
        <f t="shared" si="24"/>
        <v>- - -</v>
      </c>
      <c r="CL40" s="105"/>
      <c r="CM40" s="104"/>
      <c r="CN40" s="106"/>
      <c r="CO40" s="103"/>
      <c r="CP40" s="104" t="str">
        <f t="shared" si="25"/>
        <v>- - -</v>
      </c>
      <c r="CQ40" s="105"/>
      <c r="CR40" s="104"/>
      <c r="CS40" s="106"/>
      <c r="CT40" s="107"/>
      <c r="CU40" s="132" t="str">
        <f t="shared" si="47"/>
        <v>---</v>
      </c>
      <c r="CV40" s="108" t="str">
        <f t="shared" si="27"/>
        <v>/-/ /-/</v>
      </c>
      <c r="CW40" s="109">
        <f t="shared" si="28"/>
        <v>5</v>
      </c>
      <c r="CX40" s="108">
        <f t="shared" si="29"/>
        <v>2043</v>
      </c>
      <c r="CY40" s="109">
        <f t="shared" si="30"/>
        <v>2</v>
      </c>
      <c r="CZ40" s="108">
        <f t="shared" si="31"/>
        <v>2043</v>
      </c>
      <c r="DA40" s="109">
        <f t="shared" si="32"/>
        <v>11</v>
      </c>
      <c r="DB40" s="110">
        <f t="shared" si="33"/>
        <v>2042</v>
      </c>
      <c r="DC40" s="111" t="str">
        <f t="shared" si="34"/>
        <v>- - -</v>
      </c>
      <c r="DD40" s="111" t="str">
        <f t="shared" si="35"/>
        <v>. .</v>
      </c>
      <c r="DE40" s="90"/>
      <c r="DF40" s="90">
        <f t="shared" si="36"/>
        <v>660</v>
      </c>
      <c r="DG40" s="90">
        <f t="shared" si="37"/>
        <v>-23848</v>
      </c>
      <c r="DH40" s="90">
        <f t="shared" si="38"/>
        <v>-1988</v>
      </c>
      <c r="DI40" s="90" t="str">
        <f t="shared" si="39"/>
        <v>Nữ dưới 30</v>
      </c>
      <c r="DJ40" s="90"/>
      <c r="DK40" s="96"/>
      <c r="DL40" s="104" t="str">
        <f t="shared" si="40"/>
        <v>Đến 30</v>
      </c>
      <c r="DM40" s="88" t="str">
        <f t="shared" si="41"/>
        <v>--</v>
      </c>
      <c r="DN40" s="86"/>
      <c r="DO40" s="122"/>
      <c r="DP40" s="88"/>
      <c r="DQ40" s="106"/>
      <c r="DR40" s="112"/>
      <c r="DS40" s="113"/>
      <c r="DT40" s="114"/>
      <c r="DU40" s="115"/>
      <c r="DV40" s="89"/>
      <c r="DW40" s="92" t="s">
        <v>124</v>
      </c>
      <c r="DX40" s="93" t="s">
        <v>135</v>
      </c>
      <c r="DY40" s="125" t="s">
        <v>124</v>
      </c>
      <c r="DZ40" s="93" t="s">
        <v>37</v>
      </c>
      <c r="EA40" s="116" t="s">
        <v>46</v>
      </c>
      <c r="EB40" s="93" t="s">
        <v>51</v>
      </c>
      <c r="EC40" s="117" t="s">
        <v>46</v>
      </c>
      <c r="ED40" s="92" t="s">
        <v>54</v>
      </c>
      <c r="EE40" s="93">
        <f t="shared" si="42"/>
        <v>0</v>
      </c>
      <c r="EF40" s="125" t="str">
        <f t="shared" si="43"/>
        <v>- - -</v>
      </c>
      <c r="EG40" s="93" t="s">
        <v>37</v>
      </c>
      <c r="EH40" s="116" t="s">
        <v>46</v>
      </c>
      <c r="EI40" s="86" t="s">
        <v>51</v>
      </c>
      <c r="EJ40" s="103" t="s">
        <v>46</v>
      </c>
      <c r="EK40" s="118" t="s">
        <v>54</v>
      </c>
      <c r="EL40" s="115"/>
      <c r="EM40" s="119" t="str">
        <f t="shared" si="44"/>
        <v>- - -</v>
      </c>
      <c r="EN40" s="119" t="str">
        <f t="shared" si="45"/>
        <v>---</v>
      </c>
    </row>
    <row r="41" spans="1:144" s="119" customFormat="1" ht="39.75" customHeight="1" x14ac:dyDescent="0.2">
      <c r="A41" s="408">
        <v>657</v>
      </c>
      <c r="B41" s="298">
        <v>25</v>
      </c>
      <c r="C41" s="86"/>
      <c r="D41" s="86" t="str">
        <f t="shared" si="0"/>
        <v>Ông</v>
      </c>
      <c r="E41" s="410" t="s">
        <v>265</v>
      </c>
      <c r="F41" s="411" t="s">
        <v>55</v>
      </c>
      <c r="G41" s="412" t="s">
        <v>163</v>
      </c>
      <c r="H41" s="412" t="s">
        <v>46</v>
      </c>
      <c r="I41" s="412" t="s">
        <v>39</v>
      </c>
      <c r="J41" s="85" t="s">
        <v>46</v>
      </c>
      <c r="K41" s="85" t="s">
        <v>266</v>
      </c>
      <c r="L41" s="85" t="s">
        <v>73</v>
      </c>
      <c r="M41" s="85" t="str">
        <f t="shared" si="1"/>
        <v>VC</v>
      </c>
      <c r="N41" s="85"/>
      <c r="O41" s="85" t="str">
        <f t="shared" si="2"/>
        <v>CVụ</v>
      </c>
      <c r="P41" s="85" t="s">
        <v>28</v>
      </c>
      <c r="Q41" s="410" t="str">
        <f>VLOOKUP(P41,'[1]- DLiêu Gốc (Không sửa)'!$C$2:$H$116,2,0)</f>
        <v>0,4</v>
      </c>
      <c r="R41" s="526" t="s">
        <v>170</v>
      </c>
      <c r="S41" s="413" t="s">
        <v>125</v>
      </c>
      <c r="T41" s="414" t="str">
        <f>VLOOKUP(Y41,'[2]- DLiêu Gốc -'!$C$2:$H$60,5,0)</f>
        <v>A2</v>
      </c>
      <c r="U41" s="414" t="str">
        <f>VLOOKUP(Y41,'[2]- DLiêu Gốc -'!$C$2:$H$60,6,0)</f>
        <v>A2.1</v>
      </c>
      <c r="V41" s="415" t="s">
        <v>64</v>
      </c>
      <c r="W41" s="416" t="str">
        <f t="shared" si="3"/>
        <v>Giảng viên chính (hạng II)</v>
      </c>
      <c r="X41" s="417" t="str">
        <f t="shared" si="4"/>
        <v>V.07.01.02</v>
      </c>
      <c r="Y41" s="418" t="s">
        <v>68</v>
      </c>
      <c r="Z41" s="417" t="str">
        <f>VLOOKUP(Y41,'[2]- DLiêu Gốc -'!$C$1:$H$133,2,0)</f>
        <v>V.07.01.02</v>
      </c>
      <c r="AA41" s="419" t="str">
        <f t="shared" si="5"/>
        <v>Lương</v>
      </c>
      <c r="AB41" s="420">
        <v>6</v>
      </c>
      <c r="AC41" s="355" t="str">
        <f t="shared" si="6"/>
        <v>/</v>
      </c>
      <c r="AD41" s="45">
        <f t="shared" si="7"/>
        <v>8</v>
      </c>
      <c r="AE41" s="421">
        <f t="shared" si="8"/>
        <v>6.1000000000000005</v>
      </c>
      <c r="AF41" s="422"/>
      <c r="AG41" s="45"/>
      <c r="AH41" s="423" t="s">
        <v>37</v>
      </c>
      <c r="AI41" s="424" t="s">
        <v>46</v>
      </c>
      <c r="AJ41" s="425" t="s">
        <v>51</v>
      </c>
      <c r="AK41" s="525" t="s">
        <v>46</v>
      </c>
      <c r="AL41" s="426">
        <v>2015</v>
      </c>
      <c r="AM41" s="427"/>
      <c r="AN41" s="428"/>
      <c r="AO41" s="429">
        <f t="shared" si="46"/>
        <v>7</v>
      </c>
      <c r="AP41" s="430" t="str">
        <f t="shared" si="10"/>
        <v>/</v>
      </c>
      <c r="AQ41" s="431">
        <f t="shared" si="11"/>
        <v>8</v>
      </c>
      <c r="AR41" s="527">
        <f t="shared" si="12"/>
        <v>6.44</v>
      </c>
      <c r="AS41" s="45"/>
      <c r="AT41" s="432" t="s">
        <v>37</v>
      </c>
      <c r="AU41" s="433" t="s">
        <v>46</v>
      </c>
      <c r="AV41" s="434" t="s">
        <v>51</v>
      </c>
      <c r="AW41" s="435" t="s">
        <v>46</v>
      </c>
      <c r="AX41" s="436">
        <v>2018</v>
      </c>
      <c r="AY41" s="439"/>
      <c r="AZ41" s="103"/>
      <c r="BA41" s="94"/>
      <c r="BB41" s="437">
        <f t="shared" si="13"/>
        <v>3</v>
      </c>
      <c r="BC41" s="91">
        <f t="shared" si="14"/>
        <v>-24227</v>
      </c>
      <c r="BD41" s="91">
        <f>VLOOKUP(Y41,'[2]- DLiêu Gốc -'!$C$1:$F$60,3,0)</f>
        <v>4.4000000000000004</v>
      </c>
      <c r="BE41" s="96">
        <f>VLOOKUP(Y41,'[2]- DLiêu Gốc -'!$C$1:$F$60,4,0)</f>
        <v>0.34</v>
      </c>
      <c r="BF41" s="97" t="str">
        <f t="shared" si="15"/>
        <v>PCTN</v>
      </c>
      <c r="BG41" s="193">
        <v>21</v>
      </c>
      <c r="BH41" s="99" t="s">
        <v>35</v>
      </c>
      <c r="BI41" s="330" t="s">
        <v>37</v>
      </c>
      <c r="BJ41" s="192" t="s">
        <v>46</v>
      </c>
      <c r="BK41" s="330">
        <v>6</v>
      </c>
      <c r="BL41" s="121" t="s">
        <v>46</v>
      </c>
      <c r="BM41" s="95">
        <v>2017</v>
      </c>
      <c r="BN41" s="131"/>
      <c r="BO41" s="98"/>
      <c r="BP41" s="409">
        <f>IF(BG41&gt;3,BG41+1,0)</f>
        <v>22</v>
      </c>
      <c r="BQ41" s="99" t="s">
        <v>35</v>
      </c>
      <c r="BR41" s="330" t="s">
        <v>37</v>
      </c>
      <c r="BS41" s="192" t="s">
        <v>46</v>
      </c>
      <c r="BT41" s="330">
        <v>6</v>
      </c>
      <c r="BU41" s="121" t="s">
        <v>46</v>
      </c>
      <c r="BV41" s="123">
        <v>2018</v>
      </c>
      <c r="BW41" s="103"/>
      <c r="BX41" s="438">
        <v>6</v>
      </c>
      <c r="BY41" s="96">
        <f t="shared" si="16"/>
        <v>-24222</v>
      </c>
      <c r="BZ41" s="87" t="str">
        <f>IF(AND(CV41="Hưu",BG41&gt;3),12-(12*(DB41-BV41)+(DA41-BT41))-BN41,"- - -")</f>
        <v>- - -</v>
      </c>
      <c r="CA41" s="100" t="str">
        <f t="shared" si="18"/>
        <v>Chánh Văn phòng Học viện, Trưởng Ban Tổ chức - Cán bộ, Trưởng Phân viện Học viện Hành chính Quốc gia tại Thành phố Hồ Chí Minh</v>
      </c>
      <c r="CB41" s="101" t="str">
        <f t="shared" si="19"/>
        <v>A</v>
      </c>
      <c r="CC41" s="90" t="str">
        <f t="shared" si="20"/>
        <v>=&gt; s</v>
      </c>
      <c r="CD41" s="86">
        <f t="shared" si="21"/>
        <v>24251</v>
      </c>
      <c r="CE41" s="86" t="str">
        <f t="shared" si="22"/>
        <v>S</v>
      </c>
      <c r="CF41" s="147">
        <v>2009</v>
      </c>
      <c r="CG41" s="86" t="s">
        <v>143</v>
      </c>
      <c r="CH41" s="102"/>
      <c r="CI41" s="86"/>
      <c r="CJ41" s="103" t="str">
        <f t="shared" si="23"/>
        <v>Cùg Ng</v>
      </c>
      <c r="CK41" s="104" t="str">
        <f t="shared" si="24"/>
        <v>NN</v>
      </c>
      <c r="CL41" s="105"/>
      <c r="CM41" s="104" t="s">
        <v>267</v>
      </c>
      <c r="CN41" s="106"/>
      <c r="CO41" s="103"/>
      <c r="CP41" s="104" t="str">
        <f t="shared" si="25"/>
        <v>- - -</v>
      </c>
      <c r="CQ41" s="105"/>
      <c r="CR41" s="104"/>
      <c r="CS41" s="106"/>
      <c r="CT41" s="107"/>
      <c r="CU41" s="132" t="str">
        <f t="shared" si="47"/>
        <v>---</v>
      </c>
      <c r="CV41" s="108" t="str">
        <f t="shared" si="27"/>
        <v>/-/ /-/</v>
      </c>
      <c r="CW41" s="109">
        <f t="shared" si="28"/>
        <v>6</v>
      </c>
      <c r="CX41" s="108">
        <f t="shared" si="29"/>
        <v>2022</v>
      </c>
      <c r="CY41" s="109">
        <f t="shared" si="30"/>
        <v>3</v>
      </c>
      <c r="CZ41" s="108">
        <f t="shared" si="31"/>
        <v>2022</v>
      </c>
      <c r="DA41" s="109">
        <f t="shared" si="32"/>
        <v>12</v>
      </c>
      <c r="DB41" s="110">
        <f t="shared" si="33"/>
        <v>2021</v>
      </c>
      <c r="DC41" s="111" t="str">
        <f t="shared" si="34"/>
        <v>- - -</v>
      </c>
      <c r="DD41" s="111" t="str">
        <f t="shared" si="35"/>
        <v>. .</v>
      </c>
      <c r="DE41" s="90"/>
      <c r="DF41" s="90">
        <f t="shared" si="36"/>
        <v>720</v>
      </c>
      <c r="DG41" s="90">
        <f t="shared" si="37"/>
        <v>-23537</v>
      </c>
      <c r="DH41" s="90">
        <f t="shared" si="38"/>
        <v>-1962</v>
      </c>
      <c r="DI41" s="90" t="str">
        <f t="shared" si="39"/>
        <v>Nam dưới 35</v>
      </c>
      <c r="DJ41" s="90"/>
      <c r="DK41" s="96"/>
      <c r="DL41" s="104" t="str">
        <f t="shared" si="40"/>
        <v>Đến 30</v>
      </c>
      <c r="DM41" s="88" t="str">
        <f t="shared" si="41"/>
        <v>--</v>
      </c>
      <c r="DN41" s="86"/>
      <c r="DO41" s="122"/>
      <c r="DP41" s="88"/>
      <c r="DQ41" s="106"/>
      <c r="DR41" s="112"/>
      <c r="DS41" s="113"/>
      <c r="DT41" s="114"/>
      <c r="DU41" s="115"/>
      <c r="DV41" s="89"/>
      <c r="DW41" s="92" t="s">
        <v>191</v>
      </c>
      <c r="DX41" s="93" t="s">
        <v>137</v>
      </c>
      <c r="DY41" s="125" t="s">
        <v>191</v>
      </c>
      <c r="DZ41" s="93" t="s">
        <v>37</v>
      </c>
      <c r="EA41" s="116" t="s">
        <v>46</v>
      </c>
      <c r="EB41" s="93" t="s">
        <v>51</v>
      </c>
      <c r="EC41" s="117" t="s">
        <v>46</v>
      </c>
      <c r="ED41" s="92">
        <v>2012</v>
      </c>
      <c r="EE41" s="93">
        <f t="shared" si="42"/>
        <v>0</v>
      </c>
      <c r="EF41" s="125" t="str">
        <f t="shared" si="43"/>
        <v>- - -</v>
      </c>
      <c r="EG41" s="93" t="s">
        <v>37</v>
      </c>
      <c r="EH41" s="116" t="s">
        <v>46</v>
      </c>
      <c r="EI41" s="86" t="s">
        <v>51</v>
      </c>
      <c r="EJ41" s="103" t="s">
        <v>46</v>
      </c>
      <c r="EK41" s="118">
        <v>2012</v>
      </c>
      <c r="EL41" s="115">
        <v>4.9800000000000004</v>
      </c>
      <c r="EM41" s="119" t="str">
        <f t="shared" si="44"/>
        <v>- - -</v>
      </c>
      <c r="EN41" s="119" t="str">
        <f t="shared" si="45"/>
        <v>---</v>
      </c>
    </row>
    <row r="42" spans="1:144" s="119" customFormat="1" ht="39.75" customHeight="1" x14ac:dyDescent="0.2">
      <c r="A42" s="408">
        <v>661</v>
      </c>
      <c r="B42" s="298">
        <v>26</v>
      </c>
      <c r="C42" s="86"/>
      <c r="D42" s="86" t="str">
        <f t="shared" si="0"/>
        <v>Ông</v>
      </c>
      <c r="E42" s="410" t="s">
        <v>200</v>
      </c>
      <c r="F42" s="411" t="s">
        <v>55</v>
      </c>
      <c r="G42" s="412" t="s">
        <v>201</v>
      </c>
      <c r="H42" s="412" t="s">
        <v>46</v>
      </c>
      <c r="I42" s="412" t="s">
        <v>37</v>
      </c>
      <c r="J42" s="85" t="s">
        <v>46</v>
      </c>
      <c r="K42" s="85" t="s">
        <v>185</v>
      </c>
      <c r="L42" s="85" t="s">
        <v>73</v>
      </c>
      <c r="M42" s="85" t="str">
        <f t="shared" si="1"/>
        <v>VC</v>
      </c>
      <c r="N42" s="85"/>
      <c r="O42" s="85" t="str">
        <f t="shared" si="2"/>
        <v>CVụ</v>
      </c>
      <c r="P42" s="85" t="s">
        <v>199</v>
      </c>
      <c r="Q42" s="410" t="str">
        <f>VLOOKUP(P42,'[1]- DLiêu Gốc (Không sửa)'!$C$2:$H$116,2,0)</f>
        <v>0,8</v>
      </c>
      <c r="R42" s="526" t="s">
        <v>170</v>
      </c>
      <c r="S42" s="413" t="s">
        <v>125</v>
      </c>
      <c r="T42" s="414" t="str">
        <f>VLOOKUP(Y42,'[2]- DLiêu Gốc -'!$C$2:$H$60,5,0)</f>
        <v>A2</v>
      </c>
      <c r="U42" s="414" t="str">
        <f>VLOOKUP(Y42,'[2]- DLiêu Gốc -'!$C$2:$H$60,6,0)</f>
        <v>A2.1</v>
      </c>
      <c r="V42" s="415" t="s">
        <v>64</v>
      </c>
      <c r="W42" s="416" t="str">
        <f t="shared" si="3"/>
        <v>Giảng viên chính (hạng II)</v>
      </c>
      <c r="X42" s="417" t="str">
        <f t="shared" si="4"/>
        <v>V.07.01.02</v>
      </c>
      <c r="Y42" s="418" t="s">
        <v>68</v>
      </c>
      <c r="Z42" s="417" t="str">
        <f>VLOOKUP(Y42,'[2]- DLiêu Gốc -'!$C$1:$H$133,2,0)</f>
        <v>V.07.01.02</v>
      </c>
      <c r="AA42" s="419" t="str">
        <f t="shared" si="5"/>
        <v>Lương</v>
      </c>
      <c r="AB42" s="420">
        <v>7</v>
      </c>
      <c r="AC42" s="355" t="str">
        <f t="shared" si="6"/>
        <v>/</v>
      </c>
      <c r="AD42" s="45">
        <f t="shared" si="7"/>
        <v>8</v>
      </c>
      <c r="AE42" s="421">
        <f t="shared" si="8"/>
        <v>6.44</v>
      </c>
      <c r="AF42" s="422"/>
      <c r="AG42" s="45"/>
      <c r="AH42" s="423" t="s">
        <v>37</v>
      </c>
      <c r="AI42" s="424" t="s">
        <v>46</v>
      </c>
      <c r="AJ42" s="425" t="s">
        <v>51</v>
      </c>
      <c r="AK42" s="525" t="s">
        <v>46</v>
      </c>
      <c r="AL42" s="426">
        <v>2015</v>
      </c>
      <c r="AM42" s="427"/>
      <c r="AN42" s="428"/>
      <c r="AO42" s="429">
        <f t="shared" si="46"/>
        <v>8</v>
      </c>
      <c r="AP42" s="430" t="str">
        <f t="shared" si="10"/>
        <v>/</v>
      </c>
      <c r="AQ42" s="431">
        <f t="shared" si="11"/>
        <v>8</v>
      </c>
      <c r="AR42" s="527">
        <f t="shared" si="12"/>
        <v>6.78</v>
      </c>
      <c r="AS42" s="45"/>
      <c r="AT42" s="432" t="s">
        <v>37</v>
      </c>
      <c r="AU42" s="433" t="s">
        <v>46</v>
      </c>
      <c r="AV42" s="434" t="s">
        <v>51</v>
      </c>
      <c r="AW42" s="435" t="s">
        <v>46</v>
      </c>
      <c r="AX42" s="436">
        <v>2018</v>
      </c>
      <c r="AY42" s="439"/>
      <c r="AZ42" s="103"/>
      <c r="BA42" s="94"/>
      <c r="BB42" s="437">
        <f t="shared" si="13"/>
        <v>3</v>
      </c>
      <c r="BC42" s="91">
        <f t="shared" si="14"/>
        <v>-24227</v>
      </c>
      <c r="BD42" s="91">
        <f>VLOOKUP(Y42,'[2]- DLiêu Gốc -'!$C$1:$F$60,3,0)</f>
        <v>4.4000000000000004</v>
      </c>
      <c r="BE42" s="96">
        <f>VLOOKUP(Y42,'[2]- DLiêu Gốc -'!$C$1:$F$60,4,0)</f>
        <v>0.34</v>
      </c>
      <c r="BF42" s="97" t="str">
        <f t="shared" si="15"/>
        <v>PCTN</v>
      </c>
      <c r="BG42" s="193">
        <v>39</v>
      </c>
      <c r="BH42" s="99" t="s">
        <v>35</v>
      </c>
      <c r="BI42" s="330" t="s">
        <v>37</v>
      </c>
      <c r="BJ42" s="192" t="s">
        <v>46</v>
      </c>
      <c r="BK42" s="330">
        <v>9</v>
      </c>
      <c r="BL42" s="121" t="s">
        <v>46</v>
      </c>
      <c r="BM42" s="95">
        <v>2017</v>
      </c>
      <c r="BN42" s="131"/>
      <c r="BO42" s="98"/>
      <c r="BP42" s="409">
        <f>IF(BG42&gt;3,BG42+1,0)</f>
        <v>40</v>
      </c>
      <c r="BQ42" s="99" t="s">
        <v>35</v>
      </c>
      <c r="BR42" s="330" t="s">
        <v>37</v>
      </c>
      <c r="BS42" s="192" t="s">
        <v>46</v>
      </c>
      <c r="BT42" s="330">
        <v>9</v>
      </c>
      <c r="BU42" s="121" t="s">
        <v>46</v>
      </c>
      <c r="BV42" s="123">
        <v>2018</v>
      </c>
      <c r="BW42" s="103"/>
      <c r="BX42" s="438"/>
      <c r="BY42" s="96">
        <f t="shared" si="16"/>
        <v>-24225</v>
      </c>
      <c r="BZ42" s="87" t="str">
        <f>IF(AND(CV42="Hưu",BG42&gt;3),12-(12*(DB42-BV42)+(DA42-BT42))-BN42,"- - -")</f>
        <v>- - -</v>
      </c>
      <c r="CA42" s="100" t="str">
        <f t="shared" si="18"/>
        <v>Chánh Văn phòng Học viện, Trưởng Ban Tổ chức - Cán bộ, Trưởng Phân viện Học viện Hành chính Quốc gia tại Thành phố Hồ Chí Minh</v>
      </c>
      <c r="CB42" s="101" t="str">
        <f t="shared" si="19"/>
        <v>A</v>
      </c>
      <c r="CC42" s="90" t="str">
        <f t="shared" si="20"/>
        <v>=&gt; s</v>
      </c>
      <c r="CD42" s="86">
        <f t="shared" si="21"/>
        <v>24251</v>
      </c>
      <c r="CE42" s="86" t="str">
        <f t="shared" si="22"/>
        <v>---</v>
      </c>
      <c r="CF42" s="147"/>
      <c r="CG42" s="86"/>
      <c r="CH42" s="102"/>
      <c r="CI42" s="86"/>
      <c r="CJ42" s="103" t="str">
        <f t="shared" si="23"/>
        <v>- - -</v>
      </c>
      <c r="CK42" s="104" t="str">
        <f t="shared" si="24"/>
        <v>- - -</v>
      </c>
      <c r="CL42" s="105"/>
      <c r="CM42" s="104"/>
      <c r="CN42" s="106"/>
      <c r="CO42" s="103"/>
      <c r="CP42" s="104" t="str">
        <f t="shared" si="25"/>
        <v>- - -</v>
      </c>
      <c r="CQ42" s="105"/>
      <c r="CR42" s="104"/>
      <c r="CS42" s="106"/>
      <c r="CT42" s="107"/>
      <c r="CU42" s="132" t="str">
        <f t="shared" si="47"/>
        <v>---</v>
      </c>
      <c r="CV42" s="108" t="str">
        <f t="shared" si="27"/>
        <v>/-/ /-/</v>
      </c>
      <c r="CW42" s="109">
        <f t="shared" si="28"/>
        <v>2</v>
      </c>
      <c r="CX42" s="108">
        <f t="shared" si="29"/>
        <v>2023</v>
      </c>
      <c r="CY42" s="109">
        <f t="shared" si="30"/>
        <v>11</v>
      </c>
      <c r="CZ42" s="108">
        <f t="shared" si="31"/>
        <v>2022</v>
      </c>
      <c r="DA42" s="109">
        <f t="shared" si="32"/>
        <v>8</v>
      </c>
      <c r="DB42" s="110">
        <f t="shared" si="33"/>
        <v>2022</v>
      </c>
      <c r="DC42" s="111" t="str">
        <f t="shared" si="34"/>
        <v>- - -</v>
      </c>
      <c r="DD42" s="111" t="str">
        <f t="shared" si="35"/>
        <v>K.Dài</v>
      </c>
      <c r="DE42" s="90">
        <v>5</v>
      </c>
      <c r="DF42" s="90">
        <f t="shared" si="36"/>
        <v>780</v>
      </c>
      <c r="DG42" s="90">
        <f t="shared" si="37"/>
        <v>-23485</v>
      </c>
      <c r="DH42" s="90">
        <f t="shared" si="38"/>
        <v>-1958</v>
      </c>
      <c r="DI42" s="90" t="str">
        <f t="shared" si="39"/>
        <v>Nam dưới 35</v>
      </c>
      <c r="DJ42" s="90"/>
      <c r="DK42" s="96"/>
      <c r="DL42" s="104" t="str">
        <f t="shared" si="40"/>
        <v>Đến 30</v>
      </c>
      <c r="DM42" s="88" t="str">
        <f t="shared" si="41"/>
        <v>--</v>
      </c>
      <c r="DN42" s="86"/>
      <c r="DO42" s="122"/>
      <c r="DP42" s="88"/>
      <c r="DQ42" s="106"/>
      <c r="DR42" s="112"/>
      <c r="DS42" s="113"/>
      <c r="DT42" s="114"/>
      <c r="DU42" s="115"/>
      <c r="DV42" s="89"/>
      <c r="DW42" s="92" t="s">
        <v>192</v>
      </c>
      <c r="DX42" s="93" t="s">
        <v>137</v>
      </c>
      <c r="DY42" s="125" t="s">
        <v>171</v>
      </c>
      <c r="DZ42" s="93" t="s">
        <v>37</v>
      </c>
      <c r="EA42" s="116" t="s">
        <v>46</v>
      </c>
      <c r="EB42" s="93" t="s">
        <v>51</v>
      </c>
      <c r="EC42" s="117" t="s">
        <v>46</v>
      </c>
      <c r="ED42" s="92">
        <v>2012</v>
      </c>
      <c r="EE42" s="93">
        <f t="shared" si="42"/>
        <v>0</v>
      </c>
      <c r="EF42" s="125" t="str">
        <f t="shared" si="43"/>
        <v>- - -</v>
      </c>
      <c r="EG42" s="93" t="s">
        <v>37</v>
      </c>
      <c r="EH42" s="116" t="s">
        <v>46</v>
      </c>
      <c r="EI42" s="86" t="s">
        <v>51</v>
      </c>
      <c r="EJ42" s="103" t="s">
        <v>46</v>
      </c>
      <c r="EK42" s="118">
        <v>2012</v>
      </c>
      <c r="EL42" s="115"/>
      <c r="EM42" s="119" t="str">
        <f t="shared" si="44"/>
        <v>- - -</v>
      </c>
      <c r="EN42" s="119" t="str">
        <f t="shared" si="45"/>
        <v>---</v>
      </c>
    </row>
    <row r="43" spans="1:144" s="119" customFormat="1" ht="39.75" customHeight="1" x14ac:dyDescent="0.2">
      <c r="A43" s="408">
        <v>691</v>
      </c>
      <c r="B43" s="298">
        <v>27</v>
      </c>
      <c r="C43" s="86"/>
      <c r="D43" s="86" t="str">
        <f t="shared" si="0"/>
        <v>Bà</v>
      </c>
      <c r="E43" s="410" t="s">
        <v>268</v>
      </c>
      <c r="F43" s="411" t="s">
        <v>56</v>
      </c>
      <c r="G43" s="412" t="s">
        <v>168</v>
      </c>
      <c r="H43" s="412" t="s">
        <v>46</v>
      </c>
      <c r="I43" s="412" t="s">
        <v>40</v>
      </c>
      <c r="J43" s="85" t="s">
        <v>46</v>
      </c>
      <c r="K43" s="85" t="s">
        <v>169</v>
      </c>
      <c r="L43" s="85" t="s">
        <v>71</v>
      </c>
      <c r="M43" s="85" t="str">
        <f t="shared" si="1"/>
        <v>NLĐ</v>
      </c>
      <c r="N43" s="85"/>
      <c r="O43" s="85" t="e">
        <f t="shared" si="2"/>
        <v>#N/A</v>
      </c>
      <c r="P43" s="85"/>
      <c r="Q43" s="410" t="e">
        <f>VLOOKUP(P43,'[1]- DLiêu Gốc (Không sửa)'!$C$2:$H$116,2,0)</f>
        <v>#N/A</v>
      </c>
      <c r="R43" s="526" t="s">
        <v>269</v>
      </c>
      <c r="S43" s="413" t="s">
        <v>125</v>
      </c>
      <c r="T43" s="414" t="str">
        <f>VLOOKUP(Y43,'[2]- DLiêu Gốc -'!$C$2:$H$60,5,0)</f>
        <v>A1</v>
      </c>
      <c r="U43" s="414" t="str">
        <f>VLOOKUP(Y43,'[2]- DLiêu Gốc -'!$C$2:$H$60,6,0)</f>
        <v>- - -</v>
      </c>
      <c r="V43" s="415" t="s">
        <v>64</v>
      </c>
      <c r="W43" s="416" t="str">
        <f t="shared" si="3"/>
        <v>Giảng viên (hạng III)</v>
      </c>
      <c r="X43" s="417" t="str">
        <f t="shared" si="4"/>
        <v>V.07.01.03</v>
      </c>
      <c r="Y43" s="418" t="s">
        <v>67</v>
      </c>
      <c r="Z43" s="417" t="str">
        <f>VLOOKUP(Y43,'[2]- DLiêu Gốc -'!$C$1:$H$133,2,0)</f>
        <v>V.07.01.03</v>
      </c>
      <c r="AA43" s="419" t="str">
        <f t="shared" si="5"/>
        <v>Lương</v>
      </c>
      <c r="AB43" s="420">
        <v>4</v>
      </c>
      <c r="AC43" s="355" t="str">
        <f t="shared" si="6"/>
        <v>/</v>
      </c>
      <c r="AD43" s="45">
        <f t="shared" si="7"/>
        <v>9</v>
      </c>
      <c r="AE43" s="421">
        <f t="shared" si="8"/>
        <v>3.33</v>
      </c>
      <c r="AF43" s="422"/>
      <c r="AG43" s="45"/>
      <c r="AH43" s="423" t="s">
        <v>37</v>
      </c>
      <c r="AI43" s="424" t="s">
        <v>46</v>
      </c>
      <c r="AJ43" s="425" t="s">
        <v>51</v>
      </c>
      <c r="AK43" s="525" t="s">
        <v>46</v>
      </c>
      <c r="AL43" s="426">
        <v>2015</v>
      </c>
      <c r="AM43" s="427"/>
      <c r="AN43" s="428"/>
      <c r="AO43" s="429">
        <f t="shared" si="46"/>
        <v>5</v>
      </c>
      <c r="AP43" s="430" t="str">
        <f t="shared" si="10"/>
        <v>/</v>
      </c>
      <c r="AQ43" s="431">
        <f t="shared" si="11"/>
        <v>9</v>
      </c>
      <c r="AR43" s="527">
        <f t="shared" si="12"/>
        <v>3.66</v>
      </c>
      <c r="AS43" s="45"/>
      <c r="AT43" s="432" t="s">
        <v>37</v>
      </c>
      <c r="AU43" s="433" t="s">
        <v>46</v>
      </c>
      <c r="AV43" s="434" t="s">
        <v>51</v>
      </c>
      <c r="AW43" s="435" t="s">
        <v>46</v>
      </c>
      <c r="AX43" s="436">
        <v>2018</v>
      </c>
      <c r="AY43" s="439"/>
      <c r="AZ43" s="103"/>
      <c r="BA43" s="94"/>
      <c r="BB43" s="437">
        <f t="shared" si="13"/>
        <v>3</v>
      </c>
      <c r="BC43" s="91">
        <f t="shared" si="14"/>
        <v>-24227</v>
      </c>
      <c r="BD43" s="91">
        <f>VLOOKUP(Y43,'[2]- DLiêu Gốc -'!$C$1:$F$60,3,0)</f>
        <v>2.34</v>
      </c>
      <c r="BE43" s="96">
        <f>VLOOKUP(Y43,'[2]- DLiêu Gốc -'!$C$1:$F$60,4,0)</f>
        <v>0.33</v>
      </c>
      <c r="BF43" s="97" t="str">
        <f t="shared" si="15"/>
        <v>o-o-o</v>
      </c>
      <c r="BG43" s="193"/>
      <c r="BH43" s="99"/>
      <c r="BI43" s="330"/>
      <c r="BJ43" s="192"/>
      <c r="BK43" s="330"/>
      <c r="BL43" s="121"/>
      <c r="BM43" s="95"/>
      <c r="BN43" s="131"/>
      <c r="BO43" s="98"/>
      <c r="BP43" s="409"/>
      <c r="BQ43" s="99"/>
      <c r="BR43" s="330"/>
      <c r="BS43" s="192"/>
      <c r="BT43" s="330"/>
      <c r="BU43" s="121"/>
      <c r="BV43" s="123"/>
      <c r="BW43" s="103"/>
      <c r="BX43" s="438"/>
      <c r="BY43" s="96" t="str">
        <f t="shared" si="16"/>
        <v>- - -</v>
      </c>
      <c r="BZ43" s="87" t="str">
        <f>IF(BH43&gt;3,(($BG$2-BW43)*12+($BG$4-BU43)-BO43),"- - -")</f>
        <v>- - -</v>
      </c>
      <c r="CA43" s="100" t="str">
        <f t="shared" si="18"/>
        <v>Chánh Văn phòng Học viện, Trưởng Ban Tổ chức - Cán bộ, Trưởng Phân viện Học viện Hành chính Quốc gia tại Thành phố Hồ Chí Minh</v>
      </c>
      <c r="CB43" s="101" t="str">
        <f t="shared" si="19"/>
        <v>A</v>
      </c>
      <c r="CC43" s="90" t="str">
        <f t="shared" si="20"/>
        <v>=&gt; s</v>
      </c>
      <c r="CD43" s="86">
        <f t="shared" si="21"/>
        <v>24251</v>
      </c>
      <c r="CE43" s="86" t="str">
        <f t="shared" si="22"/>
        <v>---</v>
      </c>
      <c r="CF43" s="147"/>
      <c r="CG43" s="86"/>
      <c r="CH43" s="102"/>
      <c r="CI43" s="86"/>
      <c r="CJ43" s="103" t="str">
        <f t="shared" si="23"/>
        <v>- - -</v>
      </c>
      <c r="CK43" s="104" t="str">
        <f t="shared" si="24"/>
        <v>- - -</v>
      </c>
      <c r="CL43" s="105"/>
      <c r="CM43" s="104"/>
      <c r="CN43" s="106"/>
      <c r="CO43" s="103"/>
      <c r="CP43" s="104" t="str">
        <f t="shared" si="25"/>
        <v>- - -</v>
      </c>
      <c r="CQ43" s="105"/>
      <c r="CR43" s="104"/>
      <c r="CS43" s="106"/>
      <c r="CT43" s="107"/>
      <c r="CU43" s="132" t="str">
        <f t="shared" si="47"/>
        <v>---</v>
      </c>
      <c r="CV43" s="108" t="str">
        <f t="shared" si="27"/>
        <v>/-/ /-/</v>
      </c>
      <c r="CW43" s="109">
        <f t="shared" si="28"/>
        <v>7</v>
      </c>
      <c r="CX43" s="108">
        <f t="shared" si="29"/>
        <v>2038</v>
      </c>
      <c r="CY43" s="109">
        <f t="shared" si="30"/>
        <v>4</v>
      </c>
      <c r="CZ43" s="108">
        <f t="shared" si="31"/>
        <v>2038</v>
      </c>
      <c r="DA43" s="109">
        <f t="shared" si="32"/>
        <v>1</v>
      </c>
      <c r="DB43" s="110">
        <f t="shared" si="33"/>
        <v>2038</v>
      </c>
      <c r="DC43" s="111" t="str">
        <f t="shared" si="34"/>
        <v>- - -</v>
      </c>
      <c r="DD43" s="111" t="str">
        <f t="shared" si="35"/>
        <v>. .</v>
      </c>
      <c r="DE43" s="90"/>
      <c r="DF43" s="90">
        <f t="shared" si="36"/>
        <v>660</v>
      </c>
      <c r="DG43" s="90">
        <f t="shared" si="37"/>
        <v>-23790</v>
      </c>
      <c r="DH43" s="90">
        <f t="shared" si="38"/>
        <v>-1983</v>
      </c>
      <c r="DI43" s="90" t="str">
        <f t="shared" si="39"/>
        <v>Nữ dưới 30</v>
      </c>
      <c r="DJ43" s="90"/>
      <c r="DK43" s="96"/>
      <c r="DL43" s="104" t="str">
        <f t="shared" si="40"/>
        <v>Đến 30</v>
      </c>
      <c r="DM43" s="88" t="str">
        <f t="shared" si="41"/>
        <v>--</v>
      </c>
      <c r="DN43" s="86"/>
      <c r="DO43" s="122"/>
      <c r="DP43" s="88"/>
      <c r="DQ43" s="106"/>
      <c r="DR43" s="112"/>
      <c r="DS43" s="113"/>
      <c r="DT43" s="114"/>
      <c r="DU43" s="115"/>
      <c r="DV43" s="89"/>
      <c r="DW43" s="92" t="s">
        <v>269</v>
      </c>
      <c r="DX43" s="93" t="s">
        <v>137</v>
      </c>
      <c r="DY43" s="125" t="s">
        <v>269</v>
      </c>
      <c r="DZ43" s="93" t="s">
        <v>37</v>
      </c>
      <c r="EA43" s="116" t="s">
        <v>46</v>
      </c>
      <c r="EB43" s="93" t="s">
        <v>51</v>
      </c>
      <c r="EC43" s="117" t="s">
        <v>46</v>
      </c>
      <c r="ED43" s="92">
        <v>2012</v>
      </c>
      <c r="EE43" s="93">
        <f t="shared" si="42"/>
        <v>0</v>
      </c>
      <c r="EF43" s="125" t="str">
        <f t="shared" si="43"/>
        <v>- - -</v>
      </c>
      <c r="EG43" s="93" t="s">
        <v>37</v>
      </c>
      <c r="EH43" s="116" t="s">
        <v>46</v>
      </c>
      <c r="EI43" s="86" t="s">
        <v>51</v>
      </c>
      <c r="EJ43" s="103" t="s">
        <v>46</v>
      </c>
      <c r="EK43" s="118">
        <v>2012</v>
      </c>
      <c r="EL43" s="115"/>
      <c r="EM43" s="119" t="str">
        <f t="shared" si="44"/>
        <v>- - -</v>
      </c>
      <c r="EN43" s="119" t="str">
        <f t="shared" si="45"/>
        <v>---</v>
      </c>
    </row>
    <row r="44" spans="1:144" s="119" customFormat="1" ht="39.75" customHeight="1" x14ac:dyDescent="0.2">
      <c r="A44" s="408">
        <v>750</v>
      </c>
      <c r="B44" s="298">
        <v>28</v>
      </c>
      <c r="C44" s="86"/>
      <c r="D44" s="86" t="str">
        <f t="shared" si="0"/>
        <v>Bà</v>
      </c>
      <c r="E44" s="410" t="s">
        <v>270</v>
      </c>
      <c r="F44" s="411" t="s">
        <v>56</v>
      </c>
      <c r="G44" s="412" t="s">
        <v>30</v>
      </c>
      <c r="H44" s="412" t="s">
        <v>46</v>
      </c>
      <c r="I44" s="412" t="s">
        <v>51</v>
      </c>
      <c r="J44" s="85" t="s">
        <v>46</v>
      </c>
      <c r="K44" s="85">
        <v>1978</v>
      </c>
      <c r="L44" s="85" t="s">
        <v>71</v>
      </c>
      <c r="M44" s="85" t="str">
        <f t="shared" si="1"/>
        <v>NLĐ</v>
      </c>
      <c r="N44" s="85"/>
      <c r="O44" s="85" t="e">
        <f t="shared" si="2"/>
        <v>#N/A</v>
      </c>
      <c r="P44" s="85"/>
      <c r="Q44" s="410" t="e">
        <f>VLOOKUP(P44,'[1]- DLiêu Gốc (Không sửa)'!$C$2:$H$116,2,0)</f>
        <v>#N/A</v>
      </c>
      <c r="R44" s="526" t="s">
        <v>204</v>
      </c>
      <c r="S44" s="413" t="s">
        <v>125</v>
      </c>
      <c r="T44" s="414" t="str">
        <f>VLOOKUP(Y44,'[2]- DLiêu Gốc -'!$C$2:$H$60,5,0)</f>
        <v>A1</v>
      </c>
      <c r="U44" s="414" t="str">
        <f>VLOOKUP(Y44,'[2]- DLiêu Gốc -'!$C$2:$H$60,6,0)</f>
        <v>- - -</v>
      </c>
      <c r="V44" s="415" t="s">
        <v>65</v>
      </c>
      <c r="W44" s="416" t="str">
        <f t="shared" si="3"/>
        <v>Thư viện viên hạng III</v>
      </c>
      <c r="X44" s="417" t="str">
        <f t="shared" si="4"/>
        <v>V.10.02.06</v>
      </c>
      <c r="Y44" s="418" t="s">
        <v>271</v>
      </c>
      <c r="Z44" s="417" t="str">
        <f>VLOOKUP(Y44,'[2]- DLiêu Gốc -'!$C$1:$H$133,2,0)</f>
        <v>V.10.02.06</v>
      </c>
      <c r="AA44" s="419" t="str">
        <f t="shared" si="5"/>
        <v>Lương</v>
      </c>
      <c r="AB44" s="420">
        <v>4</v>
      </c>
      <c r="AC44" s="355" t="str">
        <f t="shared" si="6"/>
        <v>/</v>
      </c>
      <c r="AD44" s="45">
        <f t="shared" si="7"/>
        <v>9</v>
      </c>
      <c r="AE44" s="421">
        <f t="shared" si="8"/>
        <v>3.33</v>
      </c>
      <c r="AF44" s="422"/>
      <c r="AG44" s="45"/>
      <c r="AH44" s="423" t="s">
        <v>37</v>
      </c>
      <c r="AI44" s="424" t="s">
        <v>46</v>
      </c>
      <c r="AJ44" s="425" t="s">
        <v>51</v>
      </c>
      <c r="AK44" s="525" t="s">
        <v>46</v>
      </c>
      <c r="AL44" s="426">
        <v>2015</v>
      </c>
      <c r="AM44" s="427"/>
      <c r="AN44" s="428"/>
      <c r="AO44" s="429">
        <f t="shared" si="46"/>
        <v>5</v>
      </c>
      <c r="AP44" s="430" t="str">
        <f t="shared" si="10"/>
        <v>/</v>
      </c>
      <c r="AQ44" s="431">
        <f t="shared" si="11"/>
        <v>9</v>
      </c>
      <c r="AR44" s="527">
        <f t="shared" si="12"/>
        <v>3.66</v>
      </c>
      <c r="AS44" s="45"/>
      <c r="AT44" s="432" t="s">
        <v>37</v>
      </c>
      <c r="AU44" s="433" t="s">
        <v>46</v>
      </c>
      <c r="AV44" s="434" t="s">
        <v>51</v>
      </c>
      <c r="AW44" s="435" t="s">
        <v>46</v>
      </c>
      <c r="AX44" s="436">
        <v>2018</v>
      </c>
      <c r="AY44" s="439"/>
      <c r="AZ44" s="103"/>
      <c r="BA44" s="94"/>
      <c r="BB44" s="437">
        <f t="shared" si="13"/>
        <v>3</v>
      </c>
      <c r="BC44" s="91">
        <f t="shared" si="14"/>
        <v>-24227</v>
      </c>
      <c r="BD44" s="91">
        <f>VLOOKUP(Y44,'[2]- DLiêu Gốc -'!$C$1:$F$60,3,0)</f>
        <v>2.34</v>
      </c>
      <c r="BE44" s="96">
        <f>VLOOKUP(Y44,'[2]- DLiêu Gốc -'!$C$1:$F$60,4,0)</f>
        <v>0.33</v>
      </c>
      <c r="BF44" s="97" t="str">
        <f t="shared" si="15"/>
        <v>o-o-o</v>
      </c>
      <c r="BG44" s="193"/>
      <c r="BH44" s="99"/>
      <c r="BI44" s="330"/>
      <c r="BJ44" s="192"/>
      <c r="BK44" s="330"/>
      <c r="BL44" s="121"/>
      <c r="BM44" s="95"/>
      <c r="BN44" s="131"/>
      <c r="BO44" s="98"/>
      <c r="BP44" s="409"/>
      <c r="BQ44" s="99"/>
      <c r="BR44" s="330"/>
      <c r="BS44" s="192"/>
      <c r="BT44" s="330"/>
      <c r="BU44" s="121"/>
      <c r="BV44" s="123"/>
      <c r="BW44" s="103"/>
      <c r="BX44" s="438"/>
      <c r="BY44" s="96" t="str">
        <f t="shared" si="16"/>
        <v>- - -</v>
      </c>
      <c r="BZ44" s="87" t="str">
        <f>IF(AND(CV44="Hưu",BG44&gt;3),12-(12*(DB44-BV44)+(DA44-BT44))-BN44,"- - -")</f>
        <v>- - -</v>
      </c>
      <c r="CA44" s="100" t="str">
        <f t="shared" si="18"/>
        <v>Chánh Văn phòng Học viện, Trưởng Ban Tổ chức - Cán bộ, Trưởng Phân viện Học viện Hành chính Quốc gia tại Thành phố Hồ Chí Minh</v>
      </c>
      <c r="CB44" s="101" t="str">
        <f t="shared" si="19"/>
        <v>A</v>
      </c>
      <c r="CC44" s="90" t="str">
        <f t="shared" si="20"/>
        <v>=&gt; s</v>
      </c>
      <c r="CD44" s="86">
        <f t="shared" si="21"/>
        <v>24251</v>
      </c>
      <c r="CE44" s="86" t="str">
        <f t="shared" si="22"/>
        <v>---</v>
      </c>
      <c r="CF44" s="147"/>
      <c r="CG44" s="86"/>
      <c r="CH44" s="102"/>
      <c r="CI44" s="86"/>
      <c r="CJ44" s="103" t="str">
        <f t="shared" si="23"/>
        <v>- - -</v>
      </c>
      <c r="CK44" s="104" t="str">
        <f t="shared" si="24"/>
        <v>- - -</v>
      </c>
      <c r="CL44" s="105"/>
      <c r="CM44" s="104"/>
      <c r="CN44" s="106"/>
      <c r="CO44" s="103"/>
      <c r="CP44" s="104" t="str">
        <f t="shared" si="25"/>
        <v>- - -</v>
      </c>
      <c r="CQ44" s="105"/>
      <c r="CR44" s="104"/>
      <c r="CS44" s="106"/>
      <c r="CT44" s="107"/>
      <c r="CU44" s="132" t="str">
        <f t="shared" si="47"/>
        <v>---</v>
      </c>
      <c r="CV44" s="108" t="str">
        <f t="shared" si="27"/>
        <v>/-/ /-/</v>
      </c>
      <c r="CW44" s="109">
        <f t="shared" si="28"/>
        <v>12</v>
      </c>
      <c r="CX44" s="108">
        <f t="shared" si="29"/>
        <v>2033</v>
      </c>
      <c r="CY44" s="109">
        <f t="shared" si="30"/>
        <v>9</v>
      </c>
      <c r="CZ44" s="108">
        <f t="shared" si="31"/>
        <v>2033</v>
      </c>
      <c r="DA44" s="109">
        <f t="shared" si="32"/>
        <v>6</v>
      </c>
      <c r="DB44" s="110">
        <f t="shared" si="33"/>
        <v>2033</v>
      </c>
      <c r="DC44" s="111" t="str">
        <f t="shared" si="34"/>
        <v>- - -</v>
      </c>
      <c r="DD44" s="111" t="str">
        <f t="shared" si="35"/>
        <v>. .</v>
      </c>
      <c r="DE44" s="90"/>
      <c r="DF44" s="90">
        <f t="shared" si="36"/>
        <v>660</v>
      </c>
      <c r="DG44" s="90">
        <f t="shared" si="37"/>
        <v>-23735</v>
      </c>
      <c r="DH44" s="90">
        <f t="shared" si="38"/>
        <v>-1978</v>
      </c>
      <c r="DI44" s="90" t="str">
        <f t="shared" si="39"/>
        <v>Nữ dưới 30</v>
      </c>
      <c r="DJ44" s="90"/>
      <c r="DK44" s="96"/>
      <c r="DL44" s="104" t="str">
        <f t="shared" si="40"/>
        <v>Đến 30</v>
      </c>
      <c r="DM44" s="88" t="str">
        <f t="shared" si="41"/>
        <v>--</v>
      </c>
      <c r="DN44" s="86"/>
      <c r="DO44" s="122"/>
      <c r="DP44" s="88"/>
      <c r="DQ44" s="106"/>
      <c r="DR44" s="112"/>
      <c r="DS44" s="113"/>
      <c r="DT44" s="114"/>
      <c r="DU44" s="115"/>
      <c r="DV44" s="89"/>
      <c r="DW44" s="92" t="s">
        <v>272</v>
      </c>
      <c r="DX44" s="93" t="s">
        <v>137</v>
      </c>
      <c r="DY44" s="125" t="s">
        <v>272</v>
      </c>
      <c r="DZ44" s="93" t="s">
        <v>37</v>
      </c>
      <c r="EA44" s="116" t="s">
        <v>46</v>
      </c>
      <c r="EB44" s="93" t="s">
        <v>51</v>
      </c>
      <c r="EC44" s="117" t="s">
        <v>46</v>
      </c>
      <c r="ED44" s="92">
        <v>2012</v>
      </c>
      <c r="EE44" s="93">
        <f t="shared" si="42"/>
        <v>0</v>
      </c>
      <c r="EF44" s="125" t="str">
        <f t="shared" si="43"/>
        <v>- - -</v>
      </c>
      <c r="EG44" s="93" t="s">
        <v>37</v>
      </c>
      <c r="EH44" s="116" t="s">
        <v>46</v>
      </c>
      <c r="EI44" s="86" t="s">
        <v>51</v>
      </c>
      <c r="EJ44" s="103" t="s">
        <v>46</v>
      </c>
      <c r="EK44" s="118">
        <v>2012</v>
      </c>
      <c r="EL44" s="115"/>
      <c r="EM44" s="119" t="str">
        <f t="shared" si="44"/>
        <v>- - -</v>
      </c>
      <c r="EN44" s="119" t="str">
        <f t="shared" si="45"/>
        <v>---</v>
      </c>
    </row>
    <row r="45" spans="1:144" s="119" customFormat="1" ht="39.75" customHeight="1" x14ac:dyDescent="0.2">
      <c r="A45" s="408">
        <v>751</v>
      </c>
      <c r="B45" s="298">
        <v>29</v>
      </c>
      <c r="C45" s="86"/>
      <c r="D45" s="86" t="str">
        <f t="shared" si="0"/>
        <v>Bà</v>
      </c>
      <c r="E45" s="410" t="s">
        <v>273</v>
      </c>
      <c r="F45" s="411" t="s">
        <v>56</v>
      </c>
      <c r="G45" s="412" t="s">
        <v>50</v>
      </c>
      <c r="H45" s="412" t="s">
        <v>46</v>
      </c>
      <c r="I45" s="412" t="s">
        <v>50</v>
      </c>
      <c r="J45" s="85" t="s">
        <v>46</v>
      </c>
      <c r="K45" s="85">
        <v>1980</v>
      </c>
      <c r="L45" s="85" t="s">
        <v>71</v>
      </c>
      <c r="M45" s="85" t="str">
        <f t="shared" si="1"/>
        <v>NLĐ</v>
      </c>
      <c r="N45" s="85"/>
      <c r="O45" s="85" t="e">
        <f t="shared" si="2"/>
        <v>#N/A</v>
      </c>
      <c r="P45" s="85"/>
      <c r="Q45" s="410" t="e">
        <f>VLOOKUP(P45,'[1]- DLiêu Gốc (Không sửa)'!$C$2:$H$116,2,0)</f>
        <v>#N/A</v>
      </c>
      <c r="R45" s="526" t="s">
        <v>204</v>
      </c>
      <c r="S45" s="413" t="s">
        <v>125</v>
      </c>
      <c r="T45" s="414" t="str">
        <f>VLOOKUP(Y45,'[2]- DLiêu Gốc -'!$C$2:$H$60,5,0)</f>
        <v>A1</v>
      </c>
      <c r="U45" s="414" t="str">
        <f>VLOOKUP(Y45,'[2]- DLiêu Gốc -'!$C$2:$H$60,6,0)</f>
        <v>- - -</v>
      </c>
      <c r="V45" s="415" t="s">
        <v>65</v>
      </c>
      <c r="W45" s="416" t="str">
        <f t="shared" si="3"/>
        <v>Thư viện viên hạng III</v>
      </c>
      <c r="X45" s="417" t="str">
        <f t="shared" si="4"/>
        <v>V.10.02.06</v>
      </c>
      <c r="Y45" s="418" t="s">
        <v>271</v>
      </c>
      <c r="Z45" s="417" t="str">
        <f>VLOOKUP(Y45,'[2]- DLiêu Gốc -'!$C$1:$H$133,2,0)</f>
        <v>V.10.02.06</v>
      </c>
      <c r="AA45" s="419" t="str">
        <f t="shared" si="5"/>
        <v>Lương</v>
      </c>
      <c r="AB45" s="420">
        <v>4</v>
      </c>
      <c r="AC45" s="355" t="str">
        <f t="shared" si="6"/>
        <v>/</v>
      </c>
      <c r="AD45" s="45">
        <f t="shared" si="7"/>
        <v>9</v>
      </c>
      <c r="AE45" s="421">
        <f t="shared" si="8"/>
        <v>3.33</v>
      </c>
      <c r="AF45" s="422"/>
      <c r="AG45" s="45"/>
      <c r="AH45" s="423" t="s">
        <v>37</v>
      </c>
      <c r="AI45" s="424" t="s">
        <v>46</v>
      </c>
      <c r="AJ45" s="425" t="s">
        <v>51</v>
      </c>
      <c r="AK45" s="525" t="s">
        <v>46</v>
      </c>
      <c r="AL45" s="426">
        <v>2015</v>
      </c>
      <c r="AM45" s="427"/>
      <c r="AN45" s="428"/>
      <c r="AO45" s="429">
        <f t="shared" si="46"/>
        <v>5</v>
      </c>
      <c r="AP45" s="430" t="str">
        <f t="shared" si="10"/>
        <v>/</v>
      </c>
      <c r="AQ45" s="431">
        <f t="shared" si="11"/>
        <v>9</v>
      </c>
      <c r="AR45" s="527">
        <f t="shared" si="12"/>
        <v>3.66</v>
      </c>
      <c r="AS45" s="45"/>
      <c r="AT45" s="432" t="s">
        <v>37</v>
      </c>
      <c r="AU45" s="433" t="s">
        <v>46</v>
      </c>
      <c r="AV45" s="434" t="s">
        <v>51</v>
      </c>
      <c r="AW45" s="435" t="s">
        <v>46</v>
      </c>
      <c r="AX45" s="436">
        <v>2018</v>
      </c>
      <c r="AY45" s="439"/>
      <c r="AZ45" s="103"/>
      <c r="BA45" s="94"/>
      <c r="BB45" s="437">
        <f t="shared" si="13"/>
        <v>3</v>
      </c>
      <c r="BC45" s="91">
        <f t="shared" si="14"/>
        <v>-24227</v>
      </c>
      <c r="BD45" s="91">
        <f>VLOOKUP(Y45,'[2]- DLiêu Gốc -'!$C$1:$F$60,3,0)</f>
        <v>2.34</v>
      </c>
      <c r="BE45" s="96">
        <f>VLOOKUP(Y45,'[2]- DLiêu Gốc -'!$C$1:$F$60,4,0)</f>
        <v>0.33</v>
      </c>
      <c r="BF45" s="97" t="str">
        <f t="shared" si="15"/>
        <v>o-o-o</v>
      </c>
      <c r="BG45" s="193"/>
      <c r="BH45" s="99"/>
      <c r="BI45" s="330"/>
      <c r="BJ45" s="192"/>
      <c r="BK45" s="330"/>
      <c r="BL45" s="121"/>
      <c r="BM45" s="95"/>
      <c r="BN45" s="131"/>
      <c r="BO45" s="98"/>
      <c r="BP45" s="409"/>
      <c r="BQ45" s="99"/>
      <c r="BR45" s="330"/>
      <c r="BS45" s="192"/>
      <c r="BT45" s="330"/>
      <c r="BU45" s="121"/>
      <c r="BV45" s="123"/>
      <c r="BW45" s="103"/>
      <c r="BX45" s="438"/>
      <c r="BY45" s="96" t="str">
        <f t="shared" si="16"/>
        <v>- - -</v>
      </c>
      <c r="BZ45" s="87" t="str">
        <f>IF(AND(CV45="Hưu",BG45&gt;3),12-(12*(DB45-BV45)+(DA45-BT45))-BN45,"- - -")</f>
        <v>- - -</v>
      </c>
      <c r="CA45" s="100" t="str">
        <f t="shared" si="18"/>
        <v>Chánh Văn phòng Học viện, Trưởng Ban Tổ chức - Cán bộ, Trưởng Phân viện Học viện Hành chính Quốc gia tại Thành phố Hồ Chí Minh</v>
      </c>
      <c r="CB45" s="101" t="str">
        <f t="shared" si="19"/>
        <v>A</v>
      </c>
      <c r="CC45" s="90" t="str">
        <f t="shared" si="20"/>
        <v>=&gt; s</v>
      </c>
      <c r="CD45" s="86">
        <f t="shared" si="21"/>
        <v>24251</v>
      </c>
      <c r="CE45" s="86" t="str">
        <f t="shared" si="22"/>
        <v>---</v>
      </c>
      <c r="CF45" s="147"/>
      <c r="CG45" s="86"/>
      <c r="CH45" s="102"/>
      <c r="CI45" s="86"/>
      <c r="CJ45" s="103" t="str">
        <f t="shared" si="23"/>
        <v>- - -</v>
      </c>
      <c r="CK45" s="104" t="str">
        <f t="shared" si="24"/>
        <v>- - -</v>
      </c>
      <c r="CL45" s="105"/>
      <c r="CM45" s="104"/>
      <c r="CN45" s="106"/>
      <c r="CO45" s="103"/>
      <c r="CP45" s="104" t="str">
        <f t="shared" si="25"/>
        <v>- - -</v>
      </c>
      <c r="CQ45" s="105"/>
      <c r="CR45" s="104"/>
      <c r="CS45" s="106"/>
      <c r="CT45" s="107"/>
      <c r="CU45" s="132" t="str">
        <f t="shared" si="47"/>
        <v>---</v>
      </c>
      <c r="CV45" s="108" t="str">
        <f t="shared" si="27"/>
        <v>/-/ /-/</v>
      </c>
      <c r="CW45" s="109">
        <f t="shared" si="28"/>
        <v>11</v>
      </c>
      <c r="CX45" s="108">
        <f t="shared" si="29"/>
        <v>2035</v>
      </c>
      <c r="CY45" s="109">
        <f t="shared" si="30"/>
        <v>8</v>
      </c>
      <c r="CZ45" s="108">
        <f t="shared" si="31"/>
        <v>2035</v>
      </c>
      <c r="DA45" s="109">
        <f t="shared" si="32"/>
        <v>5</v>
      </c>
      <c r="DB45" s="110">
        <f t="shared" si="33"/>
        <v>2035</v>
      </c>
      <c r="DC45" s="111" t="str">
        <f t="shared" si="34"/>
        <v>- - -</v>
      </c>
      <c r="DD45" s="111" t="str">
        <f t="shared" si="35"/>
        <v>. .</v>
      </c>
      <c r="DE45" s="90"/>
      <c r="DF45" s="90">
        <f t="shared" si="36"/>
        <v>660</v>
      </c>
      <c r="DG45" s="90">
        <f t="shared" si="37"/>
        <v>-23758</v>
      </c>
      <c r="DH45" s="90">
        <f t="shared" si="38"/>
        <v>-1980</v>
      </c>
      <c r="DI45" s="90" t="str">
        <f t="shared" si="39"/>
        <v>Nữ dưới 30</v>
      </c>
      <c r="DJ45" s="90"/>
      <c r="DK45" s="96"/>
      <c r="DL45" s="104" t="str">
        <f t="shared" si="40"/>
        <v>Đến 30</v>
      </c>
      <c r="DM45" s="88" t="str">
        <f t="shared" si="41"/>
        <v>--</v>
      </c>
      <c r="DN45" s="86"/>
      <c r="DO45" s="122"/>
      <c r="DP45" s="88"/>
      <c r="DQ45" s="106"/>
      <c r="DR45" s="112"/>
      <c r="DS45" s="113"/>
      <c r="DT45" s="114"/>
      <c r="DU45" s="115"/>
      <c r="DV45" s="89"/>
      <c r="DW45" s="92" t="s">
        <v>272</v>
      </c>
      <c r="DX45" s="93" t="s">
        <v>137</v>
      </c>
      <c r="DY45" s="125" t="s">
        <v>272</v>
      </c>
      <c r="DZ45" s="93" t="s">
        <v>37</v>
      </c>
      <c r="EA45" s="116" t="s">
        <v>46</v>
      </c>
      <c r="EB45" s="93" t="s">
        <v>51</v>
      </c>
      <c r="EC45" s="117" t="s">
        <v>46</v>
      </c>
      <c r="ED45" s="92">
        <v>2012</v>
      </c>
      <c r="EE45" s="93">
        <f t="shared" si="42"/>
        <v>0</v>
      </c>
      <c r="EF45" s="125" t="str">
        <f t="shared" si="43"/>
        <v>- - -</v>
      </c>
      <c r="EG45" s="93" t="s">
        <v>37</v>
      </c>
      <c r="EH45" s="116" t="s">
        <v>46</v>
      </c>
      <c r="EI45" s="86" t="s">
        <v>51</v>
      </c>
      <c r="EJ45" s="103" t="s">
        <v>46</v>
      </c>
      <c r="EK45" s="118">
        <v>2012</v>
      </c>
      <c r="EL45" s="115"/>
      <c r="EM45" s="119" t="str">
        <f t="shared" si="44"/>
        <v>- - -</v>
      </c>
      <c r="EN45" s="119" t="str">
        <f t="shared" si="45"/>
        <v>---</v>
      </c>
    </row>
    <row r="46" spans="1:144" s="119" customFormat="1" ht="39.75" customHeight="1" x14ac:dyDescent="0.2">
      <c r="A46" s="408">
        <v>776</v>
      </c>
      <c r="B46" s="298">
        <v>30</v>
      </c>
      <c r="C46" s="86"/>
      <c r="D46" s="86" t="str">
        <f t="shared" si="0"/>
        <v>Ông</v>
      </c>
      <c r="E46" s="410" t="s">
        <v>274</v>
      </c>
      <c r="F46" s="411" t="s">
        <v>55</v>
      </c>
      <c r="G46" s="412" t="s">
        <v>263</v>
      </c>
      <c r="H46" s="412" t="s">
        <v>46</v>
      </c>
      <c r="I46" s="412" t="s">
        <v>38</v>
      </c>
      <c r="J46" s="85" t="s">
        <v>46</v>
      </c>
      <c r="K46" s="85" t="s">
        <v>275</v>
      </c>
      <c r="L46" s="85" t="s">
        <v>71</v>
      </c>
      <c r="M46" s="85" t="str">
        <f t="shared" si="1"/>
        <v>NLĐ</v>
      </c>
      <c r="N46" s="85"/>
      <c r="O46" s="85" t="e">
        <f t="shared" si="2"/>
        <v>#N/A</v>
      </c>
      <c r="P46" s="85"/>
      <c r="Q46" s="410" t="e">
        <f>VLOOKUP(P46,'[1]- DLiêu Gốc (Không sửa)'!$C$2:$H$116,2,0)</f>
        <v>#N/A</v>
      </c>
      <c r="R46" s="526" t="s">
        <v>49</v>
      </c>
      <c r="S46" s="413" t="s">
        <v>125</v>
      </c>
      <c r="T46" s="414" t="str">
        <f>VLOOKUP(Y46,'[2]- DLiêu Gốc -'!$C$2:$H$60,5,0)</f>
        <v>C</v>
      </c>
      <c r="U46" s="414" t="str">
        <f>VLOOKUP(Y46,'[2]- DLiêu Gốc -'!$C$2:$H$60,6,0)</f>
        <v>Nhân viên</v>
      </c>
      <c r="V46" s="415" t="s">
        <v>65</v>
      </c>
      <c r="W46" s="416" t="str">
        <f t="shared" si="3"/>
        <v>Nhân viên</v>
      </c>
      <c r="X46" s="417" t="str">
        <f t="shared" si="4"/>
        <v>01.005</v>
      </c>
      <c r="Y46" s="418" t="s">
        <v>276</v>
      </c>
      <c r="Z46" s="417" t="str">
        <f>VLOOKUP(Y46,'[2]- DLiêu Gốc -'!$C$1:$H$133,2,0)</f>
        <v>01.011</v>
      </c>
      <c r="AA46" s="419" t="str">
        <f t="shared" si="5"/>
        <v>Lương</v>
      </c>
      <c r="AB46" s="420">
        <v>10</v>
      </c>
      <c r="AC46" s="355" t="str">
        <f t="shared" si="6"/>
        <v>/</v>
      </c>
      <c r="AD46" s="45">
        <f t="shared" si="7"/>
        <v>12</v>
      </c>
      <c r="AE46" s="421">
        <f t="shared" si="8"/>
        <v>3.12</v>
      </c>
      <c r="AF46" s="422"/>
      <c r="AG46" s="45"/>
      <c r="AH46" s="423" t="s">
        <v>37</v>
      </c>
      <c r="AI46" s="424" t="s">
        <v>46</v>
      </c>
      <c r="AJ46" s="425" t="s">
        <v>51</v>
      </c>
      <c r="AK46" s="525" t="s">
        <v>46</v>
      </c>
      <c r="AL46" s="426">
        <v>2016</v>
      </c>
      <c r="AM46" s="427"/>
      <c r="AN46" s="428"/>
      <c r="AO46" s="429">
        <f t="shared" si="46"/>
        <v>11</v>
      </c>
      <c r="AP46" s="430" t="str">
        <f t="shared" si="10"/>
        <v>/</v>
      </c>
      <c r="AQ46" s="431">
        <f t="shared" si="11"/>
        <v>12</v>
      </c>
      <c r="AR46" s="527">
        <f t="shared" si="12"/>
        <v>3.3000000000000003</v>
      </c>
      <c r="AS46" s="45"/>
      <c r="AT46" s="432" t="s">
        <v>37</v>
      </c>
      <c r="AU46" s="433" t="s">
        <v>46</v>
      </c>
      <c r="AV46" s="434" t="s">
        <v>51</v>
      </c>
      <c r="AW46" s="435" t="s">
        <v>46</v>
      </c>
      <c r="AX46" s="436">
        <v>2018</v>
      </c>
      <c r="AY46" s="439"/>
      <c r="AZ46" s="103"/>
      <c r="BA46" s="94"/>
      <c r="BB46" s="437">
        <f t="shared" si="13"/>
        <v>2</v>
      </c>
      <c r="BC46" s="91">
        <f t="shared" si="14"/>
        <v>-24227</v>
      </c>
      <c r="BD46" s="91">
        <f>VLOOKUP(Y46,'[2]- DLiêu Gốc -'!$C$1:$F$60,3,0)</f>
        <v>1.5</v>
      </c>
      <c r="BE46" s="96">
        <f>VLOOKUP(Y46,'[2]- DLiêu Gốc -'!$C$1:$F$60,4,0)</f>
        <v>0.18</v>
      </c>
      <c r="BF46" s="97" t="str">
        <f t="shared" si="15"/>
        <v>o-o-o</v>
      </c>
      <c r="BG46" s="193"/>
      <c r="BH46" s="99"/>
      <c r="BI46" s="330"/>
      <c r="BJ46" s="192"/>
      <c r="BK46" s="330"/>
      <c r="BL46" s="121"/>
      <c r="BM46" s="95"/>
      <c r="BN46" s="131"/>
      <c r="BO46" s="98"/>
      <c r="BP46" s="409"/>
      <c r="BQ46" s="99"/>
      <c r="BR46" s="330"/>
      <c r="BS46" s="192"/>
      <c r="BT46" s="330"/>
      <c r="BU46" s="121"/>
      <c r="BV46" s="123"/>
      <c r="BW46" s="103"/>
      <c r="BX46" s="438"/>
      <c r="BY46" s="96" t="str">
        <f t="shared" si="16"/>
        <v>- - -</v>
      </c>
      <c r="BZ46" s="87" t="str">
        <f>IF(AND(CV46="Hưu",BG46&gt;3),12-(12*(DB46-BV46)+(DA46-BT46))-BN46,"- - -")</f>
        <v>- - -</v>
      </c>
      <c r="CA46" s="100" t="str">
        <f t="shared" si="18"/>
        <v>Chánh Văn phòng Học viện, Trưởng Ban Tổ chức - Cán bộ, Trưởng Phân viện Học viện Hành chính Quốc gia tại Thành phố Hồ Chí Minh</v>
      </c>
      <c r="CB46" s="101" t="str">
        <f t="shared" si="19"/>
        <v>A</v>
      </c>
      <c r="CC46" s="90" t="str">
        <f t="shared" si="20"/>
        <v>=&gt; s</v>
      </c>
      <c r="CD46" s="86">
        <f t="shared" si="21"/>
        <v>24239</v>
      </c>
      <c r="CE46" s="86" t="str">
        <f t="shared" si="22"/>
        <v>---</v>
      </c>
      <c r="CF46" s="147"/>
      <c r="CG46" s="86"/>
      <c r="CH46" s="102"/>
      <c r="CI46" s="86"/>
      <c r="CJ46" s="103" t="str">
        <f t="shared" si="23"/>
        <v>- - -</v>
      </c>
      <c r="CK46" s="104" t="str">
        <f t="shared" si="24"/>
        <v>- - -</v>
      </c>
      <c r="CL46" s="105"/>
      <c r="CM46" s="104"/>
      <c r="CN46" s="106"/>
      <c r="CO46" s="103"/>
      <c r="CP46" s="104" t="str">
        <f t="shared" si="25"/>
        <v>- - -</v>
      </c>
      <c r="CQ46" s="105"/>
      <c r="CR46" s="104"/>
      <c r="CS46" s="106"/>
      <c r="CT46" s="107"/>
      <c r="CU46" s="132" t="str">
        <f t="shared" si="47"/>
        <v>---</v>
      </c>
      <c r="CV46" s="108" t="str">
        <f t="shared" si="27"/>
        <v>/-/ /-/</v>
      </c>
      <c r="CW46" s="109">
        <f t="shared" si="28"/>
        <v>3</v>
      </c>
      <c r="CX46" s="108">
        <f t="shared" si="29"/>
        <v>2032</v>
      </c>
      <c r="CY46" s="109">
        <f t="shared" si="30"/>
        <v>12</v>
      </c>
      <c r="CZ46" s="108">
        <f t="shared" si="31"/>
        <v>2031</v>
      </c>
      <c r="DA46" s="109">
        <f t="shared" si="32"/>
        <v>9</v>
      </c>
      <c r="DB46" s="110">
        <f t="shared" si="33"/>
        <v>2031</v>
      </c>
      <c r="DC46" s="111" t="str">
        <f t="shared" si="34"/>
        <v>- - -</v>
      </c>
      <c r="DD46" s="111" t="str">
        <f t="shared" si="35"/>
        <v>. .</v>
      </c>
      <c r="DE46" s="90"/>
      <c r="DF46" s="90">
        <f t="shared" si="36"/>
        <v>720</v>
      </c>
      <c r="DG46" s="90">
        <f t="shared" si="37"/>
        <v>-23654</v>
      </c>
      <c r="DH46" s="90">
        <f t="shared" si="38"/>
        <v>-1972</v>
      </c>
      <c r="DI46" s="90" t="str">
        <f t="shared" si="39"/>
        <v>Nam dưới 35</v>
      </c>
      <c r="DJ46" s="90"/>
      <c r="DK46" s="96"/>
      <c r="DL46" s="104" t="str">
        <f t="shared" si="40"/>
        <v>Đến 30</v>
      </c>
      <c r="DM46" s="88" t="str">
        <f t="shared" si="41"/>
        <v>--</v>
      </c>
      <c r="DN46" s="86"/>
      <c r="DO46" s="122"/>
      <c r="DP46" s="88"/>
      <c r="DQ46" s="106"/>
      <c r="DR46" s="112"/>
      <c r="DS46" s="113"/>
      <c r="DT46" s="114"/>
      <c r="DU46" s="115"/>
      <c r="DV46" s="89"/>
      <c r="DW46" s="92" t="s">
        <v>49</v>
      </c>
      <c r="DX46" s="93" t="s">
        <v>137</v>
      </c>
      <c r="DY46" s="125" t="s">
        <v>139</v>
      </c>
      <c r="DZ46" s="93" t="s">
        <v>37</v>
      </c>
      <c r="EA46" s="116" t="s">
        <v>46</v>
      </c>
      <c r="EB46" s="93" t="s">
        <v>51</v>
      </c>
      <c r="EC46" s="117" t="s">
        <v>46</v>
      </c>
      <c r="ED46" s="92">
        <v>2012</v>
      </c>
      <c r="EE46" s="93">
        <f t="shared" si="42"/>
        <v>0</v>
      </c>
      <c r="EF46" s="125" t="str">
        <f t="shared" si="43"/>
        <v>- - -</v>
      </c>
      <c r="EG46" s="93" t="s">
        <v>37</v>
      </c>
      <c r="EH46" s="116" t="s">
        <v>46</v>
      </c>
      <c r="EI46" s="86" t="s">
        <v>51</v>
      </c>
      <c r="EJ46" s="103" t="s">
        <v>46</v>
      </c>
      <c r="EK46" s="118">
        <v>2012</v>
      </c>
      <c r="EL46" s="115"/>
      <c r="EM46" s="119" t="str">
        <f t="shared" si="44"/>
        <v>- - -</v>
      </c>
      <c r="EN46" s="119" t="str">
        <f t="shared" si="45"/>
        <v>---</v>
      </c>
    </row>
    <row r="47" spans="1:144" s="119" customFormat="1" ht="39.75" customHeight="1" x14ac:dyDescent="0.2">
      <c r="A47" s="408">
        <v>789</v>
      </c>
      <c r="B47" s="298">
        <v>31</v>
      </c>
      <c r="C47" s="86"/>
      <c r="D47" s="86" t="str">
        <f t="shared" si="0"/>
        <v>Bà</v>
      </c>
      <c r="E47" s="410" t="s">
        <v>277</v>
      </c>
      <c r="F47" s="411" t="s">
        <v>56</v>
      </c>
      <c r="G47" s="412" t="s">
        <v>136</v>
      </c>
      <c r="H47" s="412" t="s">
        <v>46</v>
      </c>
      <c r="I47" s="412" t="s">
        <v>40</v>
      </c>
      <c r="J47" s="85" t="s">
        <v>46</v>
      </c>
      <c r="K47" s="85" t="s">
        <v>169</v>
      </c>
      <c r="L47" s="85" t="s">
        <v>71</v>
      </c>
      <c r="M47" s="85" t="str">
        <f t="shared" si="1"/>
        <v>NLĐ</v>
      </c>
      <c r="N47" s="85"/>
      <c r="O47" s="85" t="e">
        <f t="shared" si="2"/>
        <v>#N/A</v>
      </c>
      <c r="P47" s="85"/>
      <c r="Q47" s="410" t="e">
        <f>VLOOKUP(P47,'[1]- DLiêu Gốc (Không sửa)'!$C$2:$H$116,2,0)</f>
        <v>#N/A</v>
      </c>
      <c r="R47" s="526" t="s">
        <v>49</v>
      </c>
      <c r="S47" s="413" t="s">
        <v>125</v>
      </c>
      <c r="T47" s="414" t="str">
        <f>VLOOKUP(Y47,'[2]- DLiêu Gốc -'!$C$2:$H$60,5,0)</f>
        <v>C</v>
      </c>
      <c r="U47" s="414" t="str">
        <f>VLOOKUP(Y47,'[2]- DLiêu Gốc -'!$C$2:$H$60,6,0)</f>
        <v>Nhân viên</v>
      </c>
      <c r="V47" s="415" t="s">
        <v>65</v>
      </c>
      <c r="W47" s="416" t="str">
        <f t="shared" si="3"/>
        <v>Nhân viên</v>
      </c>
      <c r="X47" s="417" t="str">
        <f t="shared" si="4"/>
        <v>01.005</v>
      </c>
      <c r="Y47" s="418" t="s">
        <v>138</v>
      </c>
      <c r="Z47" s="417" t="str">
        <f>VLOOKUP(Y47,'[2]- DLiêu Gốc -'!$C$1:$H$133,2,0)</f>
        <v>01.007</v>
      </c>
      <c r="AA47" s="419" t="str">
        <f t="shared" si="5"/>
        <v>Lương</v>
      </c>
      <c r="AB47" s="420">
        <v>6</v>
      </c>
      <c r="AC47" s="355" t="str">
        <f t="shared" si="6"/>
        <v>/</v>
      </c>
      <c r="AD47" s="45">
        <f t="shared" si="7"/>
        <v>12</v>
      </c>
      <c r="AE47" s="421">
        <f t="shared" si="8"/>
        <v>2.5499999999999998</v>
      </c>
      <c r="AF47" s="422"/>
      <c r="AG47" s="45"/>
      <c r="AH47" s="423" t="s">
        <v>37</v>
      </c>
      <c r="AI47" s="424" t="s">
        <v>46</v>
      </c>
      <c r="AJ47" s="425" t="s">
        <v>51</v>
      </c>
      <c r="AK47" s="525" t="s">
        <v>46</v>
      </c>
      <c r="AL47" s="426">
        <v>2016</v>
      </c>
      <c r="AM47" s="427"/>
      <c r="AN47" s="428"/>
      <c r="AO47" s="429">
        <f t="shared" si="46"/>
        <v>7</v>
      </c>
      <c r="AP47" s="430" t="str">
        <f t="shared" si="10"/>
        <v>/</v>
      </c>
      <c r="AQ47" s="431">
        <f t="shared" si="11"/>
        <v>12</v>
      </c>
      <c r="AR47" s="527">
        <f t="shared" si="12"/>
        <v>2.73</v>
      </c>
      <c r="AS47" s="45"/>
      <c r="AT47" s="432" t="s">
        <v>37</v>
      </c>
      <c r="AU47" s="433" t="s">
        <v>46</v>
      </c>
      <c r="AV47" s="434" t="s">
        <v>51</v>
      </c>
      <c r="AW47" s="435" t="s">
        <v>46</v>
      </c>
      <c r="AX47" s="436">
        <v>2018</v>
      </c>
      <c r="AY47" s="439"/>
      <c r="AZ47" s="103"/>
      <c r="BA47" s="94"/>
      <c r="BB47" s="437">
        <f t="shared" si="13"/>
        <v>2</v>
      </c>
      <c r="BC47" s="91">
        <f t="shared" si="14"/>
        <v>-24227</v>
      </c>
      <c r="BD47" s="91">
        <f>VLOOKUP(Y47,'[2]- DLiêu Gốc -'!$C$1:$F$60,3,0)</f>
        <v>1.65</v>
      </c>
      <c r="BE47" s="96">
        <f>VLOOKUP(Y47,'[2]- DLiêu Gốc -'!$C$1:$F$60,4,0)</f>
        <v>0.18</v>
      </c>
      <c r="BF47" s="97" t="str">
        <f t="shared" si="15"/>
        <v>o-o-o</v>
      </c>
      <c r="BG47" s="193"/>
      <c r="BH47" s="99"/>
      <c r="BI47" s="330"/>
      <c r="BJ47" s="192"/>
      <c r="BK47" s="330"/>
      <c r="BL47" s="121"/>
      <c r="BM47" s="95"/>
      <c r="BN47" s="131"/>
      <c r="BO47" s="98"/>
      <c r="BP47" s="409"/>
      <c r="BQ47" s="99"/>
      <c r="BR47" s="330"/>
      <c r="BS47" s="192"/>
      <c r="BT47" s="330"/>
      <c r="BU47" s="121"/>
      <c r="BV47" s="123"/>
      <c r="BW47" s="103"/>
      <c r="BX47" s="438"/>
      <c r="BY47" s="96" t="str">
        <f t="shared" si="16"/>
        <v>- - -</v>
      </c>
      <c r="BZ47" s="87" t="str">
        <f>IF(AND(CV47="Hưu",BG47&gt;3),12-(12*(DB47-BV47)+(DA47-BT47))-BN47,"- - -")</f>
        <v>- - -</v>
      </c>
      <c r="CA47" s="100" t="str">
        <f t="shared" si="18"/>
        <v>Chánh Văn phòng Học viện, Trưởng Ban Tổ chức - Cán bộ, Trưởng Phân viện Học viện Hành chính Quốc gia tại Thành phố Hồ Chí Minh</v>
      </c>
      <c r="CB47" s="101" t="str">
        <f t="shared" si="19"/>
        <v>A</v>
      </c>
      <c r="CC47" s="90" t="str">
        <f t="shared" si="20"/>
        <v>=&gt; s</v>
      </c>
      <c r="CD47" s="86">
        <f t="shared" si="21"/>
        <v>24239</v>
      </c>
      <c r="CE47" s="86" t="str">
        <f t="shared" si="22"/>
        <v>---</v>
      </c>
      <c r="CF47" s="147"/>
      <c r="CG47" s="86"/>
      <c r="CH47" s="102"/>
      <c r="CI47" s="86"/>
      <c r="CJ47" s="103" t="str">
        <f t="shared" si="23"/>
        <v>- - -</v>
      </c>
      <c r="CK47" s="104" t="str">
        <f t="shared" si="24"/>
        <v>- - -</v>
      </c>
      <c r="CL47" s="105"/>
      <c r="CM47" s="104"/>
      <c r="CN47" s="106"/>
      <c r="CO47" s="103"/>
      <c r="CP47" s="104" t="str">
        <f t="shared" si="25"/>
        <v>- - -</v>
      </c>
      <c r="CQ47" s="105"/>
      <c r="CR47" s="104"/>
      <c r="CS47" s="106"/>
      <c r="CT47" s="107"/>
      <c r="CU47" s="132" t="str">
        <f t="shared" si="47"/>
        <v>---</v>
      </c>
      <c r="CV47" s="108" t="str">
        <f t="shared" si="27"/>
        <v>/-/ /-/</v>
      </c>
      <c r="CW47" s="109">
        <f t="shared" si="28"/>
        <v>7</v>
      </c>
      <c r="CX47" s="108">
        <f t="shared" si="29"/>
        <v>2038</v>
      </c>
      <c r="CY47" s="109">
        <f t="shared" si="30"/>
        <v>4</v>
      </c>
      <c r="CZ47" s="108">
        <f t="shared" si="31"/>
        <v>2038</v>
      </c>
      <c r="DA47" s="109">
        <f t="shared" si="32"/>
        <v>1</v>
      </c>
      <c r="DB47" s="110">
        <f t="shared" si="33"/>
        <v>2038</v>
      </c>
      <c r="DC47" s="111" t="str">
        <f t="shared" si="34"/>
        <v>- - -</v>
      </c>
      <c r="DD47" s="111" t="str">
        <f t="shared" si="35"/>
        <v>. .</v>
      </c>
      <c r="DE47" s="90"/>
      <c r="DF47" s="90">
        <f t="shared" si="36"/>
        <v>660</v>
      </c>
      <c r="DG47" s="90">
        <f t="shared" si="37"/>
        <v>-23790</v>
      </c>
      <c r="DH47" s="90">
        <f t="shared" si="38"/>
        <v>-1983</v>
      </c>
      <c r="DI47" s="90" t="str">
        <f t="shared" si="39"/>
        <v>Nữ dưới 30</v>
      </c>
      <c r="DJ47" s="90"/>
      <c r="DK47" s="96"/>
      <c r="DL47" s="104" t="str">
        <f t="shared" si="40"/>
        <v>Đến 30</v>
      </c>
      <c r="DM47" s="88" t="str">
        <f t="shared" si="41"/>
        <v>--</v>
      </c>
      <c r="DN47" s="86"/>
      <c r="DO47" s="122"/>
      <c r="DP47" s="88"/>
      <c r="DQ47" s="106"/>
      <c r="DR47" s="112"/>
      <c r="DS47" s="113"/>
      <c r="DT47" s="114"/>
      <c r="DU47" s="115"/>
      <c r="DV47" s="89"/>
      <c r="DW47" s="92" t="s">
        <v>49</v>
      </c>
      <c r="DX47" s="93" t="s">
        <v>137</v>
      </c>
      <c r="DY47" s="125" t="s">
        <v>139</v>
      </c>
      <c r="DZ47" s="93" t="s">
        <v>37</v>
      </c>
      <c r="EA47" s="116" t="s">
        <v>46</v>
      </c>
      <c r="EB47" s="93" t="s">
        <v>51</v>
      </c>
      <c r="EC47" s="117" t="s">
        <v>46</v>
      </c>
      <c r="ED47" s="92">
        <v>2012</v>
      </c>
      <c r="EE47" s="93">
        <f t="shared" si="42"/>
        <v>0</v>
      </c>
      <c r="EF47" s="125" t="str">
        <f t="shared" si="43"/>
        <v>- - -</v>
      </c>
      <c r="EG47" s="93" t="s">
        <v>37</v>
      </c>
      <c r="EH47" s="116" t="s">
        <v>46</v>
      </c>
      <c r="EI47" s="86" t="s">
        <v>51</v>
      </c>
      <c r="EJ47" s="103" t="s">
        <v>46</v>
      </c>
      <c r="EK47" s="118">
        <v>2012</v>
      </c>
      <c r="EL47" s="115"/>
      <c r="EM47" s="119" t="str">
        <f t="shared" si="44"/>
        <v>- - -</v>
      </c>
      <c r="EN47" s="119" t="str">
        <f t="shared" si="45"/>
        <v>---</v>
      </c>
    </row>
    <row r="48" spans="1:144" s="119" customFormat="1" ht="39.75" customHeight="1" x14ac:dyDescent="0.2">
      <c r="A48" s="408">
        <v>793</v>
      </c>
      <c r="B48" s="298">
        <v>32</v>
      </c>
      <c r="C48" s="86"/>
      <c r="D48" s="86" t="str">
        <f t="shared" si="0"/>
        <v>Ông</v>
      </c>
      <c r="E48" s="410" t="s">
        <v>278</v>
      </c>
      <c r="F48" s="411" t="s">
        <v>55</v>
      </c>
      <c r="G48" s="412" t="s">
        <v>50</v>
      </c>
      <c r="H48" s="412" t="s">
        <v>46</v>
      </c>
      <c r="I48" s="412" t="s">
        <v>40</v>
      </c>
      <c r="J48" s="85" t="s">
        <v>46</v>
      </c>
      <c r="K48" s="85" t="s">
        <v>202</v>
      </c>
      <c r="L48" s="85" t="s">
        <v>71</v>
      </c>
      <c r="M48" s="85" t="str">
        <f t="shared" si="1"/>
        <v>NLĐ</v>
      </c>
      <c r="N48" s="85"/>
      <c r="O48" s="85" t="e">
        <f t="shared" si="2"/>
        <v>#N/A</v>
      </c>
      <c r="P48" s="85"/>
      <c r="Q48" s="410" t="e">
        <f>VLOOKUP(P48,'[1]- DLiêu Gốc (Không sửa)'!$C$2:$H$116,2,0)</f>
        <v>#N/A</v>
      </c>
      <c r="R48" s="526" t="s">
        <v>49</v>
      </c>
      <c r="S48" s="413" t="s">
        <v>125</v>
      </c>
      <c r="T48" s="414" t="str">
        <f>VLOOKUP(Y48,'[2]- DLiêu Gốc -'!$C$2:$H$60,5,0)</f>
        <v>C</v>
      </c>
      <c r="U48" s="414" t="str">
        <f>VLOOKUP(Y48,'[2]- DLiêu Gốc -'!$C$2:$H$60,6,0)</f>
        <v>Nhân viên</v>
      </c>
      <c r="V48" s="415" t="s">
        <v>65</v>
      </c>
      <c r="W48" s="416" t="str">
        <f t="shared" si="3"/>
        <v>Nhân viên</v>
      </c>
      <c r="X48" s="417" t="str">
        <f t="shared" si="4"/>
        <v>01.005</v>
      </c>
      <c r="Y48" s="418" t="s">
        <v>138</v>
      </c>
      <c r="Z48" s="417" t="str">
        <f>VLOOKUP(Y48,'[2]- DLiêu Gốc -'!$C$1:$H$133,2,0)</f>
        <v>01.007</v>
      </c>
      <c r="AA48" s="419" t="str">
        <f t="shared" si="5"/>
        <v>Lương</v>
      </c>
      <c r="AB48" s="420">
        <v>6</v>
      </c>
      <c r="AC48" s="355" t="str">
        <f t="shared" si="6"/>
        <v>/</v>
      </c>
      <c r="AD48" s="45">
        <f t="shared" si="7"/>
        <v>12</v>
      </c>
      <c r="AE48" s="421">
        <f t="shared" si="8"/>
        <v>2.5499999999999998</v>
      </c>
      <c r="AF48" s="422"/>
      <c r="AG48" s="45"/>
      <c r="AH48" s="423" t="s">
        <v>37</v>
      </c>
      <c r="AI48" s="424" t="s">
        <v>46</v>
      </c>
      <c r="AJ48" s="425" t="s">
        <v>51</v>
      </c>
      <c r="AK48" s="525" t="s">
        <v>46</v>
      </c>
      <c r="AL48" s="426">
        <v>2016</v>
      </c>
      <c r="AM48" s="427"/>
      <c r="AN48" s="428"/>
      <c r="AO48" s="429">
        <f t="shared" si="46"/>
        <v>7</v>
      </c>
      <c r="AP48" s="430" t="str">
        <f t="shared" si="10"/>
        <v>/</v>
      </c>
      <c r="AQ48" s="431">
        <f t="shared" si="11"/>
        <v>12</v>
      </c>
      <c r="AR48" s="527">
        <f t="shared" si="12"/>
        <v>2.73</v>
      </c>
      <c r="AS48" s="45"/>
      <c r="AT48" s="432" t="s">
        <v>37</v>
      </c>
      <c r="AU48" s="433" t="s">
        <v>46</v>
      </c>
      <c r="AV48" s="434" t="s">
        <v>51</v>
      </c>
      <c r="AW48" s="435" t="s">
        <v>46</v>
      </c>
      <c r="AX48" s="436">
        <v>2018</v>
      </c>
      <c r="AY48" s="439"/>
      <c r="AZ48" s="103"/>
      <c r="BA48" s="94"/>
      <c r="BB48" s="437">
        <f t="shared" si="13"/>
        <v>2</v>
      </c>
      <c r="BC48" s="91">
        <f t="shared" si="14"/>
        <v>-24227</v>
      </c>
      <c r="BD48" s="91">
        <f>VLOOKUP(Y48,'[2]- DLiêu Gốc -'!$C$1:$F$60,3,0)</f>
        <v>1.65</v>
      </c>
      <c r="BE48" s="96">
        <f>VLOOKUP(Y48,'[2]- DLiêu Gốc -'!$C$1:$F$60,4,0)</f>
        <v>0.18</v>
      </c>
      <c r="BF48" s="97" t="str">
        <f t="shared" si="15"/>
        <v>o-o-o</v>
      </c>
      <c r="BG48" s="193"/>
      <c r="BH48" s="99"/>
      <c r="BI48" s="330"/>
      <c r="BJ48" s="192"/>
      <c r="BK48" s="330"/>
      <c r="BL48" s="121"/>
      <c r="BM48" s="95"/>
      <c r="BN48" s="131"/>
      <c r="BO48" s="98"/>
      <c r="BP48" s="409"/>
      <c r="BQ48" s="99"/>
      <c r="BR48" s="330"/>
      <c r="BS48" s="192"/>
      <c r="BT48" s="330"/>
      <c r="BU48" s="121"/>
      <c r="BV48" s="123"/>
      <c r="BW48" s="103"/>
      <c r="BX48" s="438"/>
      <c r="BY48" s="96" t="str">
        <f t="shared" si="16"/>
        <v>- - -</v>
      </c>
      <c r="BZ48" s="87" t="str">
        <f>IF(AND(CV48="Hưu",BG48&gt;3),12-(12*(DB48-BV48)+(DA48-BT48))-BN48,"- - -")</f>
        <v>- - -</v>
      </c>
      <c r="CA48" s="100" t="str">
        <f t="shared" si="18"/>
        <v>Chánh Văn phòng Học viện, Trưởng Ban Tổ chức - Cán bộ, Trưởng Phân viện Học viện Hành chính Quốc gia tại Thành phố Hồ Chí Minh</v>
      </c>
      <c r="CB48" s="101" t="str">
        <f t="shared" si="19"/>
        <v>A</v>
      </c>
      <c r="CC48" s="90" t="str">
        <f t="shared" si="20"/>
        <v>=&gt; s</v>
      </c>
      <c r="CD48" s="86">
        <f t="shared" si="21"/>
        <v>24239</v>
      </c>
      <c r="CE48" s="86" t="str">
        <f t="shared" si="22"/>
        <v>---</v>
      </c>
      <c r="CF48" s="147"/>
      <c r="CG48" s="86"/>
      <c r="CH48" s="102"/>
      <c r="CI48" s="86"/>
      <c r="CJ48" s="103" t="str">
        <f t="shared" si="23"/>
        <v>- - -</v>
      </c>
      <c r="CK48" s="104" t="str">
        <f t="shared" si="24"/>
        <v>- - -</v>
      </c>
      <c r="CL48" s="105"/>
      <c r="CM48" s="104"/>
      <c r="CN48" s="106"/>
      <c r="CO48" s="103"/>
      <c r="CP48" s="104" t="str">
        <f t="shared" si="25"/>
        <v>- - -</v>
      </c>
      <c r="CQ48" s="105"/>
      <c r="CR48" s="104"/>
      <c r="CS48" s="106"/>
      <c r="CT48" s="107"/>
      <c r="CU48" s="132" t="str">
        <f t="shared" si="47"/>
        <v>---</v>
      </c>
      <c r="CV48" s="108" t="str">
        <f t="shared" si="27"/>
        <v>/-/ /-/</v>
      </c>
      <c r="CW48" s="109">
        <f t="shared" si="28"/>
        <v>7</v>
      </c>
      <c r="CX48" s="108">
        <f t="shared" si="29"/>
        <v>2038</v>
      </c>
      <c r="CY48" s="109">
        <f t="shared" si="30"/>
        <v>4</v>
      </c>
      <c r="CZ48" s="108">
        <f t="shared" si="31"/>
        <v>2038</v>
      </c>
      <c r="DA48" s="109">
        <f t="shared" si="32"/>
        <v>1</v>
      </c>
      <c r="DB48" s="110">
        <f t="shared" si="33"/>
        <v>2038</v>
      </c>
      <c r="DC48" s="111" t="str">
        <f t="shared" si="34"/>
        <v>- - -</v>
      </c>
      <c r="DD48" s="111" t="str">
        <f t="shared" si="35"/>
        <v>. .</v>
      </c>
      <c r="DE48" s="90"/>
      <c r="DF48" s="90">
        <f t="shared" si="36"/>
        <v>720</v>
      </c>
      <c r="DG48" s="90">
        <f t="shared" si="37"/>
        <v>-23730</v>
      </c>
      <c r="DH48" s="90">
        <f t="shared" si="38"/>
        <v>-1978</v>
      </c>
      <c r="DI48" s="90" t="str">
        <f t="shared" si="39"/>
        <v>Nam dưới 35</v>
      </c>
      <c r="DJ48" s="90"/>
      <c r="DK48" s="96"/>
      <c r="DL48" s="104" t="str">
        <f t="shared" si="40"/>
        <v>Đến 30</v>
      </c>
      <c r="DM48" s="88" t="str">
        <f t="shared" si="41"/>
        <v>--</v>
      </c>
      <c r="DN48" s="86"/>
      <c r="DO48" s="122"/>
      <c r="DP48" s="88"/>
      <c r="DQ48" s="106"/>
      <c r="DR48" s="112"/>
      <c r="DS48" s="113"/>
      <c r="DT48" s="114"/>
      <c r="DU48" s="115"/>
      <c r="DV48" s="89"/>
      <c r="DW48" s="92" t="s">
        <v>49</v>
      </c>
      <c r="DX48" s="93" t="s">
        <v>137</v>
      </c>
      <c r="DY48" s="125" t="s">
        <v>139</v>
      </c>
      <c r="DZ48" s="93" t="s">
        <v>37</v>
      </c>
      <c r="EA48" s="116" t="s">
        <v>46</v>
      </c>
      <c r="EB48" s="93" t="s">
        <v>51</v>
      </c>
      <c r="EC48" s="117" t="s">
        <v>46</v>
      </c>
      <c r="ED48" s="92">
        <v>2012</v>
      </c>
      <c r="EE48" s="93">
        <f t="shared" si="42"/>
        <v>0</v>
      </c>
      <c r="EF48" s="125" t="str">
        <f t="shared" si="43"/>
        <v>- - -</v>
      </c>
      <c r="EG48" s="93" t="s">
        <v>37</v>
      </c>
      <c r="EH48" s="116" t="s">
        <v>46</v>
      </c>
      <c r="EI48" s="86" t="s">
        <v>51</v>
      </c>
      <c r="EJ48" s="103" t="s">
        <v>46</v>
      </c>
      <c r="EK48" s="118">
        <v>2012</v>
      </c>
      <c r="EL48" s="115"/>
      <c r="EM48" s="119" t="str">
        <f t="shared" si="44"/>
        <v>- - -</v>
      </c>
      <c r="EN48" s="119" t="str">
        <f t="shared" si="45"/>
        <v>---</v>
      </c>
    </row>
    <row r="49" spans="1:219" s="284" customFormat="1" ht="39" customHeight="1" x14ac:dyDescent="0.2">
      <c r="A49" s="260"/>
      <c r="B49" s="261" t="s">
        <v>153</v>
      </c>
      <c r="C49" s="261"/>
      <c r="D49" s="262"/>
      <c r="E49" s="262" t="s">
        <v>303</v>
      </c>
      <c r="F49" s="263"/>
      <c r="G49" s="264"/>
      <c r="H49" s="264"/>
      <c r="I49" s="264"/>
      <c r="J49" s="265"/>
      <c r="K49" s="265"/>
      <c r="L49" s="265"/>
      <c r="M49" s="265"/>
      <c r="N49" s="265"/>
      <c r="O49" s="265"/>
      <c r="P49" s="265"/>
      <c r="Q49" s="262"/>
      <c r="R49" s="266"/>
      <c r="S49" s="267"/>
      <c r="T49" s="268"/>
      <c r="U49" s="268"/>
      <c r="V49" s="269"/>
      <c r="W49" s="339"/>
      <c r="X49" s="300"/>
      <c r="Y49" s="301"/>
      <c r="Z49" s="302"/>
      <c r="AA49" s="303"/>
      <c r="AB49" s="293"/>
      <c r="AC49" s="307"/>
      <c r="AD49" s="294"/>
      <c r="AE49" s="299"/>
      <c r="AF49" s="297"/>
      <c r="AG49" s="294"/>
      <c r="AH49" s="305"/>
      <c r="AI49" s="310"/>
      <c r="AJ49" s="306"/>
      <c r="AK49" s="316"/>
      <c r="AL49" s="317"/>
      <c r="AM49" s="345"/>
      <c r="AN49" s="346"/>
      <c r="AO49" s="318"/>
      <c r="AP49" s="311"/>
      <c r="AQ49" s="321"/>
      <c r="AR49" s="297"/>
      <c r="AS49" s="307"/>
      <c r="AT49" s="295"/>
      <c r="AU49" s="309"/>
      <c r="AV49" s="332"/>
      <c r="AW49" s="315"/>
      <c r="AX49" s="296"/>
      <c r="AY49" s="528"/>
      <c r="AZ49" s="271"/>
      <c r="BA49" s="272"/>
      <c r="BB49" s="272"/>
      <c r="BC49" s="265"/>
      <c r="BD49" s="273"/>
      <c r="BE49" s="274"/>
      <c r="BF49" s="274"/>
      <c r="BG49" s="261"/>
      <c r="BH49" s="339"/>
      <c r="BI49" s="339"/>
      <c r="BJ49" s="274"/>
      <c r="BK49" s="275"/>
      <c r="BL49" s="270"/>
      <c r="BM49" s="276"/>
      <c r="BN49" s="277"/>
      <c r="BO49" s="277"/>
      <c r="BP49" s="277"/>
      <c r="BQ49" s="277"/>
      <c r="BR49" s="277"/>
      <c r="BS49" s="274"/>
      <c r="BT49" s="278"/>
      <c r="BU49" s="279"/>
      <c r="BV49" s="274"/>
      <c r="BW49" s="261"/>
      <c r="BX49" s="265"/>
      <c r="BY49" s="280"/>
      <c r="BZ49" s="281"/>
      <c r="CA49" s="260"/>
      <c r="CB49" s="282"/>
      <c r="CC49" s="282"/>
      <c r="CD49" s="260"/>
      <c r="CE49" s="283"/>
      <c r="CF49" s="260"/>
      <c r="CG49" s="260"/>
      <c r="CX49" s="285"/>
      <c r="CY49" s="286"/>
      <c r="CZ49" s="287"/>
      <c r="DA49" s="260"/>
      <c r="DB49" s="288"/>
      <c r="DC49" s="288"/>
      <c r="DD49" s="288"/>
      <c r="DE49" s="288"/>
      <c r="DF49" s="289"/>
      <c r="DG49" s="290"/>
      <c r="DH49" s="290"/>
      <c r="DI49" s="288"/>
      <c r="DJ49" s="291"/>
      <c r="DK49" s="290"/>
      <c r="DL49" s="292"/>
      <c r="DM49" s="292"/>
    </row>
    <row r="50" spans="1:219" s="119" customFormat="1" ht="39.75" customHeight="1" x14ac:dyDescent="0.2">
      <c r="A50" s="408">
        <v>282</v>
      </c>
      <c r="B50" s="298">
        <v>33</v>
      </c>
      <c r="C50" s="86"/>
      <c r="D50" s="86" t="str">
        <f>IF(F50="Nam","Ông","Bà")</f>
        <v>Ông</v>
      </c>
      <c r="E50" s="410" t="s">
        <v>229</v>
      </c>
      <c r="F50" s="411" t="s">
        <v>55</v>
      </c>
      <c r="G50" s="412" t="s">
        <v>158</v>
      </c>
      <c r="H50" s="412" t="s">
        <v>46</v>
      </c>
      <c r="I50" s="412" t="s">
        <v>43</v>
      </c>
      <c r="J50" s="85" t="s">
        <v>46</v>
      </c>
      <c r="K50" s="85" t="s">
        <v>230</v>
      </c>
      <c r="L50" s="85" t="s">
        <v>73</v>
      </c>
      <c r="M50" s="85" t="str">
        <f>IF(L50="công chức","CC",IF(L50="viên chức","VC",IF(L50="người lao động","NLĐ","- - -")))</f>
        <v>VC</v>
      </c>
      <c r="N50" s="85"/>
      <c r="O50" s="85" t="str">
        <f>IF(AND((Q50+0)&gt;0.3,(Q50+0)&lt;1.5),"CVụ","- -")</f>
        <v>CVụ</v>
      </c>
      <c r="P50" s="85" t="s">
        <v>231</v>
      </c>
      <c r="Q50" s="410">
        <f>VLOOKUP(P50,'[2]- DLiêu Gốc -'!$C$2:$H$115,2,0)</f>
        <v>1</v>
      </c>
      <c r="R50" s="526"/>
      <c r="S50" s="413" t="s">
        <v>121</v>
      </c>
      <c r="T50" s="414" t="str">
        <f>VLOOKUP(Y50,'[2]- DLiêu Gốc -'!$C$2:$H$60,5,0)</f>
        <v>A3</v>
      </c>
      <c r="U50" s="414" t="str">
        <f>VLOOKUP(Y50,'[2]- DLiêu Gốc -'!$C$2:$H$60,6,0)</f>
        <v>A3.1</v>
      </c>
      <c r="V50" s="415" t="s">
        <v>64</v>
      </c>
      <c r="W50" s="416" t="str">
        <f>IF(OR(Y50="Kỹ thuật viên đánh máy",Y50="Nhân viên đánh máy",Y50="Nhân viên kỹ thuật",Y50="Nhân viên văn thư",Y50="Nhân viên phục vụ",Y50="Lái xe cơ quan",Y50="Nhân viên bảo vệ"),"Nhân viên",Y50)</f>
        <v>Giảng viên cao cấp (hạng I)</v>
      </c>
      <c r="X50" s="417" t="str">
        <f>IF(W50="Nhân viên","01.005",Z50)</f>
        <v>V.07.01.01</v>
      </c>
      <c r="Y50" s="418" t="s">
        <v>66</v>
      </c>
      <c r="Z50" s="417" t="str">
        <f>VLOOKUP(Y50,'[2]- DLiêu Gốc -'!$C$1:$H$133,2,0)</f>
        <v>V.07.01.01</v>
      </c>
      <c r="AA50" s="419" t="str">
        <f>IF(OR(AND(BC50=36,BB50=3),AND(BC50=24,BB50=2),AND(BC50=12,BB50=1)),"Đến $",IF(OR(AND(BC50&gt;36,BB50=3),AND(BC50&gt;24,BB50=2),AND(BC50&gt;12,BB50=1)),"Dừng $","Lương"))</f>
        <v>Lương</v>
      </c>
      <c r="AB50" s="420">
        <v>6</v>
      </c>
      <c r="AC50" s="355" t="str">
        <f>IF(AD50&gt;0,"/")</f>
        <v>/</v>
      </c>
      <c r="AD50" s="45">
        <f>IF(OR(BE50=0.18,BE50=0.2),12,IF(BE50=0.31,10,IF(BE50=0.33,9,IF(BE50=0.34,8,IF(BE50=0.36,6)))))</f>
        <v>6</v>
      </c>
      <c r="AE50" s="421">
        <f>BD50+(AB50-1)*BE50</f>
        <v>8</v>
      </c>
      <c r="AF50" s="422"/>
      <c r="AG50" s="45"/>
      <c r="AH50" s="423" t="s">
        <v>37</v>
      </c>
      <c r="AI50" s="424" t="s">
        <v>46</v>
      </c>
      <c r="AJ50" s="425" t="s">
        <v>51</v>
      </c>
      <c r="AK50" s="525" t="s">
        <v>46</v>
      </c>
      <c r="AL50" s="426">
        <v>2015</v>
      </c>
      <c r="AM50" s="427"/>
      <c r="AN50" s="428"/>
      <c r="AO50" s="429"/>
      <c r="AP50" s="430"/>
      <c r="AQ50" s="431"/>
      <c r="AR50" s="297">
        <f>IF(AND(AD50=AB50,AF50=0),5,IF(AND(AD50=AB50,AF50&gt;4),AF50+1,IF(AD50&gt;AB50,AD50)))</f>
        <v>5</v>
      </c>
      <c r="AS50" s="294" t="str">
        <f>IF(AD50=AB50,"%",IF(AD50&gt;AB50,AE50+BE50))</f>
        <v>%</v>
      </c>
      <c r="AT50" s="432" t="s">
        <v>37</v>
      </c>
      <c r="AU50" s="433" t="s">
        <v>46</v>
      </c>
      <c r="AV50" s="434" t="s">
        <v>51</v>
      </c>
      <c r="AW50" s="435" t="s">
        <v>46</v>
      </c>
      <c r="AX50" s="436">
        <v>2018</v>
      </c>
      <c r="AY50" s="439"/>
      <c r="AZ50" s="103"/>
      <c r="BA50" s="94"/>
      <c r="BB50" s="437">
        <f>IF(AND(AD50&gt;AB50,OR(BE50=0.18,BE50=0.2)),2,IF(AND(AD50&gt;AB50,OR(BE50=0.31,BE50=0.33,BE50=0.34,BE50=0.36)),3,IF(AD50=AB50,1)))</f>
        <v>1</v>
      </c>
      <c r="BC50" s="91">
        <f>12*($AA$2-AX50)+($AA$3-AV50)-AM50</f>
        <v>-24227</v>
      </c>
      <c r="BD50" s="91">
        <f>VLOOKUP(Y50,'[2]- DLiêu Gốc -'!$C$1:$F$60,3,0)</f>
        <v>6.2</v>
      </c>
      <c r="BE50" s="96">
        <f>VLOOKUP(Y50,'[2]- DLiêu Gốc -'!$C$1:$F$60,4,0)</f>
        <v>0.36</v>
      </c>
      <c r="BF50" s="97" t="str">
        <f>IF(AND(BG50&gt;3,BY50=12),"Đến %",IF(AND(BG50&gt;3,BY50&gt;12,BY50&lt;120),"Dừng %",IF(AND(BG50&gt;3,BY50&lt;12),"PCTN","o-o-o")))</f>
        <v>PCTN</v>
      </c>
      <c r="BG50" s="193">
        <v>43</v>
      </c>
      <c r="BH50" s="99" t="s">
        <v>35</v>
      </c>
      <c r="BI50" s="330" t="s">
        <v>37</v>
      </c>
      <c r="BJ50" s="192" t="s">
        <v>46</v>
      </c>
      <c r="BK50" s="330">
        <v>4</v>
      </c>
      <c r="BL50" s="121" t="s">
        <v>46</v>
      </c>
      <c r="BM50" s="95">
        <v>2017</v>
      </c>
      <c r="BN50" s="131"/>
      <c r="BO50" s="98"/>
      <c r="BP50" s="409">
        <f>IF(BG50&gt;3,BG50+1,0)</f>
        <v>44</v>
      </c>
      <c r="BQ50" s="99" t="s">
        <v>35</v>
      </c>
      <c r="BR50" s="330" t="s">
        <v>37</v>
      </c>
      <c r="BS50" s="192" t="s">
        <v>46</v>
      </c>
      <c r="BT50" s="330">
        <v>4</v>
      </c>
      <c r="BU50" s="121" t="s">
        <v>46</v>
      </c>
      <c r="BV50" s="123">
        <v>2018</v>
      </c>
      <c r="BW50" s="103"/>
      <c r="BX50" s="438">
        <v>4</v>
      </c>
      <c r="BY50" s="96">
        <f>IF(BG50&gt;3,(($BF$2-BV50)*12+($BF$3-BT50)-BN50),"- - -")</f>
        <v>-24220</v>
      </c>
      <c r="BZ50" s="87" t="str">
        <f>IF(AND(CV50="Hưu",BG50&gt;3),12-(12*(DB50-BV50)+(DA50-BT50))-BN50,"- - -")</f>
        <v>- - -</v>
      </c>
      <c r="CA50" s="100" t="str">
        <f>IF(OR(S50="Ban Tổ chức - Cán bộ",S50="Văn phòng Học viện",S50="Phó Giám đốc Thường trực Học viện",S50="Phó Giám đốc Học viện"),"Chánh Văn phòng Học viện, Trưởng Ban Tổ chức - Cán bộ",IF(OR(S50="Trung tâm Ngoại ngữ",S50="Trung tâm Tin học hành chính và Công nghệ thông tin",S50="Trung tâm Tin học - Thư viện",S50="Phân viện khu vực Tây Nguyên"),"Chánh Văn phòng Học viện, Trưởng Ban Tổ chức - Cán bộ, "&amp;CONCATENATE("Giám đốc ",S50),IF(S50="Tạp chí Quản lý nhà nước","Chánh Văn phòng Học viện, Trưởng Ban Tổ chức - Cán bộ, "&amp;CONCATENATE("Tổng Biên tập ",S50),IF(S50="Văn phòng Đảng uỷ Học viện","Chánh Văn phòng Học viện, Trưởng Ban Tổ chức - Cán bộ, "&amp;CONCATENATE("Chánh",S50),IF(S50="Viện Nghiên cứu Khoa học hành chính","Chánh Văn phòng Học viện, Trưởng Ban Tổ chức - Cán bộ, "&amp;CONCATENATE("Viện Trưởng ",S50),IF(OR(S50="Cơ sở Học viện Hành chính Quốc gia khu vực miền Trung",S50="Cơ sở Học viện Hành chính Quốc gia tại Thành phố Hồ Chí Minh"),"Chánh Văn phòng Học viện, Trưởng Ban Tổ chức - Cán bộ, "&amp;CONCATENATE("Thủ trưởng ",S50),"Chánh Văn phòng Học viện, Trưởng Ban Tổ chức - Cán bộ, "&amp;CONCATENATE("Trưởng ",S50)))))))</f>
        <v>Chánh Văn phòng Học viện, Trưởng Ban Tổ chức - Cán bộ, Trưởng Khoa Quản lý nhà nước về Xã hội</v>
      </c>
      <c r="CB50" s="101" t="str">
        <f>IF(S50="Cơ sở Học viện Hành chính khu vực miền Trung","B",IF(S50="Phân viện Khu vực Tây Nguyên","C",IF(S50="Cơ sở Học viện Hành chính tại thành phố Hồ Chí Minh","D","A")))</f>
        <v>A</v>
      </c>
      <c r="CC50" s="90" t="str">
        <f>IF(AND(AO50&gt;0,AB50&lt;(AD50-1),CD50&gt;0,CD50&lt;13,OR(AND(CJ50="Cùg Ng",($CC$2-CF50)&gt;BB50),CJ50="- - -")),"Sớm TT","=&gt; s")</f>
        <v>=&gt; s</v>
      </c>
      <c r="CD50" s="86" t="str">
        <f>IF(BB50=3,36-(12*($CC$2-AX50)+(12-AV50)-AM50),IF(BB50=2,24-(12*($CC$2-AX50)+(12-AV50)-AM50),"---"))</f>
        <v>---</v>
      </c>
      <c r="CE50" s="86" t="str">
        <f>IF(CF50&gt;1,"S","---")</f>
        <v>S</v>
      </c>
      <c r="CF50" s="147">
        <v>2015</v>
      </c>
      <c r="CG50" s="86"/>
      <c r="CH50" s="102"/>
      <c r="CI50" s="86"/>
      <c r="CJ50" s="103" t="str">
        <f>IF(X50=CG50,"Cùg Ng","- - -")</f>
        <v>- - -</v>
      </c>
      <c r="CK50" s="104" t="str">
        <f>IF(CM50&gt;2000,"NN","- - -")</f>
        <v>NN</v>
      </c>
      <c r="CL50" s="105">
        <v>1</v>
      </c>
      <c r="CM50" s="104">
        <v>2009</v>
      </c>
      <c r="CN50" s="106"/>
      <c r="CO50" s="103"/>
      <c r="CP50" s="104" t="str">
        <f>IF(CR50&gt;2000,"CN","- - -")</f>
        <v>- - -</v>
      </c>
      <c r="CQ50" s="105"/>
      <c r="CR50" s="104"/>
      <c r="CS50" s="106"/>
      <c r="CT50" s="107"/>
      <c r="CU50" s="132" t="str">
        <f>IF(AND(CV50="Hưu",AB50&lt;(AD50-1),DC50&gt;0,DC50&lt;18,OR(BG50&lt;4,AND(BG50&gt;3,OR(BZ50&lt;3,BZ50&gt;5)))),"Lg Sớm",IF(AND(CV50="Hưu",AB50&gt;(AD50-2),OR(BE50=0.33,BE50=0.34),OR(BG50&lt;4,AND(BG50&gt;3,OR(BZ50&lt;3,BZ50&gt;5)))),"Nâng Ngạch",IF(AND(CV50="Hưu",BB50=1,DC50&gt;2,DC50&lt;6,OR(BG50&lt;4,AND(BG50&gt;3,OR(BZ50&lt;3,BZ50&gt;5)))),"Nâng PcVK cùng QĐ",IF(AND(CV50="Hưu",BG50&gt;3,BZ50&gt;2,BZ50&lt;6,AB50&lt;(AD50-1),DC50&gt;17,OR(BB50&gt;1,AND(BB50=1,OR(DC50&lt;3,DC50&gt;5)))),"Nâng PcNG cùng QĐ",IF(AND(CV50="Hưu",AB50&lt;(AD50-1),DC50&gt;0,DC50&lt;18,BG50&gt;3,BZ50&gt;2,BZ50&lt;6),"Nâng Lg Sớm +(PcNG cùng QĐ)",IF(AND(CV50="Hưu",AB50&gt;(AD50-2),OR(BE50=0.33,BE50=0.34),BG50&gt;3,BZ50&gt;2,BZ50&lt;6),"Nâng Ngạch +(PcNG cùng QĐ)",IF(AND(CV50="Hưu",BB50=1,DC50&gt;2,DC50&lt;6,BG50&gt;3,BZ50&gt;2,BZ50&lt;6),"Nâng (PcVK +PcNG) cùng QĐ",("---"))))))))</f>
        <v>---</v>
      </c>
      <c r="CV50" s="108" t="str">
        <f>IF(AND(DG50&gt;DF50,DG50&lt;(DF50+13)),"Hưu",IF(AND(DG50&gt;(DF50+12),DG50&lt;1000),"Quá","/-/ /-/"))</f>
        <v>/-/ /-/</v>
      </c>
      <c r="CW50" s="109">
        <f>IF((I50+0)&lt;12,(I50+0)+1,IF((I50+0)=12,1,IF((I50+0)&gt;12,(I50+0)-12)))</f>
        <v>8</v>
      </c>
      <c r="CX50" s="108">
        <f>IF(OR((I50+0)=12,(I50+0)&gt;12),K50+DF50/12+1,IF(AND((I50+0)&gt;0,(I50+0)&lt;12),K50+DF50/12,"---"))</f>
        <v>2024</v>
      </c>
      <c r="CY50" s="109">
        <f>IF(AND(CW50&gt;3,CW50&lt;13),CW50-3,IF(CW50&lt;4,CW50-3+12))</f>
        <v>5</v>
      </c>
      <c r="CZ50" s="108">
        <f>IF(CY50&lt;CW50,CX50,IF(CY50&gt;CW50,CX50-1))</f>
        <v>2024</v>
      </c>
      <c r="DA50" s="109">
        <f>IF(CW50&gt;6,CW50-6,IF(CW50=6,12,IF(CW50&lt;6,CW50+6)))</f>
        <v>2</v>
      </c>
      <c r="DB50" s="110">
        <f>IF(CW50&gt;6,CX50,IF(CW50&lt;7,CX50-1))</f>
        <v>2024</v>
      </c>
      <c r="DC50" s="111" t="str">
        <f>IF(AND(CV50="Hưu",BB50=3),36+AM50-(12*(DB50-AX50)+(DA50-AV50)),IF(AND(CV50="Hưu",BB50=2),24+AM50-(12*(DB50-AX50)+(DA50-AV50)),IF(AND(CV50="Hưu",BB50=1),12+AM50-(12*(DB50-AX50)+(DA50-AV50)),"- - -")))</f>
        <v>- - -</v>
      </c>
      <c r="DD50" s="111" t="str">
        <f>IF(DE50&gt;0,"K.Dài",". .")</f>
        <v>K.Dài</v>
      </c>
      <c r="DE50" s="90">
        <v>7</v>
      </c>
      <c r="DF50" s="90">
        <f>IF(F50="Nam",(60+DE50)*12,IF(F50="Nữ",(55+DE50)*12,))</f>
        <v>804</v>
      </c>
      <c r="DG50" s="90">
        <f>12*($CV$4-K50)+(12-I50)</f>
        <v>-23479</v>
      </c>
      <c r="DH50" s="90">
        <f>$DL$4-K50</f>
        <v>-1957</v>
      </c>
      <c r="DI50" s="90" t="str">
        <f>IF(AND(DH50&lt;35,F50="Nam"),"Nam dưới 35",IF(AND(DH50&lt;30,F50="Nữ"),"Nữ dưới 30",IF(AND(DH50&gt;34,DH50&lt;46,F50="Nam"),"Nam từ 35 - 45",IF(AND(DH50&gt;29,DH50&lt;41,F50="Nữ"),"Nữ từ 30 - 40",IF(AND(DH50&gt;45,DH50&lt;56,F50="Nam"),"Nam trên 45 - 55",IF(AND(DH50&gt;40,DH50&lt;51,F50="Nữ"),"Nữ trên 40 - 50",IF(AND(DH50&gt;55,F50="Nam"),"Nam trên 55","Nữ trên 50")))))))</f>
        <v>Nam dưới 35</v>
      </c>
      <c r="DJ50" s="90"/>
      <c r="DK50" s="96"/>
      <c r="DL50" s="104" t="str">
        <f>IF(DH50&lt;31,"Đến 30",IF(AND(DH50&gt;30,DH50&lt;46),"31 - 45",IF(AND(DH50&gt;45,DH50&lt;70),"Trên 45")))</f>
        <v>Đến 30</v>
      </c>
      <c r="DM50" s="88" t="str">
        <f>IF(DN50&gt;0,"TD","--")</f>
        <v>--</v>
      </c>
      <c r="DN50" s="86"/>
      <c r="DO50" s="122"/>
      <c r="DP50" s="88"/>
      <c r="DQ50" s="106"/>
      <c r="DR50" s="112" t="s">
        <v>232</v>
      </c>
      <c r="DS50" s="113">
        <v>6</v>
      </c>
      <c r="DT50" s="114" t="s">
        <v>54</v>
      </c>
      <c r="DU50" s="115"/>
      <c r="DV50" s="89"/>
      <c r="DW50" s="92"/>
      <c r="DX50" s="93" t="s">
        <v>121</v>
      </c>
      <c r="DY50" s="125"/>
      <c r="DZ50" s="93" t="s">
        <v>37</v>
      </c>
      <c r="EA50" s="116" t="s">
        <v>46</v>
      </c>
      <c r="EB50" s="93" t="s">
        <v>41</v>
      </c>
      <c r="EC50" s="117" t="s">
        <v>46</v>
      </c>
      <c r="ED50" s="92">
        <v>2013</v>
      </c>
      <c r="EE50" s="93">
        <f>(DZ50+0)-(EG50+0)</f>
        <v>0</v>
      </c>
      <c r="EF50" s="125" t="str">
        <f>IF(EE50&gt;0,"Sửa","- - -")</f>
        <v>- - -</v>
      </c>
      <c r="EG50" s="93" t="s">
        <v>37</v>
      </c>
      <c r="EH50" s="116" t="s">
        <v>46</v>
      </c>
      <c r="EI50" s="86" t="s">
        <v>41</v>
      </c>
      <c r="EJ50" s="103" t="s">
        <v>46</v>
      </c>
      <c r="EK50" s="118">
        <v>2013</v>
      </c>
      <c r="EL50" s="115">
        <v>6.44</v>
      </c>
      <c r="EM50" s="119" t="str">
        <f>IF(AND(BE50&gt;0.34,AO50=1,OR(BD50=6.2,BD50=5.75)),((BD50-EL50)-2*0.34),IF(AND(BE50&gt;0.33,AO50=1,OR(BD50=4.4,BD50=4)),((BD50-EL50)-2*0.33),"- - -"))</f>
        <v>- - -</v>
      </c>
      <c r="EN50" s="119" t="str">
        <f>IF(CV50="Hưu",12*(DB50-AX50)+(DA50-AV50),"---")</f>
        <v>---</v>
      </c>
    </row>
    <row r="51" spans="1:219" s="515" customFormat="1" ht="32.25" customHeight="1" x14ac:dyDescent="0.2">
      <c r="A51" s="493">
        <v>65</v>
      </c>
      <c r="B51" s="298">
        <v>34</v>
      </c>
      <c r="C51" s="298"/>
      <c r="D51" s="536" t="str">
        <f>IF(F51="Nam","Ông","Bà")</f>
        <v>Bà</v>
      </c>
      <c r="E51" s="536" t="s">
        <v>279</v>
      </c>
      <c r="F51" s="537" t="s">
        <v>56</v>
      </c>
      <c r="G51" s="538" t="s">
        <v>147</v>
      </c>
      <c r="H51" s="538" t="s">
        <v>46</v>
      </c>
      <c r="I51" s="538" t="s">
        <v>40</v>
      </c>
      <c r="J51" s="494" t="s">
        <v>46</v>
      </c>
      <c r="K51" s="494" t="s">
        <v>184</v>
      </c>
      <c r="L51" s="494" t="s">
        <v>73</v>
      </c>
      <c r="M51" s="494" t="str">
        <f>IF(L51="công chức","CC",IF(L51="viên chức","VC",IF(L51="người lao động","NLĐ","- - -")))</f>
        <v>VC</v>
      </c>
      <c r="N51" s="494"/>
      <c r="O51" s="494" t="e">
        <f>IF(AND((Q51+0)&gt;0.3,(Q51+0)&lt;1.5),"CVụ","- -")</f>
        <v>#N/A</v>
      </c>
      <c r="P51" s="494"/>
      <c r="Q51" s="536" t="e">
        <f>VLOOKUP(P51,'[2]- DLiêu Gốc -'!$C$2:$H$115,2,0)</f>
        <v>#N/A</v>
      </c>
      <c r="R51" s="539" t="s">
        <v>144</v>
      </c>
      <c r="S51" s="540" t="s">
        <v>162</v>
      </c>
      <c r="T51" s="541" t="str">
        <f>VLOOKUP(Y51,'[2]- DLiêu Gốc -'!$C$2:$H$60,5,0)</f>
        <v>A1</v>
      </c>
      <c r="U51" s="541" t="str">
        <f>VLOOKUP(Y51,'[2]- DLiêu Gốc -'!$C$2:$H$60,6,0)</f>
        <v>- - -</v>
      </c>
      <c r="V51" s="542" t="s">
        <v>65</v>
      </c>
      <c r="W51" s="543" t="str">
        <f>IF(OR(Y51="Kỹ thuật viên đánh máy",Y51="Nhân viên đánh máy",Y51="Nhân viên kỹ thuật",Y51="Nhân viên văn thư",Y51="Nhân viên phục vụ",Y51="Lái xe cơ quan",Y51="Nhân viên bảo vệ"),"Nhân viên",Y51)</f>
        <v>Kế toán viên</v>
      </c>
      <c r="X51" s="302" t="str">
        <f>IF(W51="Nhân viên","01.005",Z51)</f>
        <v>06.031</v>
      </c>
      <c r="Y51" s="301" t="s">
        <v>167</v>
      </c>
      <c r="Z51" s="302" t="str">
        <f>VLOOKUP(Y51,'[2]- DLiêu Gốc -'!$C$1:$H$133,2,0)</f>
        <v>06.031</v>
      </c>
      <c r="AA51" s="303" t="str">
        <f>IF(OR(AND(BC51=36,BB51=3),AND(BC51=24,BB51=2),AND(BC51=12,BB51=1)),"Đến $",IF(OR(AND(BC51&gt;36,BB51=3),AND(BC51&gt;24,BB51=2),AND(BC51&gt;12,BB51=1)),"Dừng $","Lương"))</f>
        <v>Lương</v>
      </c>
      <c r="AB51" s="293">
        <v>9</v>
      </c>
      <c r="AC51" s="307" t="str">
        <f>IF(AD51&gt;0,"/")</f>
        <v>/</v>
      </c>
      <c r="AD51" s="294">
        <f>IF(OR(BE51=0.18,BE51=0.2),12,IF(BE51=0.31,10,IF(BE51=0.33,9,IF(BE51=0.34,8,IF(BE51=0.36,6)))))</f>
        <v>9</v>
      </c>
      <c r="AE51" s="299">
        <f>BD51+(AB51-1)*BE51</f>
        <v>4.9800000000000004</v>
      </c>
      <c r="AF51" s="297">
        <v>6</v>
      </c>
      <c r="AG51" s="294" t="str">
        <f>IF(AD51=AB51,"%",IF(AD51&gt;AB51,"/"))</f>
        <v>%</v>
      </c>
      <c r="AH51" s="305" t="s">
        <v>37</v>
      </c>
      <c r="AI51" s="310" t="s">
        <v>46</v>
      </c>
      <c r="AJ51" s="306">
        <v>11</v>
      </c>
      <c r="AK51" s="316" t="s">
        <v>46</v>
      </c>
      <c r="AL51" s="317">
        <v>2017</v>
      </c>
      <c r="AM51" s="345"/>
      <c r="AN51" s="346"/>
      <c r="AO51" s="318"/>
      <c r="AP51" s="311"/>
      <c r="AQ51" s="321"/>
      <c r="AR51" s="297">
        <f>IF(AND(AD51=AB51,AF51=0),5,IF(AND(AD51=AB51,AF51&gt;4),AF51+1,IF(AD51&gt;AB51,AD51)))</f>
        <v>7</v>
      </c>
      <c r="AS51" s="294" t="str">
        <f>IF(AD51=AB51,"%",IF(AD51&gt;AB51,AE51+BE51))</f>
        <v>%</v>
      </c>
      <c r="AT51" s="544" t="s">
        <v>37</v>
      </c>
      <c r="AU51" s="545" t="s">
        <v>46</v>
      </c>
      <c r="AV51" s="332">
        <v>11</v>
      </c>
      <c r="AW51" s="315" t="s">
        <v>46</v>
      </c>
      <c r="AX51" s="296">
        <v>2018</v>
      </c>
      <c r="AY51" s="546"/>
      <c r="AZ51" s="495"/>
      <c r="BA51" s="494"/>
      <c r="BB51" s="496">
        <f>IF(AND(AD51&gt;AB51,OR(BE51=0.18,BE51=0.2)),2,IF(AND(AD51&gt;AB51,OR(BE51=0.31,BE51=0.33,BE51=0.34,BE51=0.36)),3,IF(AD51=AB51,1)))</f>
        <v>1</v>
      </c>
      <c r="BC51" s="497">
        <f>12*($AA$2-AX51)+($AA$3-AV51)-AM51</f>
        <v>-24227</v>
      </c>
      <c r="BD51" s="498">
        <f>VLOOKUP(Y51,'[2]- DLiêu Gốc -'!$C$1:$F$60,3,0)</f>
        <v>2.34</v>
      </c>
      <c r="BE51" s="499">
        <f>VLOOKUP(Y51,'[2]- DLiêu Gốc -'!$C$1:$F$60,4,0)</f>
        <v>0.33</v>
      </c>
      <c r="BF51" s="500" t="str">
        <f>IF(AND(BG51&gt;3,BY51=12),"Đến %",IF(AND(BG51&gt;3,BY51&gt;12,BY51&lt;120),"Dừng %",IF(AND(BG51&gt;3,BY51&lt;12),"PCTN","o-o-o")))</f>
        <v>o-o-o</v>
      </c>
      <c r="BG51" s="501"/>
      <c r="BH51" s="498"/>
      <c r="BI51" s="502"/>
      <c r="BJ51" s="503"/>
      <c r="BK51" s="504"/>
      <c r="BL51" s="504"/>
      <c r="BM51" s="504"/>
      <c r="BN51" s="504"/>
      <c r="BO51" s="504"/>
      <c r="BP51" s="504"/>
      <c r="BQ51" s="505"/>
      <c r="BR51" s="506"/>
      <c r="BS51" s="507"/>
      <c r="BT51" s="508"/>
      <c r="BU51" s="509"/>
      <c r="BV51" s="498"/>
      <c r="BW51" s="298"/>
      <c r="BX51" s="494"/>
      <c r="BY51" s="510" t="str">
        <f>IF(BG51&gt;3,(($BF$2-BV51)*12+($BF$3-BT51)-BN51),"- - -")</f>
        <v>- - -</v>
      </c>
      <c r="BZ51" s="511" t="str">
        <f>IF(AND(CV51="Hưu",BG51&gt;3),12-(12*(DB51-BV51)+(DA51-BT51))-BN51,"- - -")</f>
        <v>- - -</v>
      </c>
      <c r="CA51" s="493" t="str">
        <f>IF(OR(S51="Ban Tổ chức - Cán bộ",S51="Văn phòng Học viện",S51="Phó Giám đốc Thường trực Học viện",S51="Phó Giám đốc Học viện"),"Chánh Văn phòng Học viện, Trưởng Ban Tổ chức - Cán bộ",IF(OR(S51="Trung tâm Ngoại ngữ",S51="Trung tâm Tin học hành chính và Công nghệ thông tin",S51="Trung tâm Tin học - Thư viện",S51="Phân viện khu vực Tây Nguyên"),"Chánh Văn phòng Học viện, Trưởng Ban Tổ chức - Cán bộ, "&amp;CONCATENATE("Giám đốc ",S51),IF(S51="Tạp chí Quản lý nhà nước","Chánh Văn phòng Học viện, Trưởng Ban Tổ chức - Cán bộ, "&amp;CONCATENATE("Tổng Biên tập ",S51),IF(S51="Văn phòng Đảng uỷ Học viện","Chánh Văn phòng Học viện, Trưởng Ban Tổ chức - Cán bộ, "&amp;CONCATENATE("Chánh",S51),IF(S51="Viện Nghiên cứu Khoa học hành chính","Chánh Văn phòng Học viện, Trưởng Ban Tổ chức - Cán bộ, "&amp;CONCATENATE("Viện Trưởng ",S51),IF(OR(S51="Cơ sở Học viện Hành chính Quốc gia khu vực miền Trung",S51="Cơ sở Học viện Hành chính Quốc gia tại Thành phố Hồ Chí Minh"),"Chánh Văn phòng Học viện, Trưởng Ban Tổ chức - Cán bộ, "&amp;CONCATENATE("Thủ trưởng ",S51),"Chánh Văn phòng Học viện, Trưởng Ban Tổ chức - Cán bộ, "&amp;CONCATENATE("Trưởng ",S51)))))))</f>
        <v>Chánh Văn phòng Học viện, Trưởng Ban Tổ chức - Cán bộ, Trưởng Ban Quản lý bồi dưỡng</v>
      </c>
      <c r="CB51" s="512" t="str">
        <f>IF(S51="Cơ sở Học viện Hành chính khu vực miền Trung","B",IF(S51="Phân viện Khu vực Tây Nguyên","C",IF(S51="Cơ sở Học viện Hành chính tại thành phố Hồ Chí Minh","D","A")))</f>
        <v>A</v>
      </c>
      <c r="CC51" s="512" t="str">
        <f>IF(AND(AF51&gt;0,AB51&lt;(AD51-1),CD51&gt;0,CD51&lt;13,OR(AND(CJ51="Cùg Ng",($CC$2-CF51)&gt;BB51),CJ51="- - -")),"Sớm TT","=&gt; s")</f>
        <v>=&gt; s</v>
      </c>
      <c r="CD51" s="513" t="str">
        <f>IF(BB51=3,36-(12*($CC$2-AX51)+(12-AV51)-AM51),IF(BB51=2,24-(12*($CC$2-AX51)+(12-AV51)-AM51),"---"))</f>
        <v>---</v>
      </c>
      <c r="CE51" s="514" t="str">
        <f>IF(CF51&gt;1,"S","---")</f>
        <v>S</v>
      </c>
      <c r="CF51" s="494">
        <v>2013</v>
      </c>
      <c r="CG51" s="494" t="s">
        <v>181</v>
      </c>
      <c r="CJ51" s="515" t="str">
        <f>IF(X51=CG51,"Cùg Ng","- - -")</f>
        <v>Cùg Ng</v>
      </c>
      <c r="CK51" s="515" t="str">
        <f>IF(CM51&gt;2000,"NN","- - -")</f>
        <v>- - -</v>
      </c>
      <c r="CP51" s="515" t="str">
        <f>IF(CR51&gt;2000,"CN","- - -")</f>
        <v>- - -</v>
      </c>
      <c r="CU51" s="515" t="str">
        <f>IF(AND(CV51="Hưu",AB51&lt;(AD51-1),DC51&gt;0,DC51&lt;18,OR(BG51&lt;4,AND(BG51&gt;3,OR(BZ51&lt;3,BZ51&gt;5)))),"Lg Sớm",IF(AND(CV51="Hưu",AB51&gt;(AD51-2),OR(BE51=0.33,BE51=0.34),OR(BG51&lt;4,AND(BG51&gt;3,OR(BZ51&lt;3,BZ51&gt;5)))),"Nâng Ngạch",IF(AND(CV51="Hưu",BB51=1,DC51&gt;2,DC51&lt;6,OR(BG51&lt;4,AND(BG51&gt;3,OR(BZ51&lt;3,BZ51&gt;5)))),"Nâng PcVK cùng QĐ",IF(AND(CV51="Hưu",BG51&gt;3,BZ51&gt;2,BZ51&lt;6,AB51&lt;(AD51-1),DC51&gt;17,OR(BB51&gt;1,AND(BB51=1,OR(DC51&lt;3,DC51&gt;5)))),"Nâng PcNG cùng QĐ",IF(AND(CV51="Hưu",AB51&lt;(AD51-1),DC51&gt;0,DC51&lt;18,BG51&gt;3,BZ51&gt;2,BZ51&lt;6),"Nâng Lg Sớm +(PcNG cùng QĐ)",IF(AND(CV51="Hưu",AB51&gt;(AD51-2),OR(BE51=0.33,BE51=0.34),BG51&gt;3,BZ51&gt;2,BZ51&lt;6),"Nâng Ngạch +(PcNG cùng QĐ)",IF(AND(CV51="Hưu",BB51=1,DC51&gt;2,DC51&lt;6,BG51&gt;3,BZ51&gt;2,BZ51&lt;6),"Nâng (PcVK +PcNG) cùng QĐ",("---"))))))))</f>
        <v>---</v>
      </c>
      <c r="CV51" s="515" t="str">
        <f>IF(AND(DG51&gt;DF51,DG51&lt;(DF51+13)),"Hưu",IF(AND(DG51&gt;(DF51+12),DG51&lt;1000),"Quá","/-/ /-/"))</f>
        <v>/-/ /-/</v>
      </c>
      <c r="CW51" s="515">
        <f>IF((I51+0)&lt;12,(I51+0)+1,IF((I51+0)=12,1,IF((I51+0)&gt;12,(I51+0)-12)))</f>
        <v>7</v>
      </c>
      <c r="CX51" s="516">
        <f>IF(OR((I51+0)=12,(I51+0)&gt;12),K51+DF51/12+1,IF(AND((I51+0)&gt;0,(I51+0)&lt;12),K51+DF51/12,"---"))</f>
        <v>2020</v>
      </c>
      <c r="CY51" s="517">
        <f>IF(AND(CW51&gt;3,CW51&lt;13),CW51-3,IF(CW51&lt;4,CW51-3+12))</f>
        <v>4</v>
      </c>
      <c r="CZ51" s="495">
        <f>IF(CY51&lt;CW51,CX51,IF(CY51&gt;CW51,CX51-1))</f>
        <v>2020</v>
      </c>
      <c r="DA51" s="518">
        <f>IF(CW51&gt;6,CW51-6,IF(CW51=6,12,IF(CW51&lt;6,CW51+6)))</f>
        <v>1</v>
      </c>
      <c r="DB51" s="496">
        <f>IF(CW51&gt;6,CX51,IF(CW51&lt;7,CX51-1))</f>
        <v>2020</v>
      </c>
      <c r="DC51" s="497" t="str">
        <f>IF(AND(CV51="Hưu",BB51=3),36+AM51-(12*(DB51-AX51)+(DA51-AV51)),IF(AND(CV51="Hưu",BB51=2),24+AM51-(12*(DB51-AX51)+(DA51-AV51)),IF(AND(CV51="Hưu",BB51=1),12+AM51-(12*(DB51-AX51)+(DA51-AV51)),"- - -")))</f>
        <v>- - -</v>
      </c>
      <c r="DD51" s="498" t="str">
        <f>IF(DE51&gt;0,"K.Dài",". .")</f>
        <v>. .</v>
      </c>
      <c r="DE51" s="499"/>
      <c r="DF51" s="500">
        <f>IF(F51="Nam",(60+DE51)*12,IF(F51="Nữ",(55+DE51)*12,))</f>
        <v>660</v>
      </c>
      <c r="DG51" s="300">
        <f>12*($CV$4-K51)+(12-I51)</f>
        <v>-23574</v>
      </c>
      <c r="DH51" s="300">
        <f>$DL$4-K51</f>
        <v>-1965</v>
      </c>
      <c r="DI51" s="498" t="str">
        <f>IF(AND(DH51&lt;35,F51="Nam"),"Nam dưới 35",IF(AND(DH51&lt;30,F51="Nữ"),"Nữ dưới 30",IF(AND(DH51&gt;34,DH51&lt;46,F51="Nam"),"Nam từ 35 - 45",IF(AND(DH51&gt;29,DH51&lt;41,F51="Nữ"),"Nữ từ 30 - 40",IF(AND(DH51&gt;45,DH51&lt;56,F51="Nam"),"Nam trên 45 - 55",IF(AND(DH51&gt;40,DH51&lt;51,F51="Nữ"),"Nữ trên 40 - 50",IF(AND(DH51&gt;55,F51="Nam"),"Nam trên 55","Nữ trên 50")))))))</f>
        <v>Nữ dưới 30</v>
      </c>
      <c r="DJ51" s="519"/>
      <c r="DK51" s="520"/>
      <c r="DL51" s="504" t="str">
        <f>IF(DH51&lt;31,"Đến 30",IF(AND(DH51&gt;30,DH51&lt;46),"31 - 45",IF(AND(DH51&gt;45,DH51&lt;70),"Trên 45")))</f>
        <v>Đến 30</v>
      </c>
      <c r="DM51" s="504" t="str">
        <f>IF(DN51&gt;0,"TD","--")</f>
        <v>--</v>
      </c>
      <c r="DW51" s="515" t="s">
        <v>144</v>
      </c>
      <c r="DX51" s="515" t="s">
        <v>280</v>
      </c>
      <c r="DY51" s="515" t="s">
        <v>124</v>
      </c>
      <c r="DZ51" s="515" t="s">
        <v>37</v>
      </c>
      <c r="EA51" s="515" t="s">
        <v>46</v>
      </c>
      <c r="EB51" s="515">
        <v>11</v>
      </c>
      <c r="EC51" s="515" t="s">
        <v>46</v>
      </c>
      <c r="ED51" s="515">
        <v>2013</v>
      </c>
      <c r="EE51" s="515">
        <f>(DZ51+0)-(EG51+0)</f>
        <v>0</v>
      </c>
      <c r="EF51" s="515" t="str">
        <f>IF(EE51&gt;0,"Sửa","- - -")</f>
        <v>- - -</v>
      </c>
      <c r="EG51" s="515" t="s">
        <v>37</v>
      </c>
      <c r="EH51" s="515" t="s">
        <v>46</v>
      </c>
      <c r="EI51" s="515">
        <v>11</v>
      </c>
      <c r="EJ51" s="515" t="s">
        <v>46</v>
      </c>
      <c r="EK51" s="515">
        <v>2013</v>
      </c>
      <c r="EM51" s="515" t="str">
        <f>IF(AND(BE51&gt;0.34,AF51=1,OR(BD51=6.2,BD51=5.75)),((BD51-EL51)-2*0.34),IF(AND(BE51&gt;0.33,AF51=1,OR(BD51=4.4,BD51=4)),((BD51-EL51)-2*0.33),"- - -"))</f>
        <v>- - -</v>
      </c>
      <c r="EN51" s="515" t="str">
        <f>IF(CV51="Hưu",12*(DB51-AX51)+(DA51-AV51),"---")</f>
        <v>---</v>
      </c>
    </row>
    <row r="52" spans="1:219" x14ac:dyDescent="0.2">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row>
    <row r="53" spans="1:219" x14ac:dyDescent="0.25">
      <c r="Q53" s="329"/>
      <c r="R53" s="550"/>
      <c r="AB53" s="753" t="s">
        <v>10</v>
      </c>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3"/>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row>
    <row r="54" spans="1:219" x14ac:dyDescent="0.25">
      <c r="Q54" s="329"/>
      <c r="R54" s="329"/>
      <c r="AB54" s="753" t="s">
        <v>129</v>
      </c>
      <c r="AC54" s="753"/>
      <c r="AD54" s="753"/>
      <c r="AE54" s="753"/>
      <c r="AF54" s="753"/>
      <c r="AG54" s="753"/>
      <c r="AH54" s="753"/>
      <c r="AI54" s="753"/>
      <c r="AJ54" s="753"/>
      <c r="AK54" s="753"/>
      <c r="AL54" s="753"/>
      <c r="AM54" s="753"/>
      <c r="AN54" s="753"/>
      <c r="AO54" s="753"/>
      <c r="AP54" s="753"/>
      <c r="AQ54" s="753"/>
      <c r="AR54" s="753"/>
      <c r="AS54" s="753"/>
      <c r="AT54" s="753"/>
      <c r="AU54" s="753"/>
      <c r="AV54" s="753"/>
      <c r="AW54" s="753"/>
      <c r="AX54" s="753"/>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row>
    <row r="55" spans="1:219" ht="75" customHeight="1" x14ac:dyDescent="0.2">
      <c r="Q55" s="329"/>
      <c r="R55" s="329"/>
      <c r="AB55" s="754" t="s">
        <v>32</v>
      </c>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754"/>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row>
    <row r="56" spans="1:219" ht="16.5" customHeight="1" x14ac:dyDescent="0.2">
      <c r="Q56" s="329"/>
      <c r="R56" s="329"/>
      <c r="AB56" s="755" t="s">
        <v>130</v>
      </c>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row>
    <row r="57" spans="1:219" x14ac:dyDescent="0.2">
      <c r="Q57" s="329"/>
      <c r="R57" s="329"/>
      <c r="AB57" s="757" t="s">
        <v>281</v>
      </c>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row>
    <row r="58" spans="1:219" hidden="1" x14ac:dyDescent="0.2"/>
    <row r="59" spans="1:219" hidden="1" x14ac:dyDescent="0.2"/>
    <row r="60" spans="1:219" hidden="1" x14ac:dyDescent="0.2"/>
    <row r="61" spans="1:219" hidden="1" x14ac:dyDescent="0.2"/>
    <row r="62" spans="1:219" hidden="1" x14ac:dyDescent="0.2"/>
    <row r="63" spans="1:219" hidden="1" x14ac:dyDescent="0.2"/>
    <row r="64" spans="1:2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sheetData>
  <mergeCells count="41">
    <mergeCell ref="AB53:AX53"/>
    <mergeCell ref="AB54:AX54"/>
    <mergeCell ref="AB55:AX55"/>
    <mergeCell ref="AB56:AX56"/>
    <mergeCell ref="AB57:AY57"/>
    <mergeCell ref="M11:M13"/>
    <mergeCell ref="V1:AQ1"/>
    <mergeCell ref="B2:R2"/>
    <mergeCell ref="V2:AQ2"/>
    <mergeCell ref="V3:AQ3"/>
    <mergeCell ref="B11:B13"/>
    <mergeCell ref="D11:D13"/>
    <mergeCell ref="B4:AY4"/>
    <mergeCell ref="E11:E13"/>
    <mergeCell ref="F11:F13"/>
    <mergeCell ref="AM11:AN12"/>
    <mergeCell ref="AA12:AD13"/>
    <mergeCell ref="R11:S13"/>
    <mergeCell ref="V11:X13"/>
    <mergeCell ref="BU11:BU13"/>
    <mergeCell ref="AB11:AL11"/>
    <mergeCell ref="AO11:AX11"/>
    <mergeCell ref="AE12:AE13"/>
    <mergeCell ref="AF12:AG13"/>
    <mergeCell ref="AJ12:AL13"/>
    <mergeCell ref="AO12:AQ13"/>
    <mergeCell ref="AR12:AS13"/>
    <mergeCell ref="AV12:AX13"/>
    <mergeCell ref="AY11:AY13"/>
    <mergeCell ref="BJ11:BJ13"/>
    <mergeCell ref="R14:S14"/>
    <mergeCell ref="V14:W14"/>
    <mergeCell ref="Y11:Y13"/>
    <mergeCell ref="BT11:BT13"/>
    <mergeCell ref="AM14:AN14"/>
    <mergeCell ref="AT14:AX14"/>
    <mergeCell ref="AA14:AD14"/>
    <mergeCell ref="AH14:AL14"/>
    <mergeCell ref="AO14:AQ14"/>
    <mergeCell ref="AF14:AG14"/>
    <mergeCell ref="AR14:AS14"/>
  </mergeCells>
  <conditionalFormatting sqref="BL16 DK17:DK48 DK50 BJ17:BJ48 BJ50">
    <cfRule type="cellIs" dxfId="185" priority="2615" stopIfTrue="1" operator="between">
      <formula>"Hưu"</formula>
      <formula>"Hưu"</formula>
    </cfRule>
    <cfRule type="cellIs" dxfId="184" priority="2616" stopIfTrue="1" operator="between">
      <formula>"---"</formula>
      <formula>"---"</formula>
    </cfRule>
    <cfRule type="cellIs" dxfId="183" priority="2617" stopIfTrue="1" operator="between">
      <formula>"Quá"</formula>
      <formula>"Quá"</formula>
    </cfRule>
  </conditionalFormatting>
  <conditionalFormatting sqref="BU15">
    <cfRule type="expression" dxfId="182" priority="2424" stopIfTrue="1">
      <formula>IF(BV15="Trên 45",1,0)</formula>
    </cfRule>
    <cfRule type="expression" dxfId="181" priority="2425" stopIfTrue="1">
      <formula>IF(BV15="30 - 45",1,0)</formula>
    </cfRule>
    <cfRule type="expression" dxfId="180" priority="2426" stopIfTrue="1">
      <formula>IF(BV15="Dưới 30",1,0)</formula>
    </cfRule>
  </conditionalFormatting>
  <conditionalFormatting sqref="DD15">
    <cfRule type="expression" dxfId="179" priority="2422" stopIfTrue="1">
      <formula>IF(DE15&gt;0,1,0)</formula>
    </cfRule>
    <cfRule type="expression" dxfId="178" priority="2423" stopIfTrue="1">
      <formula>IF(DE15=0,1,0)</formula>
    </cfRule>
  </conditionalFormatting>
  <conditionalFormatting sqref="DJ15 BL15">
    <cfRule type="cellIs" dxfId="177" priority="2419" stopIfTrue="1" operator="between">
      <formula>"Hưu"</formula>
      <formula>"Hưu"</formula>
    </cfRule>
    <cfRule type="cellIs" dxfId="176" priority="2420" stopIfTrue="1" operator="between">
      <formula>"---"</formula>
      <formula>"---"</formula>
    </cfRule>
    <cfRule type="cellIs" dxfId="175" priority="2421" stopIfTrue="1" operator="between">
      <formula>"Quá"</formula>
      <formula>"Quá"</formula>
    </cfRule>
  </conditionalFormatting>
  <conditionalFormatting sqref="BD15 DA15">
    <cfRule type="cellIs" dxfId="174" priority="2416" stopIfTrue="1" operator="between">
      <formula>"Đến"</formula>
      <formula>"Đến"</formula>
    </cfRule>
    <cfRule type="cellIs" dxfId="173" priority="2417" stopIfTrue="1" operator="between">
      <formula>"Quá"</formula>
      <formula>"Quá"</formula>
    </cfRule>
    <cfRule type="expression" dxfId="172" priority="2418" stopIfTrue="1">
      <formula>IF(OR(BD15="Lương Sớm Hưu",BD15="Nâng Ngạch Hưu"),1,0)</formula>
    </cfRule>
  </conditionalFormatting>
  <conditionalFormatting sqref="BK15 DI15">
    <cfRule type="expression" dxfId="171" priority="2413" stopIfTrue="1">
      <formula>IF(BK15="Nâg Ngạch sau TB",1,0)</formula>
    </cfRule>
    <cfRule type="expression" dxfId="170" priority="2414" stopIfTrue="1">
      <formula>IF(BK15="Nâg Lươg Sớm sau TB",1,0)</formula>
    </cfRule>
    <cfRule type="expression" dxfId="169" priority="2415" stopIfTrue="1">
      <formula>IF(BK15="Nâg PC TNVK cùng QĐ",1,0)</formula>
    </cfRule>
  </conditionalFormatting>
  <conditionalFormatting sqref="A15">
    <cfRule type="expression" dxfId="168" priority="2411" stopIfTrue="1">
      <formula>IF(#REF!="Hưu",1,0)</formula>
    </cfRule>
    <cfRule type="expression" dxfId="167" priority="2412" stopIfTrue="1">
      <formula>IF(#REF!="Quá",1,0)</formula>
    </cfRule>
  </conditionalFormatting>
  <conditionalFormatting sqref="CY8">
    <cfRule type="expression" dxfId="166" priority="2092" stopIfTrue="1">
      <formula>IF(CZ8&gt;0,1,0)</formula>
    </cfRule>
    <cfRule type="expression" dxfId="165" priority="2093" stopIfTrue="1">
      <formula>IF(CZ8=0,1,0)</formula>
    </cfRule>
  </conditionalFormatting>
  <conditionalFormatting sqref="DE8">
    <cfRule type="cellIs" dxfId="164" priority="2094" stopIfTrue="1" operator="between">
      <formula>"Hưu"</formula>
      <formula>"Hưu"</formula>
    </cfRule>
    <cfRule type="cellIs" dxfId="163" priority="2095" stopIfTrue="1" operator="between">
      <formula>"---"</formula>
      <formula>"---"</formula>
    </cfRule>
    <cfRule type="cellIs" dxfId="162" priority="2096" stopIfTrue="1" operator="between">
      <formula>"Quá"</formula>
      <formula>"Quá"</formula>
    </cfRule>
  </conditionalFormatting>
  <conditionalFormatting sqref="CV8">
    <cfRule type="cellIs" dxfId="161" priority="2097" stopIfTrue="1" operator="between">
      <formula>"Đến"</formula>
      <formula>"Đến"</formula>
    </cfRule>
    <cfRule type="cellIs" dxfId="160" priority="2098" stopIfTrue="1" operator="between">
      <formula>"Quá"</formula>
      <formula>"Quá"</formula>
    </cfRule>
    <cfRule type="expression" dxfId="159" priority="2099" stopIfTrue="1">
      <formula>IF(OR(CV8="Lương Sớm Hưu",CV8="Nâng Ngạch Hưu"),1,0)</formula>
    </cfRule>
  </conditionalFormatting>
  <conditionalFormatting sqref="DD8">
    <cfRule type="expression" dxfId="158" priority="2100" stopIfTrue="1">
      <formula>IF(DD8="Nâg Ngạch sau TB",1,0)</formula>
    </cfRule>
    <cfRule type="expression" dxfId="157" priority="2101" stopIfTrue="1">
      <formula>IF(DD8="Nâg Lươg Sớm sau TB",1,0)</formula>
    </cfRule>
    <cfRule type="expression" dxfId="156" priority="2102" stopIfTrue="1">
      <formula>IF(DD8="Nâg PC TNVK cùng QĐ",1,0)</formula>
    </cfRule>
  </conditionalFormatting>
  <conditionalFormatting sqref="BU11:BU12">
    <cfRule type="expression" dxfId="155" priority="901" stopIfTrue="1">
      <formula>IF(BV11="Trên 45",1,0)</formula>
    </cfRule>
    <cfRule type="expression" dxfId="154" priority="902" stopIfTrue="1">
      <formula>IF(BV11="30 - 45",1,0)</formula>
    </cfRule>
    <cfRule type="expression" dxfId="153" priority="903" stopIfTrue="1">
      <formula>IF(BV11="Dưới 30",1,0)</formula>
    </cfRule>
  </conditionalFormatting>
  <conditionalFormatting sqref="DD11:DD13">
    <cfRule type="expression" dxfId="152" priority="899" stopIfTrue="1">
      <formula>IF(DE11&gt;0,1,0)</formula>
    </cfRule>
    <cfRule type="expression" dxfId="151" priority="900" stopIfTrue="1">
      <formula>IF(DE11=0,1,0)</formula>
    </cfRule>
  </conditionalFormatting>
  <conditionalFormatting sqref="DJ11:DJ13">
    <cfRule type="cellIs" dxfId="150" priority="896" stopIfTrue="1" operator="between">
      <formula>"Hưu"</formula>
      <formula>"Hưu"</formula>
    </cfRule>
    <cfRule type="cellIs" dxfId="149" priority="897" stopIfTrue="1" operator="between">
      <formula>"---"</formula>
      <formula>"---"</formula>
    </cfRule>
    <cfRule type="cellIs" dxfId="148" priority="898" stopIfTrue="1" operator="between">
      <formula>"Quá"</formula>
      <formula>"Quá"</formula>
    </cfRule>
  </conditionalFormatting>
  <conditionalFormatting sqref="DA11:DA13">
    <cfRule type="cellIs" dxfId="147" priority="893" stopIfTrue="1" operator="between">
      <formula>"Đến"</formula>
      <formula>"Đến"</formula>
    </cfRule>
    <cfRule type="cellIs" dxfId="146" priority="894" stopIfTrue="1" operator="between">
      <formula>"Quá"</formula>
      <formula>"Quá"</formula>
    </cfRule>
    <cfRule type="expression" dxfId="145" priority="895" stopIfTrue="1">
      <formula>IF(OR(DA11="Lương Sớm Hưu",DA11="Nâng Ngạch Hưu"),1,0)</formula>
    </cfRule>
  </conditionalFormatting>
  <conditionalFormatting sqref="DI11:DI13">
    <cfRule type="expression" dxfId="144" priority="890" stopIfTrue="1">
      <formula>IF(DI11="Nâg Ngạch sau TB",1,0)</formula>
    </cfRule>
    <cfRule type="expression" dxfId="143" priority="891" stopIfTrue="1">
      <formula>IF(DI11="Nâg Lươg Sớm sau TB",1,0)</formula>
    </cfRule>
    <cfRule type="expression" dxfId="142" priority="892" stopIfTrue="1">
      <formula>IF(DI11="Nâg PC TNVK cùng QĐ",1,0)</formula>
    </cfRule>
  </conditionalFormatting>
  <conditionalFormatting sqref="BU14">
    <cfRule type="expression" dxfId="141" priority="917" stopIfTrue="1">
      <formula>IF(BV14="Trên 45",1,0)</formula>
    </cfRule>
    <cfRule type="expression" dxfId="140" priority="918" stopIfTrue="1">
      <formula>IF(BV14="30 - 45",1,0)</formula>
    </cfRule>
    <cfRule type="expression" dxfId="139" priority="919" stopIfTrue="1">
      <formula>IF(BV14="Dưới 30",1,0)</formula>
    </cfRule>
  </conditionalFormatting>
  <conditionalFormatting sqref="DD14">
    <cfRule type="expression" dxfId="138" priority="915" stopIfTrue="1">
      <formula>IF(DE14&gt;0,1,0)</formula>
    </cfRule>
    <cfRule type="expression" dxfId="137" priority="916" stopIfTrue="1">
      <formula>IF(DE14=0,1,0)</formula>
    </cfRule>
  </conditionalFormatting>
  <conditionalFormatting sqref="DJ14 BL14">
    <cfRule type="cellIs" dxfId="136" priority="912" stopIfTrue="1" operator="between">
      <formula>"Hưu"</formula>
      <formula>"Hưu"</formula>
    </cfRule>
    <cfRule type="cellIs" dxfId="135" priority="913" stopIfTrue="1" operator="between">
      <formula>"---"</formula>
      <formula>"---"</formula>
    </cfRule>
    <cfRule type="cellIs" dxfId="134" priority="914" stopIfTrue="1" operator="between">
      <formula>"Quá"</formula>
      <formula>"Quá"</formula>
    </cfRule>
  </conditionalFormatting>
  <conditionalFormatting sqref="BD14 DA14">
    <cfRule type="cellIs" dxfId="133" priority="909" stopIfTrue="1" operator="between">
      <formula>"Đến"</formula>
      <formula>"Đến"</formula>
    </cfRule>
    <cfRule type="cellIs" dxfId="132" priority="910" stopIfTrue="1" operator="between">
      <formula>"Quá"</formula>
      <formula>"Quá"</formula>
    </cfRule>
    <cfRule type="expression" dxfId="131" priority="911" stopIfTrue="1">
      <formula>IF(OR(BD14="Lương Sớm Hưu",BD14="Nâng Ngạch Hưu"),1,0)</formula>
    </cfRule>
  </conditionalFormatting>
  <conditionalFormatting sqref="BK14 DI14">
    <cfRule type="expression" dxfId="130" priority="906" stopIfTrue="1">
      <formula>IF(BK14="Nâg Ngạch sau TB",1,0)</formula>
    </cfRule>
    <cfRule type="expression" dxfId="129" priority="907" stopIfTrue="1">
      <formula>IF(BK14="Nâg Lươg Sớm sau TB",1,0)</formula>
    </cfRule>
    <cfRule type="expression" dxfId="128" priority="908" stopIfTrue="1">
      <formula>IF(BK14="Nâg PC TNVK cùng QĐ",1,0)</formula>
    </cfRule>
  </conditionalFormatting>
  <conditionalFormatting sqref="A14">
    <cfRule type="expression" dxfId="127" priority="904" stopIfTrue="1">
      <formula>IF(#REF!="Hưu",1,0)</formula>
    </cfRule>
    <cfRule type="expression" dxfId="126" priority="905" stopIfTrue="1">
      <formula>IF(#REF!="Quá",1,0)</formula>
    </cfRule>
  </conditionalFormatting>
  <conditionalFormatting sqref="A11:A13">
    <cfRule type="expression" dxfId="125" priority="888" stopIfTrue="1">
      <formula>IF(#REF!="Hưu",1,0)</formula>
    </cfRule>
    <cfRule type="expression" dxfId="124" priority="889" stopIfTrue="1">
      <formula>IF(#REF!="Quá",1,0)</formula>
    </cfRule>
  </conditionalFormatting>
  <conditionalFormatting sqref="BD16 BB17:BB48 BB50 DB17:DB48 DB50">
    <cfRule type="cellIs" dxfId="123" priority="388" stopIfTrue="1" operator="between">
      <formula>"Đến"</formula>
      <formula>"Đến"</formula>
    </cfRule>
    <cfRule type="cellIs" dxfId="122" priority="389" stopIfTrue="1" operator="between">
      <formula>"Quá"</formula>
      <formula>"Quá"</formula>
    </cfRule>
  </conditionalFormatting>
  <conditionalFormatting sqref="BT16">
    <cfRule type="expression" dxfId="121" priority="382" stopIfTrue="1">
      <formula>IF(AND(#REF!&gt;0,#REF!&lt;5),1,0)</formula>
    </cfRule>
    <cfRule type="expression" dxfId="120" priority="383" stopIfTrue="1">
      <formula>IF(#REF!=5,1,0)</formula>
    </cfRule>
    <cfRule type="expression" dxfId="119" priority="384" stopIfTrue="1">
      <formula>IF(#REF!&gt;5,1,0)</formula>
    </cfRule>
  </conditionalFormatting>
  <conditionalFormatting sqref="BD16">
    <cfRule type="expression" dxfId="118" priority="381" stopIfTrue="1">
      <formula>IF(OR(#REF!="Lương Sớm Hưu",#REF!="Nâng Ngạch Hưu"),1,0)</formula>
    </cfRule>
  </conditionalFormatting>
  <conditionalFormatting sqref="BK16">
    <cfRule type="expression" dxfId="117" priority="378" stopIfTrue="1">
      <formula>IF(#REF!="Nâg Ngạch sau TB",1,0)</formula>
    </cfRule>
    <cfRule type="expression" dxfId="116" priority="379" stopIfTrue="1">
      <formula>IF(#REF!="Nâg Lươg Sớm sau TB",1,0)</formula>
    </cfRule>
    <cfRule type="expression" dxfId="115" priority="380" stopIfTrue="1">
      <formula>IF(#REF!="Nâg PC TNVK cùng QĐ",1,0)</formula>
    </cfRule>
  </conditionalFormatting>
  <conditionalFormatting sqref="BD49">
    <cfRule type="cellIs" dxfId="114" priority="78" stopIfTrue="1" operator="between">
      <formula>"Đến"</formula>
      <formula>"Đến"</formula>
    </cfRule>
    <cfRule type="cellIs" dxfId="113" priority="79" stopIfTrue="1" operator="between">
      <formula>"Quá"</formula>
      <formula>"Quá"</formula>
    </cfRule>
  </conditionalFormatting>
  <conditionalFormatting sqref="BL49">
    <cfRule type="cellIs" dxfId="112" priority="75" stopIfTrue="1" operator="between">
      <formula>"Hưu"</formula>
      <formula>"Hưu"</formula>
    </cfRule>
    <cfRule type="cellIs" dxfId="111" priority="76" stopIfTrue="1" operator="between">
      <formula>"---"</formula>
      <formula>"---"</formula>
    </cfRule>
    <cfRule type="cellIs" dxfId="110" priority="77" stopIfTrue="1" operator="between">
      <formula>"Quá"</formula>
      <formula>"Quá"</formula>
    </cfRule>
  </conditionalFormatting>
  <conditionalFormatting sqref="BT49">
    <cfRule type="expression" dxfId="109" priority="72" stopIfTrue="1">
      <formula>IF(AND(#REF!&gt;0,#REF!&lt;5),1,0)</formula>
    </cfRule>
    <cfRule type="expression" dxfId="108" priority="73" stopIfTrue="1">
      <formula>IF(#REF!=5,1,0)</formula>
    </cfRule>
    <cfRule type="expression" dxfId="107" priority="74" stopIfTrue="1">
      <formula>IF(#REF!&gt;5,1,0)</formula>
    </cfRule>
  </conditionalFormatting>
  <conditionalFormatting sqref="BD49">
    <cfRule type="expression" dxfId="106" priority="71" stopIfTrue="1">
      <formula>IF(OR(#REF!="Lương Sớm Hưu",#REF!="Nâng Ngạch Hưu"),1,0)</formula>
    </cfRule>
  </conditionalFormatting>
  <conditionalFormatting sqref="BK49">
    <cfRule type="expression" dxfId="105" priority="68" stopIfTrue="1">
      <formula>IF(#REF!="Nâg Ngạch sau TB",1,0)</formula>
    </cfRule>
    <cfRule type="expression" dxfId="104" priority="69" stopIfTrue="1">
      <formula>IF(#REF!="Nâg Lươg Sớm sau TB",1,0)</formula>
    </cfRule>
    <cfRule type="expression" dxfId="103" priority="70" stopIfTrue="1">
      <formula>IF(#REF!="Nâg PC TNVK cùng QĐ",1,0)</formula>
    </cfRule>
  </conditionalFormatting>
  <conditionalFormatting sqref="BR17:BR48 BR50">
    <cfRule type="expression" dxfId="102" priority="60" stopIfTrue="1">
      <formula>IF(AND(#REF!&gt;0,#REF!&lt;5),1,0)</formula>
    </cfRule>
    <cfRule type="expression" dxfId="101" priority="61" stopIfTrue="1">
      <formula>IF(#REF!=5,1,0)</formula>
    </cfRule>
    <cfRule type="expression" dxfId="100" priority="62" stopIfTrue="1">
      <formula>IF(#REF!&gt;5,1,0)</formula>
    </cfRule>
  </conditionalFormatting>
  <conditionalFormatting sqref="A17:A48 A50">
    <cfRule type="expression" dxfId="99" priority="58" stopIfTrue="1">
      <formula>IF(#REF!="Hưu",1,0)</formula>
    </cfRule>
    <cfRule type="expression" dxfId="98" priority="59" stopIfTrue="1">
      <formula>IF(#REF!="Quá",1,0)</formula>
    </cfRule>
  </conditionalFormatting>
  <conditionalFormatting sqref="BE17:BE48 BE50 DE17:DE48 DE50">
    <cfRule type="expression" dxfId="97" priority="56" stopIfTrue="1">
      <formula>IF(#REF!&gt;0,1,0)</formula>
    </cfRule>
    <cfRule type="expression" dxfId="96" priority="57" stopIfTrue="1">
      <formula>IF(#REF!=0,1,0)</formula>
    </cfRule>
  </conditionalFormatting>
  <conditionalFormatting sqref="BB17:BB48 BB50">
    <cfRule type="expression" dxfId="95" priority="55" stopIfTrue="1">
      <formula>IF(OR(#REF!="Lương Sớm Hưu",#REF!="Nâng Ngạch Hưu"),1,0)</formula>
    </cfRule>
  </conditionalFormatting>
  <conditionalFormatting sqref="BI17:BI48 BI50 DJ17:DJ48 DJ50">
    <cfRule type="expression" dxfId="94" priority="52" stopIfTrue="1">
      <formula>IF(#REF!="Nâg Ngạch sau TB",1,0)</formula>
    </cfRule>
    <cfRule type="expression" dxfId="93" priority="53" stopIfTrue="1">
      <formula>IF(#REF!="Nâg Lươg Sớm sau TB",1,0)</formula>
    </cfRule>
    <cfRule type="expression" dxfId="92" priority="54" stopIfTrue="1">
      <formula>IF(#REF!="Nâg PC TNVK cùng QĐ",1,0)</formula>
    </cfRule>
  </conditionalFormatting>
  <conditionalFormatting sqref="DB17:DB48 DB50">
    <cfRule type="expression" dxfId="91" priority="49" stopIfTrue="1">
      <formula>IF(OR(#REF!="Lương Sớm Hưu",#REF!="Nâng Ngạch Hưu"),1,0)</formula>
    </cfRule>
  </conditionalFormatting>
  <conditionalFormatting sqref="DN17:DN48 DN50">
    <cfRule type="expression" dxfId="90" priority="43" stopIfTrue="1">
      <formula>IF(FF17="Hưu",1,0)</formula>
    </cfRule>
    <cfRule type="expression" dxfId="89" priority="44" stopIfTrue="1">
      <formula>IF(FF17="Quá",1,0)</formula>
    </cfRule>
    <cfRule type="expression" dxfId="88" priority="45" stopIfTrue="1">
      <formula>IF(EN17="Lùi",1,0)</formula>
    </cfRule>
  </conditionalFormatting>
  <conditionalFormatting sqref="DU17:DU48 DU50">
    <cfRule type="expression" dxfId="87" priority="41" stopIfTrue="1">
      <formula>IF(FK17="Hưu",1,0)</formula>
    </cfRule>
    <cfRule type="expression" dxfId="86" priority="42" stopIfTrue="1">
      <formula>IF(FK17="Quá",1,0)</formula>
    </cfRule>
  </conditionalFormatting>
  <conditionalFormatting sqref="CU17:CU48 CU50">
    <cfRule type="cellIs" dxfId="85" priority="38" stopIfTrue="1" operator="between">
      <formula>"Hưu"</formula>
      <formula>"Hưu"</formula>
    </cfRule>
    <cfRule type="cellIs" dxfId="84" priority="39" stopIfTrue="1" operator="between">
      <formula>"---"</formula>
      <formula>"---"</formula>
    </cfRule>
    <cfRule type="cellIs" dxfId="83" priority="40" stopIfTrue="1" operator="between">
      <formula>"Quá"</formula>
      <formula>"Quá"</formula>
    </cfRule>
  </conditionalFormatting>
  <conditionalFormatting sqref="BF17:BF48 BF50">
    <cfRule type="cellIs" dxfId="82" priority="37" stopIfTrue="1" operator="between">
      <formula>4</formula>
      <formula>4</formula>
    </cfRule>
  </conditionalFormatting>
  <conditionalFormatting sqref="BE17:BE48 BE50">
    <cfRule type="expression" dxfId="81" priority="35" stopIfTrue="1">
      <formula>IF(BE17="Đến %",1,0)</formula>
    </cfRule>
    <cfRule type="expression" dxfId="80" priority="36" stopIfTrue="1">
      <formula>IF(BE17="Dừng %",1,0)</formula>
    </cfRule>
  </conditionalFormatting>
  <conditionalFormatting sqref="BW17:BW48 BW50">
    <cfRule type="cellIs" dxfId="79" priority="34" stopIfTrue="1" operator="between">
      <formula>0</formula>
      <formula>13</formula>
    </cfRule>
  </conditionalFormatting>
  <conditionalFormatting sqref="EC17:EC48 EC50">
    <cfRule type="expression" dxfId="78" priority="33" stopIfTrue="1">
      <formula>IF(EC17="Sửa",1,0)</formula>
    </cfRule>
  </conditionalFormatting>
  <conditionalFormatting sqref="BS17:BS48 BS50">
    <cfRule type="expression" dxfId="77" priority="32" stopIfTrue="1">
      <formula>IF(AND(BX17=0,OR($AA$4-BS17&gt;BX17,$AA$4-BS17&lt;BX17)),1,0)</formula>
    </cfRule>
  </conditionalFormatting>
  <conditionalFormatting sqref="BM17:BM48 BM50">
    <cfRule type="expression" dxfId="76" priority="31" stopIfTrue="1">
      <formula>IF(AND(BX17=0,BM17&gt;0),1,0)</formula>
    </cfRule>
  </conditionalFormatting>
  <conditionalFormatting sqref="BI17:BJ48 BI50:BJ50">
    <cfRule type="expression" dxfId="75" priority="30" stopIfTrue="1">
      <formula>IF(AND(BR17=0,OR($AA$4-BI17&gt;BR17,$AA$4-BI17&lt;BR17)),1,0)</formula>
    </cfRule>
  </conditionalFormatting>
  <conditionalFormatting sqref="BQ17:BQ48 BQ50">
    <cfRule type="expression" dxfId="74" priority="29" stopIfTrue="1">
      <formula>IF(AND(BN17=0,OR($AA$4-BQ17&gt;BN17,$AA$4-BQ17&lt;BN17)),1,0)</formula>
    </cfRule>
  </conditionalFormatting>
  <conditionalFormatting sqref="C17:C48 C50">
    <cfRule type="expression" dxfId="73" priority="26" stopIfTrue="1">
      <formula>IF(CX17="Hưu",1,0)</formula>
    </cfRule>
    <cfRule type="expression" dxfId="72" priority="27" stopIfTrue="1">
      <formula>IF(CX17="Quá",1,0)</formula>
    </cfRule>
    <cfRule type="expression" dxfId="71" priority="28" stopIfTrue="1">
      <formula>IF(BC17="Lùi",1,0)</formula>
    </cfRule>
  </conditionalFormatting>
  <conditionalFormatting sqref="A17:A48 A50">
    <cfRule type="expression" dxfId="70" priority="23" stopIfTrue="1">
      <formula>IF(CV17="Hưu",1,0)</formula>
    </cfRule>
    <cfRule type="expression" dxfId="69" priority="24" stopIfTrue="1">
      <formula>IF(CV17="Quá",1,0)</formula>
    </cfRule>
    <cfRule type="expression" dxfId="68" priority="25" stopIfTrue="1">
      <formula>IF(AM17="Lùi",1,0)</formula>
    </cfRule>
  </conditionalFormatting>
  <conditionalFormatting sqref="BJ51 DK51">
    <cfRule type="cellIs" dxfId="67" priority="20" stopIfTrue="1" operator="between">
      <formula>"Hưu"</formula>
      <formula>"Hưu"</formula>
    </cfRule>
    <cfRule type="cellIs" dxfId="66" priority="21" stopIfTrue="1" operator="between">
      <formula>"---"</formula>
      <formula>"---"</formula>
    </cfRule>
    <cfRule type="cellIs" dxfId="65" priority="22" stopIfTrue="1" operator="between">
      <formula>"Quá"</formula>
      <formula>"Quá"</formula>
    </cfRule>
  </conditionalFormatting>
  <conditionalFormatting sqref="DB51 BB51">
    <cfRule type="cellIs" dxfId="64" priority="18" stopIfTrue="1" operator="between">
      <formula>"Đến"</formula>
      <formula>"Đến"</formula>
    </cfRule>
    <cfRule type="cellIs" dxfId="63" priority="19" stopIfTrue="1" operator="between">
      <formula>"Quá"</formula>
      <formula>"Quá"</formula>
    </cfRule>
  </conditionalFormatting>
  <conditionalFormatting sqref="BR51">
    <cfRule type="expression" dxfId="62" priority="15" stopIfTrue="1">
      <formula>IF(AND(#REF!&gt;0,#REF!&lt;5),1,0)</formula>
    </cfRule>
    <cfRule type="expression" dxfId="61" priority="16" stopIfTrue="1">
      <formula>IF(#REF!=5,1,0)</formula>
    </cfRule>
    <cfRule type="expression" dxfId="60" priority="17" stopIfTrue="1">
      <formula>IF(#REF!&gt;5,1,0)</formula>
    </cfRule>
  </conditionalFormatting>
  <conditionalFormatting sqref="A51">
    <cfRule type="expression" dxfId="59" priority="13" stopIfTrue="1">
      <formula>IF(#REF!="Hưu",1,0)</formula>
    </cfRule>
    <cfRule type="expression" dxfId="58" priority="14" stopIfTrue="1">
      <formula>IF(#REF!="Quá",1,0)</formula>
    </cfRule>
  </conditionalFormatting>
  <conditionalFormatting sqref="BE51">
    <cfRule type="expression" dxfId="57" priority="11" stopIfTrue="1">
      <formula>IF(#REF!&gt;0,1,0)</formula>
    </cfRule>
    <cfRule type="expression" dxfId="56" priority="12" stopIfTrue="1">
      <formula>IF(#REF!=0,1,0)</formula>
    </cfRule>
  </conditionalFormatting>
  <conditionalFormatting sqref="BB51">
    <cfRule type="expression" dxfId="55" priority="10" stopIfTrue="1">
      <formula>IF(OR(#REF!="Lương Sớm Hưu",#REF!="Nâng Ngạch Hưu"),1,0)</formula>
    </cfRule>
  </conditionalFormatting>
  <conditionalFormatting sqref="BI51">
    <cfRule type="expression" dxfId="54" priority="7" stopIfTrue="1">
      <formula>IF(#REF!="Nâg Ngạch sau TB",1,0)</formula>
    </cfRule>
    <cfRule type="expression" dxfId="53" priority="8" stopIfTrue="1">
      <formula>IF(#REF!="Nâg Lươg Sớm sau TB",1,0)</formula>
    </cfRule>
    <cfRule type="expression" dxfId="52" priority="9" stopIfTrue="1">
      <formula>IF(#REF!="Nâg PC TNVK cùng QĐ",1,0)</formula>
    </cfRule>
  </conditionalFormatting>
  <conditionalFormatting sqref="DE51">
    <cfRule type="expression" dxfId="51" priority="5" stopIfTrue="1">
      <formula>IF(#REF!&gt;0,1,0)</formula>
    </cfRule>
    <cfRule type="expression" dxfId="50" priority="6" stopIfTrue="1">
      <formula>IF(#REF!=0,1,0)</formula>
    </cfRule>
  </conditionalFormatting>
  <conditionalFormatting sqref="DB51">
    <cfRule type="expression" dxfId="49" priority="4" stopIfTrue="1">
      <formula>IF(OR(#REF!="Lương Sớm Hưu",#REF!="Nâng Ngạch Hưu"),1,0)</formula>
    </cfRule>
  </conditionalFormatting>
  <conditionalFormatting sqref="DJ51">
    <cfRule type="expression" dxfId="48" priority="1" stopIfTrue="1">
      <formula>IF(#REF!="Nâg Ngạch sau TB",1,0)</formula>
    </cfRule>
    <cfRule type="expression" dxfId="47" priority="2" stopIfTrue="1">
      <formula>IF(#REF!="Nâg Lươg Sớm sau TB",1,0)</formula>
    </cfRule>
    <cfRule type="expression" dxfId="46" priority="3" stopIfTrue="1">
      <formula>IF(#REF!="Nâg PC TNVK cùng QĐ",1,0)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34"/>
  <sheetViews>
    <sheetView showGridLines="0" showRuler="0" view="pageBreakPreview" topLeftCell="B19" zoomScaleNormal="100" zoomScaleSheetLayoutView="100" zoomScalePageLayoutView="85" workbookViewId="0">
      <selection activeCell="BL9" sqref="BL9"/>
    </sheetView>
  </sheetViews>
  <sheetFormatPr defaultRowHeight="12.75" x14ac:dyDescent="0.2"/>
  <cols>
    <col min="1" max="1" width="0.85546875" style="196" hidden="1" customWidth="1"/>
    <col min="2" max="2" width="4.5703125" style="443" customWidth="1"/>
    <col min="3" max="3" width="0.140625" style="443" hidden="1" customWidth="1"/>
    <col min="4" max="4" width="5.85546875" style="443" hidden="1" customWidth="1"/>
    <col min="5" max="5" width="16.7109375" style="443" customWidth="1"/>
    <col min="6" max="6" width="10" style="443" customWidth="1"/>
    <col min="7" max="7" width="2.85546875" style="443" hidden="1" customWidth="1"/>
    <col min="8" max="8" width="4.7109375" style="443" hidden="1" customWidth="1"/>
    <col min="9" max="9" width="3" style="443" hidden="1" customWidth="1"/>
    <col min="10" max="10" width="3.140625" style="443" hidden="1" customWidth="1"/>
    <col min="11" max="14" width="2.5703125" style="443" hidden="1" customWidth="1"/>
    <col min="15" max="15" width="3.7109375" style="443" hidden="1" customWidth="1"/>
    <col min="16" max="17" width="4" style="443" hidden="1" customWidth="1"/>
    <col min="18" max="18" width="16.42578125" style="135" hidden="1" customWidth="1"/>
    <col min="19" max="19" width="27.5703125" style="144" customWidth="1"/>
    <col min="20" max="20" width="1.85546875" style="443" hidden="1" customWidth="1"/>
    <col min="21" max="22" width="4.5703125" style="443" hidden="1" customWidth="1"/>
    <col min="23" max="23" width="15.28515625" style="407" customWidth="1"/>
    <col min="24" max="24" width="10.42578125" style="359" customWidth="1"/>
    <col min="25" max="25" width="17.28515625" style="443" hidden="1" customWidth="1"/>
    <col min="26" max="26" width="8.85546875" style="443" hidden="1" customWidth="1"/>
    <col min="27" max="27" width="6" style="443" hidden="1" customWidth="1"/>
    <col min="28" max="28" width="3.42578125" style="443" hidden="1" customWidth="1"/>
    <col min="29" max="29" width="1.42578125" style="443" hidden="1" customWidth="1"/>
    <col min="30" max="30" width="3.7109375" style="443" hidden="1" customWidth="1"/>
    <col min="31" max="37" width="5.85546875" style="359" hidden="1" customWidth="1"/>
    <col min="38" max="40" width="2.42578125" style="359" hidden="1" customWidth="1"/>
    <col min="41" max="41" width="3.28515625" style="443" hidden="1" customWidth="1"/>
    <col min="42" max="42" width="1.28515625" style="443" hidden="1" customWidth="1"/>
    <col min="43" max="43" width="3.42578125" style="443" hidden="1" customWidth="1"/>
    <col min="44" max="45" width="7" style="443" hidden="1" customWidth="1"/>
    <col min="46" max="46" width="3.7109375" style="443" hidden="1" customWidth="1"/>
    <col min="47" max="47" width="1.7109375" style="443" hidden="1" customWidth="1"/>
    <col min="48" max="48" width="3.140625" style="443" hidden="1" customWidth="1"/>
    <col min="49" max="49" width="1.7109375" style="443" hidden="1" customWidth="1"/>
    <col min="50" max="50" width="6.42578125" style="443" hidden="1" customWidth="1"/>
    <col min="51" max="51" width="9.140625" style="443" hidden="1" customWidth="1"/>
    <col min="52" max="52" width="7" style="443" hidden="1" customWidth="1"/>
    <col min="53" max="53" width="5.5703125" style="443" hidden="1" customWidth="1"/>
    <col min="54" max="56" width="9.140625" style="443" hidden="1" customWidth="1"/>
    <col min="57" max="57" width="7.5703125" style="359" hidden="1" customWidth="1"/>
    <col min="58" max="58" width="4.28515625" style="443" customWidth="1"/>
    <col min="59" max="59" width="4.140625" style="443" customWidth="1"/>
    <col min="60" max="60" width="2.5703125" style="443" hidden="1" customWidth="1"/>
    <col min="61" max="61" width="0.85546875" style="134" hidden="1" customWidth="1"/>
    <col min="62" max="62" width="4" style="75" customWidth="1"/>
    <col min="63" max="63" width="3" style="134" customWidth="1"/>
    <col min="64" max="64" width="7.28515625" style="134" customWidth="1"/>
    <col min="65" max="65" width="6" style="337" customWidth="1"/>
    <col min="66" max="66" width="9.28515625" style="134" customWidth="1"/>
    <col min="67" max="67" width="3.42578125" style="443" customWidth="1"/>
    <col min="68" max="68" width="3.140625" style="443" customWidth="1"/>
    <col min="69" max="69" width="3.140625" style="75" hidden="1" customWidth="1"/>
    <col min="70" max="70" width="0.85546875" style="134" hidden="1" customWidth="1"/>
    <col min="71" max="71" width="3" style="547" customWidth="1"/>
    <col min="72" max="72" width="2" style="134" customWidth="1"/>
    <col min="73" max="73" width="7" style="134" customWidth="1"/>
    <col min="74" max="74" width="12" style="443" customWidth="1"/>
    <col min="75" max="75" width="9.140625" style="466" hidden="1" customWidth="1"/>
    <col min="76" max="76" width="7.42578125" style="479" hidden="1" customWidth="1"/>
    <col min="77" max="77" width="9.140625" style="479" hidden="1" customWidth="1"/>
    <col min="78" max="79" width="9.140625" style="478" hidden="1" customWidth="1"/>
    <col min="80" max="80" width="7.42578125" style="478" hidden="1" customWidth="1"/>
    <col min="81" max="82" width="0" style="478" hidden="1" customWidth="1"/>
    <col min="83" max="83" width="10.28515625" style="337" hidden="1" customWidth="1"/>
    <col min="84" max="84" width="13.85546875" style="337" hidden="1" customWidth="1"/>
    <col min="85" max="86" width="0" style="478" hidden="1" customWidth="1"/>
    <col min="87" max="87" width="13.85546875" style="478" hidden="1" customWidth="1"/>
    <col min="88" max="95" width="0" style="478" hidden="1" customWidth="1"/>
    <col min="96" max="105" width="0" style="460" hidden="1" customWidth="1"/>
    <col min="106" max="171" width="0" style="196" hidden="1" customWidth="1"/>
    <col min="172" max="216" width="9.140625" style="461"/>
    <col min="217" max="232" width="9.140625" style="338"/>
    <col min="233" max="16384" width="9.140625" style="196"/>
  </cols>
  <sheetData>
    <row r="1" spans="1:232" s="76" customFormat="1" ht="18.75" customHeight="1" x14ac:dyDescent="0.2">
      <c r="A1" s="1"/>
      <c r="B1" s="779" t="s">
        <v>62</v>
      </c>
      <c r="C1" s="779"/>
      <c r="D1" s="779"/>
      <c r="E1" s="779"/>
      <c r="F1" s="779"/>
      <c r="G1" s="779"/>
      <c r="H1" s="779"/>
      <c r="I1" s="779"/>
      <c r="J1" s="779"/>
      <c r="K1" s="779"/>
      <c r="L1" s="779"/>
      <c r="M1" s="779"/>
      <c r="N1" s="779"/>
      <c r="O1" s="779"/>
      <c r="P1" s="779"/>
      <c r="Q1" s="779"/>
      <c r="R1" s="779"/>
      <c r="S1" s="780" t="s">
        <v>14</v>
      </c>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c r="BO1" s="780"/>
      <c r="BP1" s="780"/>
      <c r="BQ1" s="780"/>
      <c r="BR1" s="780"/>
      <c r="BS1" s="780"/>
      <c r="BT1" s="780"/>
      <c r="BU1" s="780"/>
      <c r="BW1" s="466"/>
      <c r="BX1" s="467"/>
      <c r="BY1" s="467"/>
      <c r="BZ1" s="468"/>
      <c r="CA1" s="468"/>
      <c r="CB1" s="468"/>
      <c r="CC1" s="468"/>
      <c r="CD1" s="468"/>
      <c r="CE1" s="469"/>
      <c r="CF1" s="469"/>
      <c r="CG1" s="468"/>
      <c r="CH1" s="468"/>
      <c r="CI1" s="468"/>
      <c r="CJ1" s="468"/>
      <c r="CK1" s="468"/>
      <c r="CL1" s="468"/>
      <c r="CM1" s="468"/>
      <c r="CN1" s="468"/>
      <c r="CO1" s="468"/>
      <c r="CP1" s="468"/>
      <c r="CQ1" s="468"/>
      <c r="CR1" s="456"/>
      <c r="CS1" s="456"/>
      <c r="CT1" s="456"/>
      <c r="CU1" s="456"/>
      <c r="CV1" s="456"/>
      <c r="CW1" s="456"/>
      <c r="CX1" s="456"/>
      <c r="CY1" s="456"/>
      <c r="CZ1" s="456"/>
      <c r="DA1" s="456"/>
      <c r="FP1" s="455"/>
      <c r="FQ1" s="455"/>
      <c r="FR1" s="455"/>
      <c r="FS1" s="455"/>
      <c r="FT1" s="455"/>
      <c r="FU1" s="455"/>
      <c r="FV1" s="455"/>
      <c r="FW1" s="455"/>
      <c r="FX1" s="455"/>
      <c r="FY1" s="455"/>
      <c r="FZ1" s="455"/>
      <c r="GA1" s="455"/>
      <c r="GB1" s="455"/>
      <c r="GC1" s="455"/>
      <c r="GD1" s="455"/>
      <c r="GE1" s="455"/>
      <c r="GF1" s="455"/>
      <c r="GG1" s="455"/>
      <c r="GH1" s="455"/>
      <c r="GI1" s="455"/>
      <c r="GJ1" s="455"/>
      <c r="GK1" s="455"/>
      <c r="GL1" s="455"/>
      <c r="GM1" s="455"/>
      <c r="GN1" s="455"/>
      <c r="GO1" s="455"/>
      <c r="GP1" s="455"/>
      <c r="GQ1" s="455"/>
      <c r="GR1" s="455"/>
      <c r="GS1" s="455"/>
      <c r="GT1" s="455"/>
      <c r="GU1" s="455"/>
      <c r="GV1" s="455"/>
      <c r="GW1" s="455"/>
      <c r="GX1" s="455"/>
      <c r="GY1" s="455"/>
      <c r="GZ1" s="455"/>
      <c r="HA1" s="455"/>
      <c r="HB1" s="455"/>
      <c r="HC1" s="455"/>
      <c r="HD1" s="455"/>
      <c r="HE1" s="455"/>
      <c r="HF1" s="455"/>
      <c r="HG1" s="455"/>
      <c r="HH1" s="455"/>
      <c r="HI1" s="124"/>
      <c r="HJ1" s="124"/>
      <c r="HK1" s="124"/>
      <c r="HL1" s="124"/>
      <c r="HM1" s="124"/>
      <c r="HN1" s="124"/>
      <c r="HO1" s="124"/>
      <c r="HP1" s="124"/>
      <c r="HQ1" s="124"/>
      <c r="HR1" s="124"/>
      <c r="HS1" s="124"/>
      <c r="HT1" s="124"/>
      <c r="HU1" s="124"/>
      <c r="HV1" s="124"/>
      <c r="HW1" s="124"/>
      <c r="HX1" s="124"/>
    </row>
    <row r="2" spans="1:232" s="76" customFormat="1" ht="15" x14ac:dyDescent="0.25">
      <c r="B2" s="780" t="s">
        <v>154</v>
      </c>
      <c r="C2" s="780"/>
      <c r="D2" s="780"/>
      <c r="E2" s="780"/>
      <c r="F2" s="780"/>
      <c r="G2" s="780"/>
      <c r="H2" s="780"/>
      <c r="I2" s="780"/>
      <c r="J2" s="780"/>
      <c r="K2" s="780"/>
      <c r="L2" s="780"/>
      <c r="M2" s="780"/>
      <c r="N2" s="780"/>
      <c r="O2" s="780"/>
      <c r="P2" s="780"/>
      <c r="Q2" s="780"/>
      <c r="R2" s="780"/>
      <c r="S2" s="781" t="s">
        <v>15</v>
      </c>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c r="BK2" s="781"/>
      <c r="BL2" s="781"/>
      <c r="BM2" s="781"/>
      <c r="BN2" s="781"/>
      <c r="BO2" s="781"/>
      <c r="BP2" s="781"/>
      <c r="BQ2" s="781"/>
      <c r="BR2" s="781"/>
      <c r="BS2" s="781"/>
      <c r="BT2" s="781"/>
      <c r="BU2" s="781"/>
      <c r="BW2" s="466"/>
      <c r="BX2" s="467"/>
      <c r="BY2" s="467"/>
      <c r="BZ2" s="468"/>
      <c r="CA2" s="468"/>
      <c r="CB2" s="468"/>
      <c r="CC2" s="468"/>
      <c r="CD2" s="468"/>
      <c r="CE2" s="469"/>
      <c r="CF2" s="469"/>
      <c r="CG2" s="468"/>
      <c r="CH2" s="468"/>
      <c r="CI2" s="468"/>
      <c r="CJ2" s="468"/>
      <c r="CK2" s="468"/>
      <c r="CL2" s="468"/>
      <c r="CM2" s="468"/>
      <c r="CN2" s="468"/>
      <c r="CO2" s="468"/>
      <c r="CP2" s="468"/>
      <c r="CQ2" s="468"/>
      <c r="CR2" s="456"/>
      <c r="CS2" s="456"/>
      <c r="CT2" s="456"/>
      <c r="CU2" s="456"/>
      <c r="CV2" s="456"/>
      <c r="CW2" s="456"/>
      <c r="CX2" s="456"/>
      <c r="CY2" s="456"/>
      <c r="CZ2" s="456"/>
      <c r="DA2" s="456"/>
      <c r="FP2" s="455"/>
      <c r="FQ2" s="455"/>
      <c r="FR2" s="455"/>
      <c r="FS2" s="455"/>
      <c r="FT2" s="455"/>
      <c r="FU2" s="455"/>
      <c r="FV2" s="455"/>
      <c r="FW2" s="455"/>
      <c r="FX2" s="455"/>
      <c r="FY2" s="455"/>
      <c r="FZ2" s="455"/>
      <c r="GA2" s="455"/>
      <c r="GB2" s="455"/>
      <c r="GC2" s="455"/>
      <c r="GD2" s="455"/>
      <c r="GE2" s="455"/>
      <c r="GF2" s="455"/>
      <c r="GG2" s="455"/>
      <c r="GH2" s="455"/>
      <c r="GI2" s="455"/>
      <c r="GJ2" s="455"/>
      <c r="GK2" s="455"/>
      <c r="GL2" s="455"/>
      <c r="GM2" s="455"/>
      <c r="GN2" s="455"/>
      <c r="GO2" s="455"/>
      <c r="GP2" s="455"/>
      <c r="GQ2" s="455"/>
      <c r="GR2" s="455"/>
      <c r="GS2" s="455"/>
      <c r="GT2" s="455"/>
      <c r="GU2" s="455"/>
      <c r="GV2" s="455"/>
      <c r="GW2" s="455"/>
      <c r="GX2" s="455"/>
      <c r="GY2" s="455"/>
      <c r="GZ2" s="455"/>
      <c r="HA2" s="455"/>
      <c r="HB2" s="455"/>
      <c r="HC2" s="455"/>
      <c r="HD2" s="455"/>
      <c r="HE2" s="455"/>
      <c r="HF2" s="455"/>
      <c r="HG2" s="455"/>
      <c r="HH2" s="455"/>
      <c r="HI2" s="124"/>
      <c r="HJ2" s="124"/>
      <c r="HK2" s="124"/>
      <c r="HL2" s="124"/>
      <c r="HM2" s="124"/>
      <c r="HN2" s="124"/>
      <c r="HO2" s="124"/>
      <c r="HP2" s="124"/>
      <c r="HQ2" s="124"/>
      <c r="HR2" s="124"/>
      <c r="HS2" s="124"/>
      <c r="HT2" s="124"/>
      <c r="HU2" s="124"/>
      <c r="HV2" s="124"/>
      <c r="HW2" s="124"/>
      <c r="HX2" s="124"/>
    </row>
    <row r="3" spans="1:232" s="73" customFormat="1" ht="25.5" customHeight="1" x14ac:dyDescent="0.3">
      <c r="A3" s="74"/>
      <c r="B3" s="443"/>
      <c r="C3" s="74"/>
      <c r="D3" s="74"/>
      <c r="E3" s="40"/>
      <c r="F3" s="41"/>
      <c r="G3" s="41"/>
      <c r="H3" s="41"/>
      <c r="I3" s="41"/>
      <c r="J3" s="42"/>
      <c r="K3" s="43"/>
      <c r="L3" s="43"/>
      <c r="M3" s="43"/>
      <c r="N3" s="43"/>
      <c r="O3" s="43"/>
      <c r="P3" s="43"/>
      <c r="Q3" s="43"/>
      <c r="R3" s="32"/>
      <c r="S3" s="144"/>
      <c r="T3" s="40"/>
      <c r="U3" s="40"/>
      <c r="V3" s="40"/>
      <c r="W3" s="179"/>
      <c r="X3" s="39"/>
      <c r="Y3" s="39"/>
      <c r="Z3" s="41"/>
      <c r="AA3" s="443"/>
      <c r="AB3" s="443"/>
      <c r="AC3" s="443"/>
      <c r="AD3" s="443"/>
      <c r="AE3" s="359"/>
      <c r="AF3" s="359"/>
      <c r="AG3" s="359"/>
      <c r="AH3" s="359"/>
      <c r="AI3" s="359"/>
      <c r="AJ3" s="359"/>
      <c r="AK3" s="359"/>
      <c r="AL3" s="359"/>
      <c r="AM3" s="359"/>
      <c r="AN3" s="359"/>
      <c r="AO3" s="443"/>
      <c r="AP3" s="443"/>
      <c r="AQ3" s="443"/>
      <c r="AR3" s="443"/>
      <c r="AS3" s="443"/>
      <c r="AT3" s="443"/>
      <c r="AU3" s="443"/>
      <c r="AV3" s="443"/>
      <c r="AW3" s="443"/>
      <c r="AX3" s="443"/>
      <c r="AY3" s="43"/>
      <c r="AZ3" s="443"/>
      <c r="BA3" s="443"/>
      <c r="BE3" s="195"/>
      <c r="BG3" s="443"/>
      <c r="BH3" s="443"/>
      <c r="BI3" s="134"/>
      <c r="BJ3" s="44"/>
      <c r="BK3" s="327"/>
      <c r="BL3" s="134"/>
      <c r="BM3" s="337"/>
      <c r="BN3" s="134"/>
      <c r="BR3" s="133"/>
      <c r="BS3" s="128"/>
      <c r="BT3" s="327"/>
      <c r="BU3" s="134"/>
      <c r="BW3" s="470"/>
      <c r="BX3" s="471"/>
      <c r="BY3" s="471"/>
      <c r="BZ3" s="472"/>
      <c r="CA3" s="472"/>
      <c r="CB3" s="472"/>
      <c r="CC3" s="472"/>
      <c r="CD3" s="472"/>
      <c r="CE3" s="405"/>
      <c r="CF3" s="405"/>
      <c r="CG3" s="472"/>
      <c r="CH3" s="472"/>
      <c r="CI3" s="473"/>
      <c r="CJ3" s="472"/>
      <c r="CK3" s="472"/>
      <c r="CL3" s="472"/>
      <c r="CM3" s="472"/>
      <c r="CN3" s="472"/>
      <c r="CO3" s="472"/>
      <c r="CP3" s="472"/>
      <c r="CQ3" s="472"/>
      <c r="CR3" s="458"/>
      <c r="CS3" s="458"/>
      <c r="CT3" s="458"/>
      <c r="CU3" s="458"/>
      <c r="CV3" s="458"/>
      <c r="CW3" s="458"/>
      <c r="CX3" s="458"/>
      <c r="CY3" s="458"/>
      <c r="CZ3" s="458"/>
      <c r="DA3" s="458"/>
      <c r="FP3" s="457"/>
      <c r="FQ3" s="457"/>
      <c r="FR3" s="457"/>
      <c r="FS3" s="457"/>
      <c r="FT3" s="457"/>
      <c r="FU3" s="457"/>
      <c r="FV3" s="457"/>
      <c r="FW3" s="457"/>
      <c r="FX3" s="457"/>
      <c r="FY3" s="457"/>
      <c r="FZ3" s="457"/>
      <c r="GA3" s="457"/>
      <c r="GB3" s="457"/>
      <c r="GC3" s="457"/>
      <c r="GD3" s="457"/>
      <c r="GE3" s="457"/>
      <c r="GF3" s="457"/>
      <c r="GG3" s="457"/>
      <c r="GH3" s="457"/>
      <c r="GI3" s="457"/>
      <c r="GJ3" s="457"/>
      <c r="GK3" s="457"/>
      <c r="GL3" s="457"/>
      <c r="GM3" s="457"/>
      <c r="GN3" s="457"/>
      <c r="GO3" s="457"/>
      <c r="GP3" s="457"/>
      <c r="GQ3" s="457"/>
      <c r="GR3" s="457"/>
      <c r="GS3" s="457"/>
      <c r="GT3" s="457"/>
      <c r="GU3" s="457"/>
      <c r="GV3" s="457"/>
      <c r="GW3" s="457"/>
      <c r="GX3" s="457"/>
      <c r="GY3" s="457"/>
      <c r="GZ3" s="457"/>
      <c r="HA3" s="457"/>
      <c r="HB3" s="457"/>
      <c r="HC3" s="457"/>
      <c r="HD3" s="457"/>
      <c r="HE3" s="457"/>
      <c r="HF3" s="457"/>
      <c r="HG3" s="457"/>
      <c r="HH3" s="457"/>
      <c r="HI3" s="44"/>
      <c r="HJ3" s="44"/>
      <c r="HK3" s="44"/>
      <c r="HL3" s="44"/>
      <c r="HM3" s="44"/>
      <c r="HN3" s="44"/>
      <c r="HO3" s="44"/>
      <c r="HP3" s="44"/>
      <c r="HQ3" s="44"/>
      <c r="HR3" s="44"/>
      <c r="HS3" s="44"/>
      <c r="HT3" s="44"/>
      <c r="HU3" s="44"/>
      <c r="HV3" s="44"/>
      <c r="HW3" s="44"/>
      <c r="HX3" s="44"/>
    </row>
    <row r="4" spans="1:232" s="156" customFormat="1" ht="13.5" customHeight="1" x14ac:dyDescent="0.25">
      <c r="A4" s="69"/>
      <c r="B4" s="69"/>
      <c r="C4" s="69"/>
      <c r="D4" s="151"/>
      <c r="E4" s="69"/>
      <c r="F4" s="152"/>
      <c r="G4" s="69"/>
      <c r="H4" s="69"/>
      <c r="I4" s="69"/>
      <c r="J4" s="69"/>
      <c r="K4" s="69"/>
      <c r="L4" s="69"/>
      <c r="M4" s="69"/>
      <c r="N4" s="69"/>
      <c r="O4" s="69"/>
      <c r="P4" s="69"/>
      <c r="Q4" s="151"/>
      <c r="R4" s="153"/>
      <c r="S4" s="739" t="s">
        <v>205</v>
      </c>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W4" s="474"/>
      <c r="BX4" s="475"/>
      <c r="BY4" s="475"/>
      <c r="BZ4" s="475"/>
      <c r="CA4" s="475"/>
      <c r="CB4" s="475"/>
      <c r="CC4" s="475"/>
      <c r="CD4" s="475"/>
      <c r="CE4" s="475"/>
      <c r="CF4" s="475"/>
      <c r="CG4" s="475"/>
      <c r="CH4" s="475"/>
      <c r="CI4" s="475"/>
      <c r="CJ4" s="475"/>
      <c r="CK4" s="475"/>
      <c r="CL4" s="475"/>
      <c r="CM4" s="475"/>
      <c r="CN4" s="475"/>
      <c r="CO4" s="475"/>
      <c r="CP4" s="475"/>
      <c r="CQ4" s="475"/>
      <c r="CR4" s="459"/>
      <c r="CS4" s="459"/>
      <c r="CT4" s="459"/>
      <c r="CU4" s="459"/>
      <c r="CV4" s="459"/>
      <c r="CW4" s="459"/>
      <c r="CX4" s="459"/>
      <c r="CY4" s="459"/>
      <c r="CZ4" s="459"/>
      <c r="DA4" s="459"/>
      <c r="FP4" s="487"/>
      <c r="FQ4" s="487"/>
      <c r="FR4" s="487"/>
      <c r="FS4" s="487"/>
      <c r="FT4" s="487"/>
      <c r="FU4" s="487"/>
      <c r="FV4" s="487"/>
      <c r="FW4" s="487"/>
      <c r="FX4" s="487"/>
      <c r="FY4" s="487"/>
      <c r="FZ4" s="487"/>
      <c r="GA4" s="487"/>
      <c r="GB4" s="487"/>
      <c r="GC4" s="487"/>
      <c r="GD4" s="487"/>
      <c r="GE4" s="487"/>
      <c r="GF4" s="487"/>
      <c r="GG4" s="487"/>
      <c r="GH4" s="487"/>
      <c r="GI4" s="487"/>
      <c r="GJ4" s="487"/>
      <c r="GK4" s="487"/>
      <c r="GL4" s="487"/>
      <c r="GM4" s="487"/>
      <c r="GN4" s="487"/>
      <c r="GO4" s="487"/>
      <c r="GP4" s="487"/>
      <c r="GQ4" s="487"/>
      <c r="GR4" s="487"/>
      <c r="GS4" s="487"/>
      <c r="GT4" s="487"/>
      <c r="GU4" s="487"/>
      <c r="GV4" s="487"/>
      <c r="GW4" s="487"/>
      <c r="GX4" s="487"/>
      <c r="GY4" s="487"/>
      <c r="GZ4" s="487"/>
      <c r="HA4" s="487"/>
      <c r="HB4" s="487"/>
      <c r="HC4" s="487"/>
      <c r="HD4" s="487"/>
      <c r="HE4" s="487"/>
      <c r="HF4" s="487"/>
      <c r="HG4" s="487"/>
      <c r="HH4" s="487"/>
      <c r="HI4" s="481"/>
      <c r="HJ4" s="481"/>
      <c r="HK4" s="481"/>
      <c r="HL4" s="481"/>
      <c r="HM4" s="481"/>
      <c r="HN4" s="481"/>
      <c r="HO4" s="481"/>
      <c r="HP4" s="481"/>
      <c r="HQ4" s="481"/>
      <c r="HR4" s="481"/>
      <c r="HS4" s="481"/>
      <c r="HT4" s="481"/>
      <c r="HU4" s="481"/>
      <c r="HV4" s="481"/>
      <c r="HW4" s="481"/>
      <c r="HX4" s="481"/>
    </row>
    <row r="5" spans="1:232" ht="50.25" customHeight="1" x14ac:dyDescent="0.3">
      <c r="A5" s="2" t="s">
        <v>61</v>
      </c>
      <c r="B5" s="782" t="s">
        <v>301</v>
      </c>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2"/>
      <c r="AZ5" s="782"/>
      <c r="BA5" s="782"/>
      <c r="BB5" s="782"/>
      <c r="BC5" s="782"/>
      <c r="BD5" s="782"/>
      <c r="BE5" s="782"/>
      <c r="BF5" s="782"/>
      <c r="BG5" s="782"/>
      <c r="BH5" s="782"/>
      <c r="BI5" s="782"/>
      <c r="BJ5" s="782"/>
      <c r="BK5" s="782"/>
      <c r="BL5" s="782"/>
      <c r="BM5" s="782"/>
      <c r="BN5" s="782"/>
      <c r="BO5" s="782"/>
      <c r="BP5" s="782"/>
      <c r="BQ5" s="782"/>
      <c r="BR5" s="782"/>
      <c r="BS5" s="782"/>
      <c r="BT5" s="782"/>
      <c r="BU5" s="782"/>
      <c r="BV5" s="172"/>
      <c r="BW5" s="476"/>
      <c r="BX5" s="477"/>
      <c r="BY5" s="477"/>
      <c r="BZ5" s="477"/>
      <c r="CA5" s="477"/>
      <c r="CB5" s="477"/>
      <c r="CD5" s="468"/>
      <c r="DB5" s="443"/>
      <c r="DC5" s="443"/>
      <c r="DD5" s="443"/>
      <c r="DE5" s="443"/>
      <c r="DF5" s="443"/>
      <c r="DG5" s="443"/>
      <c r="DH5" s="443"/>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c r="EJ5" s="443"/>
      <c r="EK5" s="443"/>
      <c r="EL5" s="443"/>
      <c r="EM5" s="443"/>
      <c r="EN5" s="443"/>
      <c r="EO5" s="443"/>
      <c r="EP5" s="443"/>
      <c r="EQ5" s="443"/>
      <c r="ER5" s="443"/>
      <c r="ES5" s="443"/>
      <c r="ET5" s="443"/>
      <c r="EU5" s="443"/>
      <c r="EV5" s="443"/>
      <c r="EW5" s="443"/>
      <c r="EX5" s="443"/>
      <c r="EY5" s="443"/>
      <c r="EZ5" s="443"/>
      <c r="FA5" s="443"/>
      <c r="FB5" s="443"/>
      <c r="FC5" s="443"/>
      <c r="FD5" s="443"/>
      <c r="FE5" s="443"/>
      <c r="FF5" s="443"/>
      <c r="FG5" s="443"/>
      <c r="FH5" s="443"/>
      <c r="FI5" s="443"/>
      <c r="FJ5" s="443"/>
      <c r="FK5" s="443"/>
      <c r="FL5" s="443"/>
      <c r="FM5" s="443"/>
      <c r="FN5" s="443"/>
      <c r="FO5" s="443"/>
    </row>
    <row r="6" spans="1:232" s="667" customFormat="1" ht="23.25" customHeight="1" x14ac:dyDescent="0.2">
      <c r="A6" s="666"/>
      <c r="B6" s="667" t="s">
        <v>305</v>
      </c>
      <c r="W6" s="668"/>
      <c r="X6" s="668"/>
      <c r="BI6" s="669"/>
      <c r="BJ6" s="670"/>
      <c r="BK6" s="669"/>
      <c r="BM6" s="671"/>
      <c r="BO6" s="672"/>
      <c r="BP6" s="672"/>
      <c r="BR6" s="669"/>
      <c r="BS6" s="673"/>
      <c r="BT6" s="669"/>
      <c r="BU6" s="669"/>
      <c r="BW6" s="674"/>
      <c r="BX6" s="675"/>
      <c r="BY6" s="675"/>
      <c r="BZ6" s="675"/>
      <c r="CA6" s="671"/>
      <c r="CB6" s="676"/>
      <c r="CC6" s="671"/>
      <c r="CD6" s="671"/>
      <c r="CE6" s="671"/>
      <c r="CF6" s="671"/>
      <c r="CG6" s="671"/>
      <c r="CH6" s="671"/>
      <c r="CI6" s="671"/>
      <c r="CJ6" s="671"/>
      <c r="CK6" s="671"/>
      <c r="CL6" s="671"/>
      <c r="CM6" s="671"/>
      <c r="CN6" s="671"/>
      <c r="CO6" s="671"/>
      <c r="CP6" s="671"/>
      <c r="CQ6" s="671"/>
      <c r="CR6" s="677"/>
      <c r="CS6" s="677"/>
      <c r="CT6" s="677"/>
      <c r="CU6" s="677"/>
      <c r="CV6" s="677"/>
      <c r="CW6" s="677"/>
      <c r="CX6" s="677"/>
      <c r="CY6" s="677"/>
      <c r="CZ6" s="677"/>
      <c r="DA6" s="677"/>
      <c r="FP6" s="678"/>
      <c r="FQ6" s="678"/>
      <c r="FR6" s="678"/>
      <c r="FS6" s="678"/>
      <c r="FT6" s="678"/>
      <c r="FU6" s="678"/>
      <c r="FV6" s="678"/>
      <c r="FW6" s="678"/>
      <c r="FX6" s="678"/>
      <c r="FY6" s="678"/>
      <c r="FZ6" s="678"/>
      <c r="GA6" s="678"/>
      <c r="GB6" s="678"/>
      <c r="GC6" s="678"/>
      <c r="GD6" s="678"/>
      <c r="GE6" s="678"/>
      <c r="GF6" s="678"/>
      <c r="GG6" s="678"/>
      <c r="GH6" s="678"/>
      <c r="GI6" s="678"/>
      <c r="GJ6" s="678"/>
      <c r="GK6" s="678"/>
      <c r="GL6" s="678"/>
      <c r="GM6" s="678"/>
      <c r="GN6" s="678"/>
      <c r="GO6" s="678"/>
      <c r="GP6" s="678"/>
      <c r="GQ6" s="678"/>
      <c r="GR6" s="678"/>
      <c r="GS6" s="678"/>
      <c r="GT6" s="678"/>
      <c r="GU6" s="678"/>
      <c r="GV6" s="678"/>
      <c r="GW6" s="678"/>
      <c r="GX6" s="678"/>
      <c r="GY6" s="678"/>
      <c r="GZ6" s="678"/>
      <c r="HA6" s="678"/>
      <c r="HB6" s="678"/>
      <c r="HC6" s="678"/>
      <c r="HD6" s="678"/>
      <c r="HE6" s="678"/>
      <c r="HF6" s="678"/>
      <c r="HG6" s="678"/>
      <c r="HH6" s="678"/>
      <c r="HI6" s="679"/>
      <c r="HJ6" s="679"/>
      <c r="HK6" s="679"/>
      <c r="HL6" s="679"/>
      <c r="HM6" s="679"/>
      <c r="HN6" s="679"/>
      <c r="HO6" s="679"/>
      <c r="HP6" s="679"/>
      <c r="HQ6" s="679"/>
      <c r="HR6" s="679"/>
      <c r="HS6" s="679"/>
      <c r="HT6" s="679"/>
      <c r="HU6" s="679"/>
      <c r="HV6" s="679"/>
      <c r="HW6" s="679"/>
      <c r="HX6" s="679"/>
    </row>
    <row r="7" spans="1:232" s="680" customFormat="1" ht="17.25" x14ac:dyDescent="0.25">
      <c r="E7" s="681" t="s">
        <v>97</v>
      </c>
      <c r="R7" s="682"/>
      <c r="S7" s="683"/>
      <c r="W7" s="684"/>
      <c r="X7" s="685"/>
      <c r="AE7" s="685"/>
      <c r="AF7" s="685"/>
      <c r="AG7" s="685"/>
      <c r="AH7" s="685"/>
      <c r="AI7" s="685"/>
      <c r="AJ7" s="685"/>
      <c r="AK7" s="685"/>
      <c r="AL7" s="685"/>
      <c r="AM7" s="685"/>
      <c r="AN7" s="685"/>
      <c r="BE7" s="685"/>
      <c r="BI7" s="686"/>
      <c r="BJ7" s="687"/>
      <c r="BK7" s="686"/>
      <c r="BL7" s="686"/>
      <c r="BM7" s="688"/>
      <c r="BN7" s="686"/>
      <c r="BQ7" s="687"/>
      <c r="BR7" s="686"/>
      <c r="BS7" s="689"/>
      <c r="BT7" s="686"/>
      <c r="BU7" s="686"/>
      <c r="BW7" s="690"/>
      <c r="BX7" s="691"/>
      <c r="BY7" s="691"/>
      <c r="BZ7" s="692"/>
      <c r="CA7" s="692"/>
      <c r="CB7" s="692"/>
      <c r="CC7" s="692"/>
      <c r="CD7" s="692"/>
      <c r="CE7" s="688"/>
      <c r="CF7" s="688"/>
      <c r="CG7" s="692"/>
      <c r="CH7" s="692"/>
      <c r="CI7" s="692"/>
      <c r="CJ7" s="692"/>
      <c r="CK7" s="692"/>
      <c r="CL7" s="692"/>
      <c r="CM7" s="692"/>
      <c r="CN7" s="692"/>
      <c r="CO7" s="692"/>
      <c r="CP7" s="692"/>
      <c r="CQ7" s="692"/>
      <c r="CR7" s="693"/>
      <c r="CS7" s="693"/>
      <c r="CT7" s="693"/>
      <c r="CU7" s="693"/>
      <c r="CV7" s="693"/>
      <c r="CW7" s="693"/>
      <c r="CX7" s="693"/>
      <c r="CY7" s="693"/>
      <c r="CZ7" s="693"/>
      <c r="DA7" s="693"/>
      <c r="FP7" s="694"/>
      <c r="FQ7" s="694"/>
      <c r="FR7" s="694"/>
      <c r="FS7" s="694"/>
      <c r="FT7" s="694"/>
      <c r="FU7" s="694"/>
      <c r="FV7" s="694"/>
      <c r="FW7" s="694"/>
      <c r="FX7" s="694"/>
      <c r="FY7" s="694"/>
      <c r="FZ7" s="694"/>
      <c r="GA7" s="694"/>
      <c r="GB7" s="694"/>
      <c r="GC7" s="694"/>
      <c r="GD7" s="694"/>
      <c r="GE7" s="694"/>
      <c r="GF7" s="694"/>
      <c r="GG7" s="694"/>
      <c r="GH7" s="694"/>
      <c r="GI7" s="694"/>
      <c r="GJ7" s="694"/>
      <c r="GK7" s="694"/>
      <c r="GL7" s="694"/>
      <c r="GM7" s="694"/>
      <c r="GN7" s="694"/>
      <c r="GO7" s="694"/>
      <c r="GP7" s="694"/>
      <c r="GQ7" s="694"/>
      <c r="GR7" s="694"/>
      <c r="GS7" s="694"/>
      <c r="GT7" s="694"/>
      <c r="GU7" s="694"/>
      <c r="GV7" s="694"/>
      <c r="GW7" s="694"/>
      <c r="GX7" s="694"/>
      <c r="GY7" s="694"/>
      <c r="GZ7" s="694"/>
      <c r="HA7" s="694"/>
      <c r="HB7" s="694"/>
      <c r="HC7" s="694"/>
      <c r="HD7" s="694"/>
      <c r="HE7" s="694"/>
      <c r="HF7" s="694"/>
      <c r="HG7" s="694"/>
      <c r="HH7" s="694"/>
      <c r="HI7" s="695"/>
      <c r="HJ7" s="695"/>
      <c r="HK7" s="695"/>
      <c r="HL7" s="695"/>
      <c r="HM7" s="695"/>
      <c r="HN7" s="695"/>
      <c r="HO7" s="695"/>
      <c r="HP7" s="695"/>
      <c r="HQ7" s="695"/>
      <c r="HR7" s="695"/>
      <c r="HS7" s="695"/>
      <c r="HT7" s="695"/>
      <c r="HU7" s="695"/>
      <c r="HV7" s="695"/>
      <c r="HW7" s="695"/>
      <c r="HX7" s="695"/>
    </row>
    <row r="8" spans="1:232" s="680" customFormat="1" ht="24.75" customHeight="1" x14ac:dyDescent="0.25">
      <c r="E8" s="681" t="s">
        <v>306</v>
      </c>
      <c r="R8" s="682"/>
      <c r="S8" s="683"/>
      <c r="W8" s="684"/>
      <c r="X8" s="685"/>
      <c r="AE8" s="685"/>
      <c r="AF8" s="685"/>
      <c r="AG8" s="685"/>
      <c r="AH8" s="685"/>
      <c r="AI8" s="685"/>
      <c r="AJ8" s="685"/>
      <c r="AK8" s="685"/>
      <c r="AL8" s="685"/>
      <c r="AM8" s="685"/>
      <c r="AN8" s="685"/>
      <c r="BE8" s="685"/>
      <c r="BI8" s="686"/>
      <c r="BJ8" s="687"/>
      <c r="BK8" s="686"/>
      <c r="BL8" s="686"/>
      <c r="BM8" s="688"/>
      <c r="BN8" s="686"/>
      <c r="BQ8" s="687"/>
      <c r="BR8" s="686"/>
      <c r="BS8" s="689"/>
      <c r="BT8" s="686"/>
      <c r="BU8" s="686"/>
      <c r="BW8" s="690"/>
      <c r="BX8" s="691"/>
      <c r="BY8" s="691"/>
      <c r="BZ8" s="692"/>
      <c r="CA8" s="692"/>
      <c r="CB8" s="692"/>
      <c r="CC8" s="692"/>
      <c r="CD8" s="692"/>
      <c r="CE8" s="688"/>
      <c r="CF8" s="688"/>
      <c r="CG8" s="692"/>
      <c r="CH8" s="692"/>
      <c r="CI8" s="692"/>
      <c r="CJ8" s="692"/>
      <c r="CK8" s="692"/>
      <c r="CL8" s="692"/>
      <c r="CM8" s="692"/>
      <c r="CN8" s="692"/>
      <c r="CO8" s="692"/>
      <c r="CP8" s="692"/>
      <c r="CQ8" s="692"/>
      <c r="CR8" s="693"/>
      <c r="CS8" s="693"/>
      <c r="CT8" s="693"/>
      <c r="CU8" s="693"/>
      <c r="CV8" s="693"/>
      <c r="CW8" s="693"/>
      <c r="CX8" s="693"/>
      <c r="CY8" s="693"/>
      <c r="CZ8" s="693"/>
      <c r="DA8" s="693"/>
      <c r="FP8" s="694"/>
      <c r="FQ8" s="694"/>
      <c r="FR8" s="694"/>
      <c r="FS8" s="694"/>
      <c r="FT8" s="694"/>
      <c r="FU8" s="694"/>
      <c r="FV8" s="694"/>
      <c r="FW8" s="694"/>
      <c r="FX8" s="694"/>
      <c r="FY8" s="694"/>
      <c r="FZ8" s="694"/>
      <c r="GA8" s="694"/>
      <c r="GB8" s="694"/>
      <c r="GC8" s="694"/>
      <c r="GD8" s="694"/>
      <c r="GE8" s="694"/>
      <c r="GF8" s="694"/>
      <c r="GG8" s="694"/>
      <c r="GH8" s="694"/>
      <c r="GI8" s="694"/>
      <c r="GJ8" s="694"/>
      <c r="GK8" s="694"/>
      <c r="GL8" s="694"/>
      <c r="GM8" s="694"/>
      <c r="GN8" s="694"/>
      <c r="GO8" s="694"/>
      <c r="GP8" s="694"/>
      <c r="GQ8" s="694"/>
      <c r="GR8" s="694"/>
      <c r="GS8" s="694"/>
      <c r="GT8" s="694"/>
      <c r="GU8" s="694"/>
      <c r="GV8" s="694"/>
      <c r="GW8" s="694"/>
      <c r="GX8" s="694"/>
      <c r="GY8" s="694"/>
      <c r="GZ8" s="694"/>
      <c r="HA8" s="694"/>
      <c r="HB8" s="694"/>
      <c r="HC8" s="694"/>
      <c r="HD8" s="694"/>
      <c r="HE8" s="694"/>
      <c r="HF8" s="694"/>
      <c r="HG8" s="694"/>
      <c r="HH8" s="694"/>
      <c r="HI8" s="695"/>
      <c r="HJ8" s="695"/>
      <c r="HK8" s="695"/>
      <c r="HL8" s="695"/>
      <c r="HM8" s="695"/>
      <c r="HN8" s="695"/>
      <c r="HO8" s="695"/>
      <c r="HP8" s="695"/>
      <c r="HQ8" s="695"/>
      <c r="HR8" s="695"/>
      <c r="HS8" s="695"/>
      <c r="HT8" s="695"/>
      <c r="HU8" s="695"/>
      <c r="HV8" s="695"/>
      <c r="HW8" s="695"/>
      <c r="HX8" s="695"/>
    </row>
    <row r="9" spans="1:232" s="680" customFormat="1" ht="27" customHeight="1" x14ac:dyDescent="0.25">
      <c r="E9" s="681" t="s">
        <v>160</v>
      </c>
      <c r="R9" s="682"/>
      <c r="S9" s="683"/>
      <c r="W9" s="684"/>
      <c r="X9" s="685"/>
      <c r="AE9" s="685"/>
      <c r="AF9" s="685"/>
      <c r="AG9" s="685"/>
      <c r="AH9" s="685"/>
      <c r="AI9" s="685"/>
      <c r="AJ9" s="685"/>
      <c r="AK9" s="685"/>
      <c r="AL9" s="685"/>
      <c r="AM9" s="685"/>
      <c r="AN9" s="685"/>
      <c r="BE9" s="685"/>
      <c r="BI9" s="686"/>
      <c r="BJ9" s="687"/>
      <c r="BK9" s="686"/>
      <c r="BL9" s="686"/>
      <c r="BM9" s="688"/>
      <c r="BN9" s="686"/>
      <c r="BQ9" s="687"/>
      <c r="BR9" s="686"/>
      <c r="BS9" s="689"/>
      <c r="BT9" s="686"/>
      <c r="BU9" s="686"/>
      <c r="BW9" s="690"/>
      <c r="BX9" s="691"/>
      <c r="BY9" s="691"/>
      <c r="BZ9" s="692"/>
      <c r="CA9" s="692"/>
      <c r="CB9" s="692"/>
      <c r="CC9" s="692"/>
      <c r="CD9" s="692"/>
      <c r="CE9" s="688"/>
      <c r="CF9" s="688"/>
      <c r="CG9" s="692"/>
      <c r="CH9" s="692"/>
      <c r="CI9" s="692"/>
      <c r="CJ9" s="692"/>
      <c r="CK9" s="692"/>
      <c r="CL9" s="692"/>
      <c r="CM9" s="692"/>
      <c r="CN9" s="692"/>
      <c r="CO9" s="692"/>
      <c r="CP9" s="692"/>
      <c r="CQ9" s="692"/>
      <c r="CR9" s="693"/>
      <c r="CS9" s="693"/>
      <c r="CT9" s="693"/>
      <c r="CU9" s="693"/>
      <c r="CV9" s="693"/>
      <c r="CW9" s="693"/>
      <c r="CX9" s="693"/>
      <c r="CY9" s="693"/>
      <c r="CZ9" s="693"/>
      <c r="DA9" s="693"/>
      <c r="FP9" s="694"/>
      <c r="FQ9" s="694"/>
      <c r="FR9" s="694"/>
      <c r="FS9" s="694"/>
      <c r="FT9" s="694"/>
      <c r="FU9" s="694"/>
      <c r="FV9" s="694"/>
      <c r="FW9" s="694"/>
      <c r="FX9" s="694"/>
      <c r="FY9" s="694"/>
      <c r="FZ9" s="694"/>
      <c r="GA9" s="694"/>
      <c r="GB9" s="694"/>
      <c r="GC9" s="694"/>
      <c r="GD9" s="694"/>
      <c r="GE9" s="694"/>
      <c r="GF9" s="694"/>
      <c r="GG9" s="694"/>
      <c r="GH9" s="694"/>
      <c r="GI9" s="694"/>
      <c r="GJ9" s="694"/>
      <c r="GK9" s="694"/>
      <c r="GL9" s="694"/>
      <c r="GM9" s="694"/>
      <c r="GN9" s="694"/>
      <c r="GO9" s="694"/>
      <c r="GP9" s="694"/>
      <c r="GQ9" s="694"/>
      <c r="GR9" s="694"/>
      <c r="GS9" s="694"/>
      <c r="GT9" s="694"/>
      <c r="GU9" s="694"/>
      <c r="GV9" s="694"/>
      <c r="GW9" s="694"/>
      <c r="GX9" s="694"/>
      <c r="GY9" s="694"/>
      <c r="GZ9" s="694"/>
      <c r="HA9" s="694"/>
      <c r="HB9" s="694"/>
      <c r="HC9" s="694"/>
      <c r="HD9" s="694"/>
      <c r="HE9" s="694"/>
      <c r="HF9" s="694"/>
      <c r="HG9" s="694"/>
      <c r="HH9" s="694"/>
      <c r="HI9" s="695"/>
      <c r="HJ9" s="695"/>
      <c r="HK9" s="695"/>
      <c r="HL9" s="695"/>
      <c r="HM9" s="695"/>
      <c r="HN9" s="695"/>
      <c r="HO9" s="695"/>
      <c r="HP9" s="695"/>
      <c r="HQ9" s="695"/>
      <c r="HR9" s="695"/>
      <c r="HS9" s="695"/>
      <c r="HT9" s="695"/>
      <c r="HU9" s="695"/>
      <c r="HV9" s="695"/>
      <c r="HW9" s="695"/>
      <c r="HX9" s="695"/>
    </row>
    <row r="10" spans="1:232" s="698" customFormat="1" ht="25.5" customHeight="1" x14ac:dyDescent="0.3">
      <c r="A10" s="696"/>
      <c r="B10" s="783" t="s">
        <v>33</v>
      </c>
      <c r="C10" s="783"/>
      <c r="D10" s="783"/>
      <c r="E10" s="783"/>
      <c r="F10" s="697">
        <v>12</v>
      </c>
      <c r="H10" s="699"/>
      <c r="I10" s="700"/>
      <c r="J10" s="701"/>
      <c r="K10" s="699"/>
      <c r="L10" s="699"/>
      <c r="M10" s="699"/>
      <c r="N10" s="699"/>
      <c r="O10" s="699"/>
      <c r="P10" s="699"/>
      <c r="Q10" s="699"/>
      <c r="R10" s="702" t="s">
        <v>16</v>
      </c>
      <c r="S10" s="703" t="s">
        <v>159</v>
      </c>
      <c r="T10" s="680"/>
      <c r="U10" s="680"/>
      <c r="V10" s="680"/>
      <c r="W10" s="684"/>
      <c r="X10" s="685"/>
      <c r="Y10" s="680"/>
      <c r="Z10" s="680"/>
      <c r="AA10" s="680"/>
      <c r="AB10" s="699"/>
      <c r="AC10" s="701"/>
      <c r="AD10" s="699"/>
      <c r="AE10" s="699"/>
      <c r="AF10" s="699"/>
      <c r="AG10" s="699"/>
      <c r="AH10" s="699"/>
      <c r="AI10" s="699"/>
      <c r="AJ10" s="699"/>
      <c r="AK10" s="699"/>
      <c r="AL10" s="699"/>
      <c r="AM10" s="699"/>
      <c r="AN10" s="699"/>
      <c r="AO10" s="699"/>
      <c r="AP10" s="700"/>
      <c r="AQ10" s="700"/>
      <c r="AR10" s="704"/>
      <c r="AS10" s="704"/>
      <c r="AT10" s="699"/>
      <c r="AU10" s="680"/>
      <c r="AV10" s="680"/>
      <c r="AW10" s="680" t="s">
        <v>59</v>
      </c>
      <c r="AX10" s="680"/>
      <c r="AZ10" s="680"/>
      <c r="BA10" s="680"/>
      <c r="BE10" s="705"/>
      <c r="BG10" s="680"/>
      <c r="BH10" s="680"/>
      <c r="BI10" s="686"/>
      <c r="BK10" s="706"/>
      <c r="BL10" s="686"/>
      <c r="BM10" s="688"/>
      <c r="BN10" s="686"/>
      <c r="BR10" s="706"/>
      <c r="BS10" s="707"/>
      <c r="BT10" s="706"/>
      <c r="BU10" s="686"/>
      <c r="BW10" s="708"/>
      <c r="BX10" s="709"/>
      <c r="BY10" s="709"/>
      <c r="BZ10" s="709"/>
      <c r="CA10" s="709"/>
      <c r="CB10" s="709"/>
      <c r="CC10" s="709"/>
      <c r="CD10" s="709"/>
      <c r="CE10" s="710"/>
      <c r="CF10" s="710"/>
      <c r="CG10" s="709"/>
      <c r="CH10" s="709"/>
      <c r="CI10" s="692"/>
      <c r="CJ10" s="709"/>
      <c r="CK10" s="709"/>
      <c r="CL10" s="709"/>
      <c r="CM10" s="709"/>
      <c r="CN10" s="709"/>
      <c r="CO10" s="709"/>
      <c r="CP10" s="709"/>
      <c r="CQ10" s="709"/>
      <c r="CR10" s="711"/>
      <c r="CS10" s="711"/>
      <c r="CT10" s="711"/>
      <c r="CU10" s="711"/>
      <c r="CV10" s="711"/>
      <c r="CW10" s="711"/>
      <c r="CX10" s="711"/>
      <c r="CY10" s="711"/>
      <c r="CZ10" s="711"/>
      <c r="DA10" s="711"/>
      <c r="FP10" s="711"/>
      <c r="FQ10" s="711"/>
      <c r="FR10" s="711"/>
      <c r="FS10" s="711"/>
      <c r="FT10" s="711"/>
      <c r="FU10" s="711"/>
      <c r="FV10" s="711"/>
      <c r="FW10" s="711"/>
      <c r="FX10" s="711"/>
      <c r="FY10" s="711"/>
      <c r="FZ10" s="711"/>
      <c r="GA10" s="711"/>
      <c r="GB10" s="711"/>
      <c r="GC10" s="711"/>
      <c r="GD10" s="711"/>
      <c r="GE10" s="711"/>
      <c r="GF10" s="711"/>
      <c r="GG10" s="711"/>
      <c r="GH10" s="711"/>
      <c r="GI10" s="711"/>
      <c r="GJ10" s="711"/>
      <c r="GK10" s="711"/>
      <c r="GL10" s="711"/>
      <c r="GM10" s="711"/>
      <c r="GN10" s="711"/>
      <c r="GO10" s="711"/>
      <c r="GP10" s="711"/>
      <c r="GQ10" s="711"/>
      <c r="GR10" s="711"/>
      <c r="GS10" s="711"/>
      <c r="GT10" s="711"/>
      <c r="GU10" s="711"/>
      <c r="GV10" s="711"/>
      <c r="GW10" s="711"/>
      <c r="GX10" s="711"/>
      <c r="GY10" s="711"/>
      <c r="GZ10" s="711"/>
      <c r="HA10" s="711"/>
      <c r="HB10" s="711"/>
      <c r="HC10" s="711"/>
      <c r="HD10" s="711"/>
      <c r="HE10" s="711"/>
      <c r="HF10" s="711"/>
      <c r="HG10" s="711"/>
      <c r="HH10" s="711"/>
    </row>
    <row r="11" spans="1:232" ht="16.5" customHeight="1" x14ac:dyDescent="0.2">
      <c r="A11" s="443"/>
      <c r="B11" s="443" t="s">
        <v>9</v>
      </c>
      <c r="X11" s="53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row>
    <row r="12" spans="1:232" s="349" customFormat="1" ht="13.5" customHeight="1" x14ac:dyDescent="0.2">
      <c r="A12" s="347" t="s">
        <v>31</v>
      </c>
      <c r="B12" s="716" t="s">
        <v>103</v>
      </c>
      <c r="C12" s="441"/>
      <c r="D12" s="716" t="s">
        <v>5</v>
      </c>
      <c r="E12" s="716" t="s">
        <v>104</v>
      </c>
      <c r="F12" s="716" t="s">
        <v>105</v>
      </c>
      <c r="G12" s="360" t="s">
        <v>58</v>
      </c>
      <c r="H12" s="360"/>
      <c r="I12" s="360"/>
      <c r="J12" s="360"/>
      <c r="K12" s="360"/>
      <c r="L12" s="360"/>
      <c r="M12" s="360"/>
      <c r="N12" s="360"/>
      <c r="O12" s="360"/>
      <c r="P12" s="360"/>
      <c r="Q12" s="360"/>
      <c r="R12" s="744" t="s">
        <v>106</v>
      </c>
      <c r="S12" s="745"/>
      <c r="T12" s="441"/>
      <c r="U12" s="441"/>
      <c r="V12" s="348"/>
      <c r="W12" s="770" t="s">
        <v>118</v>
      </c>
      <c r="X12" s="774"/>
      <c r="Y12" s="771"/>
      <c r="Z12" s="360"/>
      <c r="AA12" s="360"/>
      <c r="AB12" s="360" t="s">
        <v>17</v>
      </c>
      <c r="AC12" s="360"/>
      <c r="AD12" s="360"/>
      <c r="AE12" s="360"/>
      <c r="AF12" s="360"/>
      <c r="AG12" s="360"/>
      <c r="AH12" s="360"/>
      <c r="AI12" s="360"/>
      <c r="AJ12" s="360"/>
      <c r="AK12" s="360"/>
      <c r="AL12" s="360"/>
      <c r="AM12" s="360"/>
      <c r="AN12" s="360"/>
      <c r="AO12" s="360"/>
      <c r="AP12" s="360"/>
      <c r="AQ12" s="360"/>
      <c r="AR12" s="360" t="s">
        <v>60</v>
      </c>
      <c r="AS12" s="360"/>
      <c r="AT12" s="360"/>
      <c r="AU12" s="360"/>
      <c r="AV12" s="360"/>
      <c r="AW12" s="360"/>
      <c r="AX12" s="360"/>
      <c r="AY12" s="360"/>
      <c r="AZ12" s="360"/>
      <c r="BA12" s="360"/>
      <c r="BB12" s="360"/>
      <c r="BC12" s="360"/>
      <c r="BD12" s="360"/>
      <c r="BE12" s="441"/>
      <c r="BF12" s="726" t="s">
        <v>108</v>
      </c>
      <c r="BG12" s="727"/>
      <c r="BH12" s="727"/>
      <c r="BI12" s="727"/>
      <c r="BJ12" s="727"/>
      <c r="BK12" s="727"/>
      <c r="BL12" s="728"/>
      <c r="BM12" s="770" t="s">
        <v>110</v>
      </c>
      <c r="BN12" s="771"/>
      <c r="BO12" s="726" t="s">
        <v>111</v>
      </c>
      <c r="BP12" s="727"/>
      <c r="BQ12" s="727"/>
      <c r="BR12" s="727"/>
      <c r="BS12" s="727"/>
      <c r="BT12" s="727"/>
      <c r="BU12" s="728"/>
      <c r="BV12" s="716" t="s">
        <v>60</v>
      </c>
      <c r="BW12" s="480"/>
      <c r="BX12" s="758"/>
      <c r="BY12" s="531"/>
      <c r="BZ12" s="531"/>
      <c r="CA12" s="758"/>
      <c r="CB12" s="758"/>
      <c r="CC12" s="447"/>
      <c r="CD12" s="447"/>
      <c r="CE12" s="448"/>
      <c r="CF12" s="448"/>
      <c r="CG12" s="447"/>
      <c r="CH12" s="447"/>
      <c r="CI12" s="447"/>
      <c r="CJ12" s="447"/>
      <c r="CK12" s="447"/>
      <c r="CL12" s="447"/>
      <c r="CM12" s="447"/>
      <c r="CN12" s="447"/>
      <c r="CO12" s="447"/>
      <c r="CP12" s="447"/>
      <c r="CQ12" s="447"/>
      <c r="CR12" s="462"/>
      <c r="CS12" s="462"/>
      <c r="CT12" s="462"/>
      <c r="CU12" s="462"/>
      <c r="CV12" s="462"/>
      <c r="CW12" s="462"/>
      <c r="CX12" s="462"/>
      <c r="CY12" s="462"/>
      <c r="CZ12" s="462"/>
      <c r="DA12" s="462"/>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88"/>
      <c r="FQ12" s="488"/>
      <c r="FR12" s="488"/>
      <c r="FS12" s="488"/>
      <c r="FT12" s="488"/>
      <c r="FU12" s="488"/>
      <c r="FV12" s="488"/>
      <c r="FW12" s="488"/>
      <c r="FX12" s="488"/>
      <c r="FY12" s="488"/>
      <c r="FZ12" s="488"/>
      <c r="GA12" s="488"/>
      <c r="GB12" s="488"/>
      <c r="GC12" s="488"/>
      <c r="GD12" s="488"/>
      <c r="GE12" s="488"/>
      <c r="GF12" s="488"/>
      <c r="GG12" s="488"/>
      <c r="GH12" s="488"/>
      <c r="GI12" s="488"/>
      <c r="GJ12" s="488"/>
      <c r="GK12" s="488"/>
      <c r="GL12" s="488"/>
      <c r="GM12" s="488"/>
      <c r="GN12" s="488"/>
      <c r="GO12" s="488"/>
      <c r="GP12" s="488"/>
      <c r="GQ12" s="488"/>
      <c r="GR12" s="488"/>
      <c r="GS12" s="488"/>
      <c r="GT12" s="488"/>
      <c r="GU12" s="488"/>
      <c r="GV12" s="488"/>
      <c r="GW12" s="488"/>
      <c r="GX12" s="488"/>
      <c r="GY12" s="488"/>
      <c r="GZ12" s="488"/>
      <c r="HA12" s="488"/>
      <c r="HB12" s="488"/>
      <c r="HC12" s="488"/>
      <c r="HD12" s="488"/>
      <c r="HE12" s="488"/>
      <c r="HF12" s="488"/>
      <c r="HG12" s="488"/>
      <c r="HH12" s="488"/>
      <c r="HI12" s="445"/>
      <c r="HJ12" s="445"/>
      <c r="HK12" s="445"/>
      <c r="HL12" s="445"/>
      <c r="HM12" s="445"/>
      <c r="HN12" s="445"/>
      <c r="HO12" s="445"/>
      <c r="HP12" s="445"/>
      <c r="HQ12" s="445"/>
      <c r="HR12" s="445"/>
      <c r="HS12" s="445"/>
      <c r="HT12" s="445"/>
      <c r="HU12" s="445"/>
      <c r="HV12" s="445"/>
      <c r="HW12" s="445"/>
      <c r="HX12" s="445"/>
    </row>
    <row r="13" spans="1:232" s="349" customFormat="1" ht="50.25" customHeight="1" x14ac:dyDescent="0.2">
      <c r="A13" s="347"/>
      <c r="B13" s="717"/>
      <c r="C13" s="441"/>
      <c r="D13" s="717"/>
      <c r="E13" s="717"/>
      <c r="F13" s="717"/>
      <c r="G13" s="360"/>
      <c r="H13" s="360"/>
      <c r="I13" s="360"/>
      <c r="J13" s="360"/>
      <c r="K13" s="360"/>
      <c r="L13" s="360"/>
      <c r="M13" s="360"/>
      <c r="N13" s="360"/>
      <c r="O13" s="360"/>
      <c r="P13" s="360"/>
      <c r="Q13" s="360"/>
      <c r="R13" s="752"/>
      <c r="S13" s="750"/>
      <c r="T13" s="441"/>
      <c r="U13" s="441"/>
      <c r="V13" s="350"/>
      <c r="W13" s="775"/>
      <c r="X13" s="776"/>
      <c r="Y13" s="777"/>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441"/>
      <c r="BF13" s="764" t="s">
        <v>81</v>
      </c>
      <c r="BG13" s="766"/>
      <c r="BH13" s="530"/>
      <c r="BI13" s="529"/>
      <c r="BJ13" s="764" t="s">
        <v>107</v>
      </c>
      <c r="BK13" s="765"/>
      <c r="BL13" s="766"/>
      <c r="BM13" s="772"/>
      <c r="BN13" s="773"/>
      <c r="BO13" s="764" t="s">
        <v>81</v>
      </c>
      <c r="BP13" s="766"/>
      <c r="BQ13" s="530"/>
      <c r="BR13" s="529"/>
      <c r="BS13" s="764" t="s">
        <v>107</v>
      </c>
      <c r="BT13" s="765"/>
      <c r="BU13" s="766"/>
      <c r="BV13" s="717"/>
      <c r="BW13" s="480"/>
      <c r="BX13" s="758"/>
      <c r="BY13" s="531"/>
      <c r="BZ13" s="531"/>
      <c r="CA13" s="758"/>
      <c r="CB13" s="758"/>
      <c r="CC13" s="447"/>
      <c r="CD13" s="447"/>
      <c r="CE13" s="448"/>
      <c r="CF13" s="448"/>
      <c r="CG13" s="447"/>
      <c r="CH13" s="447"/>
      <c r="CI13" s="447"/>
      <c r="CJ13" s="447"/>
      <c r="CK13" s="447"/>
      <c r="CL13" s="447"/>
      <c r="CM13" s="447"/>
      <c r="CN13" s="447"/>
      <c r="CO13" s="447"/>
      <c r="CP13" s="447"/>
      <c r="CQ13" s="447"/>
      <c r="CR13" s="462"/>
      <c r="CS13" s="462"/>
      <c r="CT13" s="462"/>
      <c r="CU13" s="462"/>
      <c r="CV13" s="462"/>
      <c r="CW13" s="462"/>
      <c r="CX13" s="462"/>
      <c r="CY13" s="462"/>
      <c r="CZ13" s="462"/>
      <c r="DA13" s="462"/>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c r="EU13" s="447"/>
      <c r="EV13" s="447"/>
      <c r="EW13" s="447"/>
      <c r="EX13" s="447"/>
      <c r="EY13" s="447"/>
      <c r="EZ13" s="447"/>
      <c r="FA13" s="447"/>
      <c r="FB13" s="447"/>
      <c r="FC13" s="447"/>
      <c r="FD13" s="447"/>
      <c r="FE13" s="447"/>
      <c r="FF13" s="447"/>
      <c r="FG13" s="447"/>
      <c r="FH13" s="447"/>
      <c r="FI13" s="447"/>
      <c r="FJ13" s="447"/>
      <c r="FK13" s="447"/>
      <c r="FL13" s="447"/>
      <c r="FM13" s="447"/>
      <c r="FN13" s="447"/>
      <c r="FO13" s="447"/>
      <c r="FP13" s="488"/>
      <c r="FQ13" s="488"/>
      <c r="FR13" s="488"/>
      <c r="FS13" s="488"/>
      <c r="FT13" s="488"/>
      <c r="FU13" s="488"/>
      <c r="FV13" s="488"/>
      <c r="FW13" s="488"/>
      <c r="FX13" s="488"/>
      <c r="FY13" s="488"/>
      <c r="FZ13" s="488"/>
      <c r="GA13" s="488"/>
      <c r="GB13" s="488"/>
      <c r="GC13" s="488"/>
      <c r="GD13" s="488"/>
      <c r="GE13" s="488"/>
      <c r="GF13" s="488"/>
      <c r="GG13" s="488"/>
      <c r="GH13" s="488"/>
      <c r="GI13" s="488"/>
      <c r="GJ13" s="488"/>
      <c r="GK13" s="488"/>
      <c r="GL13" s="488"/>
      <c r="GM13" s="488"/>
      <c r="GN13" s="488"/>
      <c r="GO13" s="488"/>
      <c r="GP13" s="488"/>
      <c r="GQ13" s="488"/>
      <c r="GR13" s="488"/>
      <c r="GS13" s="488"/>
      <c r="GT13" s="488"/>
      <c r="GU13" s="488"/>
      <c r="GV13" s="488"/>
      <c r="GW13" s="488"/>
      <c r="GX13" s="488"/>
      <c r="GY13" s="488"/>
      <c r="GZ13" s="488"/>
      <c r="HA13" s="488"/>
      <c r="HB13" s="488"/>
      <c r="HC13" s="488"/>
      <c r="HD13" s="488"/>
      <c r="HE13" s="488"/>
      <c r="HF13" s="488"/>
      <c r="HG13" s="488"/>
      <c r="HH13" s="488"/>
      <c r="HI13" s="445"/>
      <c r="HJ13" s="445"/>
      <c r="HK13" s="445"/>
      <c r="HL13" s="445"/>
      <c r="HM13" s="445"/>
      <c r="HN13" s="445"/>
      <c r="HO13" s="445"/>
      <c r="HP13" s="445"/>
      <c r="HQ13" s="445"/>
      <c r="HR13" s="445"/>
      <c r="HS13" s="445"/>
      <c r="HT13" s="445"/>
      <c r="HU13" s="445"/>
      <c r="HV13" s="445"/>
      <c r="HW13" s="445"/>
      <c r="HX13" s="445"/>
    </row>
    <row r="14" spans="1:232" s="347" customFormat="1" ht="55.5" customHeight="1" x14ac:dyDescent="0.2">
      <c r="B14" s="718"/>
      <c r="C14" s="441"/>
      <c r="D14" s="718"/>
      <c r="E14" s="718"/>
      <c r="F14" s="718"/>
      <c r="G14" s="360"/>
      <c r="H14" s="360"/>
      <c r="I14" s="360"/>
      <c r="J14" s="360"/>
      <c r="K14" s="360"/>
      <c r="L14" s="360"/>
      <c r="M14" s="360"/>
      <c r="N14" s="360"/>
      <c r="O14" s="360"/>
      <c r="P14" s="360"/>
      <c r="Q14" s="360"/>
      <c r="R14" s="746"/>
      <c r="S14" s="747"/>
      <c r="T14" s="441"/>
      <c r="U14" s="441"/>
      <c r="V14" s="351"/>
      <c r="W14" s="772"/>
      <c r="X14" s="778"/>
      <c r="Y14" s="773"/>
      <c r="Z14" s="360"/>
      <c r="AA14" s="360"/>
      <c r="AB14" s="360" t="s">
        <v>11</v>
      </c>
      <c r="AC14" s="360"/>
      <c r="AD14" s="360" t="s">
        <v>12</v>
      </c>
      <c r="AE14" s="360"/>
      <c r="AF14" s="360"/>
      <c r="AG14" s="360"/>
      <c r="AH14" s="360"/>
      <c r="AI14" s="360"/>
      <c r="AJ14" s="360"/>
      <c r="AK14" s="360"/>
      <c r="AL14" s="360"/>
      <c r="AM14" s="360"/>
      <c r="AN14" s="360"/>
      <c r="AO14" s="360" t="s">
        <v>18</v>
      </c>
      <c r="AP14" s="360"/>
      <c r="AQ14" s="360"/>
      <c r="AR14" s="360"/>
      <c r="AS14" s="360"/>
      <c r="AT14" s="360" t="s">
        <v>19</v>
      </c>
      <c r="AU14" s="360" t="s">
        <v>20</v>
      </c>
      <c r="AV14" s="352" t="s">
        <v>21</v>
      </c>
      <c r="AW14" s="360"/>
      <c r="AX14" s="360"/>
      <c r="AY14" s="360"/>
      <c r="AZ14" s="360"/>
      <c r="BA14" s="360"/>
      <c r="BB14" s="360"/>
      <c r="BC14" s="360"/>
      <c r="BD14" s="360"/>
      <c r="BE14" s="441"/>
      <c r="BF14" s="767"/>
      <c r="BG14" s="769"/>
      <c r="BH14" s="353"/>
      <c r="BI14" s="354"/>
      <c r="BJ14" s="767"/>
      <c r="BK14" s="768"/>
      <c r="BL14" s="769"/>
      <c r="BM14" s="342" t="s">
        <v>102</v>
      </c>
      <c r="BN14" s="333" t="s">
        <v>115</v>
      </c>
      <c r="BO14" s="767"/>
      <c r="BP14" s="769"/>
      <c r="BQ14" s="353"/>
      <c r="BR14" s="354"/>
      <c r="BS14" s="767"/>
      <c r="BT14" s="768"/>
      <c r="BU14" s="769"/>
      <c r="BV14" s="718"/>
      <c r="BW14" s="480"/>
      <c r="BX14" s="758"/>
      <c r="BY14" s="531"/>
      <c r="BZ14" s="531"/>
      <c r="CA14" s="758"/>
      <c r="CB14" s="758"/>
      <c r="CC14" s="449"/>
      <c r="CD14" s="449"/>
      <c r="CE14" s="448"/>
      <c r="CF14" s="448"/>
      <c r="CG14" s="449"/>
      <c r="CH14" s="449"/>
      <c r="CI14" s="449"/>
      <c r="CJ14" s="449"/>
      <c r="CK14" s="449"/>
      <c r="CL14" s="449"/>
      <c r="CM14" s="449"/>
      <c r="CN14" s="449"/>
      <c r="CO14" s="449"/>
      <c r="CP14" s="449"/>
      <c r="CQ14" s="449"/>
      <c r="CR14" s="463"/>
      <c r="CS14" s="463"/>
      <c r="CT14" s="463"/>
      <c r="CU14" s="463"/>
      <c r="CV14" s="463"/>
      <c r="CW14" s="463"/>
      <c r="CX14" s="463"/>
      <c r="CY14" s="463"/>
      <c r="CZ14" s="463"/>
      <c r="DA14" s="463"/>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89"/>
      <c r="FQ14" s="489"/>
      <c r="FR14" s="489"/>
      <c r="FS14" s="489"/>
      <c r="FT14" s="489"/>
      <c r="FU14" s="489"/>
      <c r="FV14" s="489"/>
      <c r="FW14" s="489"/>
      <c r="FX14" s="489"/>
      <c r="FY14" s="489"/>
      <c r="FZ14" s="489"/>
      <c r="GA14" s="489"/>
      <c r="GB14" s="489"/>
      <c r="GC14" s="489"/>
      <c r="GD14" s="489"/>
      <c r="GE14" s="489"/>
      <c r="GF14" s="489"/>
      <c r="GG14" s="489"/>
      <c r="GH14" s="489"/>
      <c r="GI14" s="489"/>
      <c r="GJ14" s="489"/>
      <c r="GK14" s="489"/>
      <c r="GL14" s="489"/>
      <c r="GM14" s="489"/>
      <c r="GN14" s="489"/>
      <c r="GO14" s="489"/>
      <c r="GP14" s="489"/>
      <c r="GQ14" s="489"/>
      <c r="GR14" s="489"/>
      <c r="GS14" s="489"/>
      <c r="GT14" s="489"/>
      <c r="GU14" s="489"/>
      <c r="GV14" s="489"/>
      <c r="GW14" s="489"/>
      <c r="GX14" s="489"/>
      <c r="GY14" s="489"/>
      <c r="GZ14" s="489"/>
      <c r="HA14" s="489"/>
      <c r="HB14" s="489"/>
      <c r="HC14" s="489"/>
      <c r="HD14" s="489"/>
      <c r="HE14" s="489"/>
      <c r="HF14" s="489"/>
      <c r="HG14" s="489"/>
      <c r="HH14" s="489"/>
      <c r="HI14" s="353"/>
      <c r="HJ14" s="353"/>
      <c r="HK14" s="353"/>
      <c r="HL14" s="353"/>
      <c r="HM14" s="353"/>
      <c r="HN14" s="353"/>
      <c r="HO14" s="353"/>
      <c r="HP14" s="353"/>
      <c r="HQ14" s="353"/>
      <c r="HR14" s="353"/>
      <c r="HS14" s="353"/>
      <c r="HT14" s="353"/>
      <c r="HU14" s="353"/>
      <c r="HV14" s="353"/>
      <c r="HW14" s="353"/>
      <c r="HX14" s="353"/>
    </row>
    <row r="15" spans="1:232" s="31" customFormat="1" ht="30.75" hidden="1" customHeight="1" x14ac:dyDescent="0.2">
      <c r="A15" s="31" t="s">
        <v>57</v>
      </c>
      <c r="B15" s="81"/>
      <c r="C15" s="83"/>
      <c r="D15" s="83"/>
      <c r="E15" s="84" t="s">
        <v>0</v>
      </c>
      <c r="F15" s="83" t="s">
        <v>5</v>
      </c>
      <c r="G15" s="83"/>
      <c r="H15" s="83"/>
      <c r="I15" s="83"/>
      <c r="J15" s="83"/>
      <c r="K15" s="83"/>
      <c r="L15" s="83"/>
      <c r="M15" s="83"/>
      <c r="N15" s="83"/>
      <c r="O15" s="83"/>
      <c r="P15" s="83"/>
      <c r="Q15" s="83"/>
      <c r="R15" s="136" t="s">
        <v>22</v>
      </c>
      <c r="S15" s="84" t="s">
        <v>23</v>
      </c>
      <c r="T15" s="83"/>
      <c r="U15" s="83"/>
      <c r="V15" s="83"/>
      <c r="W15" s="406"/>
      <c r="X15" s="81"/>
      <c r="Y15" s="190" t="s">
        <v>24</v>
      </c>
      <c r="Z15" s="190" t="s">
        <v>25</v>
      </c>
      <c r="AA15" s="190"/>
      <c r="AB15" s="190" t="s">
        <v>13</v>
      </c>
      <c r="AC15" s="190"/>
      <c r="AD15" s="190" t="s">
        <v>26</v>
      </c>
      <c r="AE15" s="191"/>
      <c r="AF15" s="191"/>
      <c r="AG15" s="191"/>
      <c r="AH15" s="191"/>
      <c r="AI15" s="191"/>
      <c r="AJ15" s="191"/>
      <c r="AK15" s="191"/>
      <c r="AL15" s="191"/>
      <c r="AM15" s="191"/>
      <c r="AN15" s="191"/>
      <c r="AO15" s="190" t="s">
        <v>27</v>
      </c>
      <c r="AP15" s="190"/>
      <c r="AQ15" s="190"/>
      <c r="AR15" s="190"/>
      <c r="AS15" s="190"/>
      <c r="AT15" s="83"/>
      <c r="AU15" s="83"/>
      <c r="AV15" s="83"/>
      <c r="AW15" s="83"/>
      <c r="AX15" s="83"/>
      <c r="AY15" s="83"/>
      <c r="AZ15" s="83"/>
      <c r="BA15" s="83"/>
      <c r="BB15" s="83"/>
      <c r="BC15" s="83"/>
      <c r="BD15" s="83"/>
      <c r="BE15" s="81"/>
      <c r="BF15" s="83" t="s">
        <v>25</v>
      </c>
      <c r="BG15" s="83"/>
      <c r="BH15" s="83"/>
      <c r="BI15" s="139"/>
      <c r="BJ15" s="194" t="s">
        <v>26</v>
      </c>
      <c r="BK15" s="328"/>
      <c r="BL15" s="83" t="s">
        <v>27</v>
      </c>
      <c r="BM15" s="120"/>
      <c r="BN15" s="83"/>
      <c r="BO15" s="83" t="s">
        <v>13</v>
      </c>
      <c r="BP15" s="83"/>
      <c r="BQ15" s="194"/>
      <c r="BR15" s="139"/>
      <c r="BS15" s="535" t="s">
        <v>26</v>
      </c>
      <c r="BT15" s="328"/>
      <c r="BU15" s="139" t="s">
        <v>27</v>
      </c>
      <c r="BV15" s="521"/>
      <c r="BW15" s="450"/>
      <c r="BX15" s="450"/>
      <c r="BY15" s="450"/>
      <c r="BZ15" s="450"/>
      <c r="CA15" s="450"/>
      <c r="CB15" s="450"/>
      <c r="CC15" s="450"/>
      <c r="CD15" s="450"/>
      <c r="CE15" s="451"/>
      <c r="CF15" s="451"/>
      <c r="CG15" s="450"/>
      <c r="CH15" s="450"/>
      <c r="CI15" s="450"/>
      <c r="CJ15" s="450"/>
      <c r="CK15" s="450"/>
      <c r="CL15" s="450"/>
      <c r="CM15" s="450"/>
      <c r="CN15" s="450"/>
      <c r="CO15" s="450"/>
      <c r="CP15" s="450"/>
      <c r="CQ15" s="450"/>
      <c r="CR15" s="464"/>
      <c r="CS15" s="464"/>
      <c r="CT15" s="464"/>
      <c r="CU15" s="464"/>
      <c r="CV15" s="464"/>
      <c r="CW15" s="464"/>
      <c r="CX15" s="464"/>
      <c r="CY15" s="464"/>
      <c r="CZ15" s="464"/>
      <c r="DA15" s="464"/>
      <c r="DB15" s="450"/>
      <c r="DC15" s="450"/>
      <c r="DD15" s="450"/>
      <c r="DE15" s="450"/>
      <c r="DF15" s="450"/>
      <c r="DG15" s="450"/>
      <c r="DH15" s="450"/>
      <c r="DI15" s="450"/>
      <c r="DJ15" s="450"/>
      <c r="DK15" s="450"/>
      <c r="DL15" s="450"/>
      <c r="DM15" s="450"/>
      <c r="DN15" s="450"/>
      <c r="DO15" s="450"/>
      <c r="DP15" s="450"/>
      <c r="DQ15" s="450"/>
      <c r="DR15" s="450"/>
      <c r="DS15" s="450"/>
      <c r="DT15" s="450"/>
      <c r="DU15" s="450"/>
      <c r="DV15" s="450"/>
      <c r="DW15" s="450"/>
      <c r="DX15" s="450"/>
      <c r="DY15" s="450"/>
      <c r="DZ15" s="450"/>
      <c r="EA15" s="450"/>
      <c r="EB15" s="450"/>
      <c r="EC15" s="450"/>
      <c r="ED15" s="450"/>
      <c r="EE15" s="450"/>
      <c r="EF15" s="450"/>
      <c r="EG15" s="450"/>
      <c r="EH15" s="450"/>
      <c r="EI15" s="450"/>
      <c r="EJ15" s="450"/>
      <c r="EK15" s="450"/>
      <c r="EL15" s="450"/>
      <c r="EM15" s="450"/>
      <c r="EN15" s="450"/>
      <c r="EO15" s="450"/>
      <c r="EP15" s="450"/>
      <c r="EQ15" s="450"/>
      <c r="ER15" s="450"/>
      <c r="ES15" s="450"/>
      <c r="ET15" s="450"/>
      <c r="EU15" s="450"/>
      <c r="EV15" s="450"/>
      <c r="EW15" s="450"/>
      <c r="EX15" s="450"/>
      <c r="EY15" s="450"/>
      <c r="EZ15" s="450"/>
      <c r="FA15" s="450"/>
      <c r="FB15" s="450"/>
      <c r="FC15" s="450"/>
      <c r="FD15" s="450"/>
      <c r="FE15" s="450"/>
      <c r="FF15" s="450"/>
      <c r="FG15" s="450"/>
      <c r="FH15" s="450"/>
      <c r="FI15" s="450"/>
      <c r="FJ15" s="450"/>
      <c r="FK15" s="450"/>
      <c r="FL15" s="450"/>
      <c r="FM15" s="450"/>
      <c r="FN15" s="450"/>
      <c r="FO15" s="450"/>
      <c r="FP15" s="490"/>
      <c r="FQ15" s="490"/>
      <c r="FR15" s="490"/>
      <c r="FS15" s="490"/>
      <c r="FT15" s="490"/>
      <c r="FU15" s="490"/>
      <c r="FV15" s="490"/>
      <c r="FW15" s="490"/>
      <c r="FX15" s="490"/>
      <c r="FY15" s="490"/>
      <c r="FZ15" s="490"/>
      <c r="GA15" s="490"/>
      <c r="GB15" s="490"/>
      <c r="GC15" s="490"/>
      <c r="GD15" s="490"/>
      <c r="GE15" s="490"/>
      <c r="GF15" s="490"/>
      <c r="GG15" s="490"/>
      <c r="GH15" s="490"/>
      <c r="GI15" s="490"/>
      <c r="GJ15" s="490"/>
      <c r="GK15" s="490"/>
      <c r="GL15" s="490"/>
      <c r="GM15" s="490"/>
      <c r="GN15" s="490"/>
      <c r="GO15" s="490"/>
      <c r="GP15" s="490"/>
      <c r="GQ15" s="490"/>
      <c r="GR15" s="490"/>
      <c r="GS15" s="490"/>
      <c r="GT15" s="490"/>
      <c r="GU15" s="490"/>
      <c r="GV15" s="490"/>
      <c r="GW15" s="490"/>
      <c r="GX15" s="490"/>
      <c r="GY15" s="490"/>
      <c r="GZ15" s="490"/>
      <c r="HA15" s="490"/>
      <c r="HB15" s="490"/>
      <c r="HC15" s="490"/>
      <c r="HD15" s="490"/>
      <c r="HE15" s="490"/>
      <c r="HF15" s="490"/>
      <c r="HG15" s="490"/>
      <c r="HH15" s="490"/>
      <c r="HI15" s="341"/>
      <c r="HJ15" s="341"/>
      <c r="HK15" s="341"/>
      <c r="HL15" s="341"/>
      <c r="HM15" s="341"/>
      <c r="HN15" s="341"/>
      <c r="HO15" s="341"/>
      <c r="HP15" s="341"/>
      <c r="HQ15" s="341"/>
      <c r="HR15" s="341"/>
      <c r="HS15" s="341"/>
      <c r="HT15" s="341"/>
      <c r="HU15" s="341"/>
      <c r="HV15" s="341"/>
      <c r="HW15" s="341"/>
      <c r="HX15" s="341"/>
    </row>
    <row r="16" spans="1:232" s="334" customFormat="1" ht="18.75" customHeight="1" x14ac:dyDescent="0.2">
      <c r="A16" s="334" t="s">
        <v>52</v>
      </c>
      <c r="B16" s="440">
        <v>1</v>
      </c>
      <c r="C16" s="440"/>
      <c r="D16" s="440"/>
      <c r="E16" s="440">
        <v>2</v>
      </c>
      <c r="F16" s="440">
        <v>3</v>
      </c>
      <c r="G16" s="440"/>
      <c r="H16" s="440"/>
      <c r="I16" s="440"/>
      <c r="J16" s="440"/>
      <c r="K16" s="440"/>
      <c r="L16" s="440"/>
      <c r="M16" s="440"/>
      <c r="N16" s="440"/>
      <c r="O16" s="440"/>
      <c r="P16" s="440"/>
      <c r="Q16" s="440"/>
      <c r="R16" s="759">
        <v>4</v>
      </c>
      <c r="S16" s="760"/>
      <c r="T16" s="440"/>
      <c r="U16" s="440"/>
      <c r="V16" s="759">
        <v>5</v>
      </c>
      <c r="W16" s="761"/>
      <c r="X16" s="760"/>
      <c r="Y16" s="440">
        <v>6</v>
      </c>
      <c r="Z16" s="440">
        <v>7</v>
      </c>
      <c r="AA16" s="440"/>
      <c r="AB16" s="440">
        <v>8</v>
      </c>
      <c r="AC16" s="440"/>
      <c r="AD16" s="440"/>
      <c r="AE16" s="440"/>
      <c r="AF16" s="440"/>
      <c r="AG16" s="440"/>
      <c r="AH16" s="440"/>
      <c r="AI16" s="440"/>
      <c r="AJ16" s="440"/>
      <c r="AK16" s="440"/>
      <c r="AL16" s="440"/>
      <c r="AM16" s="440"/>
      <c r="AN16" s="440"/>
      <c r="AO16" s="440">
        <v>9</v>
      </c>
      <c r="AP16" s="440">
        <v>10</v>
      </c>
      <c r="AQ16" s="440"/>
      <c r="AR16" s="440"/>
      <c r="AS16" s="440"/>
      <c r="AT16" s="440"/>
      <c r="AU16" s="440"/>
      <c r="AV16" s="440"/>
      <c r="AW16" s="440"/>
      <c r="AX16" s="440"/>
      <c r="AY16" s="440"/>
      <c r="AZ16" s="440"/>
      <c r="BA16" s="440"/>
      <c r="BB16" s="440"/>
      <c r="BC16" s="440"/>
      <c r="BD16" s="440"/>
      <c r="BE16" s="440"/>
      <c r="BF16" s="759">
        <v>6</v>
      </c>
      <c r="BG16" s="760"/>
      <c r="BH16" s="440"/>
      <c r="BI16" s="442"/>
      <c r="BJ16" s="759">
        <v>7</v>
      </c>
      <c r="BK16" s="761"/>
      <c r="BL16" s="760"/>
      <c r="BM16" s="759">
        <v>8</v>
      </c>
      <c r="BN16" s="760"/>
      <c r="BO16" s="759">
        <v>9</v>
      </c>
      <c r="BP16" s="760"/>
      <c r="BQ16" s="335"/>
      <c r="BR16" s="336"/>
      <c r="BS16" s="762" t="s">
        <v>50</v>
      </c>
      <c r="BT16" s="762"/>
      <c r="BU16" s="763"/>
      <c r="BV16" s="532">
        <v>11</v>
      </c>
      <c r="BW16" s="452">
        <v>8</v>
      </c>
      <c r="BX16" s="452"/>
      <c r="BY16" s="452"/>
      <c r="BZ16" s="452"/>
      <c r="CA16" s="452">
        <v>10</v>
      </c>
      <c r="CB16" s="452">
        <v>9</v>
      </c>
      <c r="CC16" s="453"/>
      <c r="CD16" s="453"/>
      <c r="CE16" s="454"/>
      <c r="CF16" s="454"/>
      <c r="CG16" s="453"/>
      <c r="CH16" s="453"/>
      <c r="CI16" s="453"/>
      <c r="CJ16" s="453"/>
      <c r="CK16" s="453"/>
      <c r="CL16" s="453"/>
      <c r="CM16" s="453"/>
      <c r="CN16" s="453"/>
      <c r="CO16" s="453"/>
      <c r="CP16" s="453"/>
      <c r="CQ16" s="453"/>
      <c r="CR16" s="465"/>
      <c r="CS16" s="465"/>
      <c r="CT16" s="465"/>
      <c r="CU16" s="465"/>
      <c r="CV16" s="465"/>
      <c r="CW16" s="465"/>
      <c r="CX16" s="465"/>
      <c r="CY16" s="465"/>
      <c r="CZ16" s="465"/>
      <c r="DA16" s="465"/>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91"/>
      <c r="FQ16" s="491"/>
      <c r="FR16" s="491"/>
      <c r="FS16" s="491"/>
      <c r="FT16" s="491"/>
      <c r="FU16" s="491"/>
      <c r="FV16" s="491"/>
      <c r="FW16" s="491"/>
      <c r="FX16" s="491"/>
      <c r="FY16" s="491"/>
      <c r="FZ16" s="491"/>
      <c r="GA16" s="491"/>
      <c r="GB16" s="491"/>
      <c r="GC16" s="491"/>
      <c r="GD16" s="491"/>
      <c r="GE16" s="491"/>
      <c r="GF16" s="491"/>
      <c r="GG16" s="491"/>
      <c r="GH16" s="491"/>
      <c r="GI16" s="491"/>
      <c r="GJ16" s="491"/>
      <c r="GK16" s="491"/>
      <c r="GL16" s="491"/>
      <c r="GM16" s="491"/>
      <c r="GN16" s="491"/>
      <c r="GO16" s="491"/>
      <c r="GP16" s="491"/>
      <c r="GQ16" s="491"/>
      <c r="GR16" s="491"/>
      <c r="GS16" s="491"/>
      <c r="GT16" s="491"/>
      <c r="GU16" s="491"/>
      <c r="GV16" s="491"/>
      <c r="GW16" s="491"/>
      <c r="GX16" s="491"/>
      <c r="GY16" s="491"/>
      <c r="GZ16" s="491"/>
      <c r="HA16" s="491"/>
      <c r="HB16" s="491"/>
      <c r="HC16" s="491"/>
      <c r="HD16" s="491"/>
      <c r="HE16" s="491"/>
      <c r="HF16" s="491"/>
      <c r="HG16" s="491"/>
      <c r="HH16" s="491"/>
      <c r="HI16" s="446"/>
      <c r="HJ16" s="446"/>
      <c r="HK16" s="446"/>
      <c r="HL16" s="446"/>
      <c r="HM16" s="446"/>
      <c r="HN16" s="446"/>
      <c r="HO16" s="446"/>
      <c r="HP16" s="446"/>
      <c r="HQ16" s="446"/>
      <c r="HR16" s="446"/>
      <c r="HS16" s="446"/>
      <c r="HT16" s="446"/>
      <c r="HU16" s="446"/>
      <c r="HV16" s="446"/>
      <c r="HW16" s="446"/>
      <c r="HX16" s="446"/>
    </row>
    <row r="17" spans="1:171" s="665" customFormat="1" ht="30.75" customHeight="1" x14ac:dyDescent="0.2">
      <c r="A17" s="574">
        <v>133</v>
      </c>
      <c r="B17" s="575">
        <v>1</v>
      </c>
      <c r="C17" s="574"/>
      <c r="D17" s="574" t="str">
        <f t="shared" ref="D17:D28" si="0">IF(F17="Nam","Ông","Bà")</f>
        <v>Ông</v>
      </c>
      <c r="E17" s="576" t="s">
        <v>210</v>
      </c>
      <c r="F17" s="574" t="s">
        <v>55</v>
      </c>
      <c r="G17" s="577" t="s">
        <v>147</v>
      </c>
      <c r="H17" s="578" t="s">
        <v>46</v>
      </c>
      <c r="I17" s="579" t="s">
        <v>44</v>
      </c>
      <c r="J17" s="578" t="s">
        <v>46</v>
      </c>
      <c r="K17" s="580" t="s">
        <v>183</v>
      </c>
      <c r="L17" s="581" t="s">
        <v>73</v>
      </c>
      <c r="M17" s="582" t="str">
        <f t="shared" ref="M17:M28" si="1">IF(L17="công chức","CC",IF(L17="viên chức","VC",IF(L17="người lao động","NLĐ","- - -")))</f>
        <v>VC</v>
      </c>
      <c r="N17" s="583"/>
      <c r="O17" s="584" t="e">
        <f t="shared" ref="O17:O28" si="2">IF(AND((Q17+0)&gt;0.3,(Q17+0)&lt;1.5),"CVụ","- -")</f>
        <v>#N/A</v>
      </c>
      <c r="P17" s="585"/>
      <c r="Q17" s="586" t="e">
        <f>VLOOKUP(P17,'[2]- DLiêu Gốc -'!$C$2:$H$115,2,0)</f>
        <v>#N/A</v>
      </c>
      <c r="R17" s="587" t="s">
        <v>211</v>
      </c>
      <c r="S17" s="588" t="s">
        <v>120</v>
      </c>
      <c r="T17" s="589" t="str">
        <f>VLOOKUP(Y17,'[2]- DLiêu Gốc -'!$C$2:$H$60,5,0)</f>
        <v>A1</v>
      </c>
      <c r="U17" s="590" t="str">
        <f>VLOOKUP(Y17,'[2]- DLiêu Gốc -'!$C$2:$H$60,6,0)</f>
        <v>- - -</v>
      </c>
      <c r="V17" s="591" t="s">
        <v>64</v>
      </c>
      <c r="W17" s="592" t="str">
        <f t="shared" ref="W17:W28" si="3">IF(OR(Y17="Kỹ thuật viên đánh máy",Y17="Nhân viên đánh máy",Y17="Nhân viên kỹ thuật",Y17="Nhân viên văn thư",Y17="Nhân viên phục vụ",Y17="Lái xe cơ quan",Y17="Nhân viên bảo vệ"),"Nhân viên",Y17)</f>
        <v>Giảng viên (hạng III)</v>
      </c>
      <c r="X17" s="593" t="str">
        <f t="shared" ref="X17:X28" si="4">IF(W17="Nhân viên","01.005",Z17)</f>
        <v>V.07.01.03</v>
      </c>
      <c r="Y17" s="594" t="s">
        <v>67</v>
      </c>
      <c r="Z17" s="594" t="str">
        <f>VLOOKUP(Y17,'[2]- DLiêu Gốc -'!$C$1:$H$133,2,0)</f>
        <v>V.07.01.03</v>
      </c>
      <c r="AA17" s="595" t="str">
        <f t="shared" ref="AA17:AA28" si="5">IF(OR(AND(BC17=36,BB17=3),AND(BC17=24,BB17=2),AND(BC17=12,BB17=1)),"Đến $",IF(OR(AND(BC17&gt;36,BB17=3),AND(BC17&gt;24,BB17=2),AND(BC17&gt;12,BB17=1)),"Dừng $","Lương"))</f>
        <v>Lương</v>
      </c>
      <c r="AB17" s="596">
        <v>5</v>
      </c>
      <c r="AC17" s="597" t="str">
        <f t="shared" ref="AC17:AC28" si="6">IF(AD17&gt;0,"/")</f>
        <v>/</v>
      </c>
      <c r="AD17" s="598">
        <f t="shared" ref="AD17:AD28" si="7">IF(OR(BE17=0.18,BE17=0.2),12,IF(BE17=0.31,10,IF(BE17=0.33,9,IF(BE17=0.34,8,IF(BE17=0.36,6)))))</f>
        <v>9</v>
      </c>
      <c r="AE17" s="599">
        <f t="shared" ref="AE17:AE28" si="8">BD17+(AB17-1)*BE17</f>
        <v>3.66</v>
      </c>
      <c r="AF17" s="600"/>
      <c r="AG17" s="600"/>
      <c r="AH17" s="601" t="s">
        <v>37</v>
      </c>
      <c r="AI17" s="602" t="s">
        <v>46</v>
      </c>
      <c r="AJ17" s="603" t="s">
        <v>51</v>
      </c>
      <c r="AK17" s="602" t="s">
        <v>46</v>
      </c>
      <c r="AL17" s="604">
        <v>2015</v>
      </c>
      <c r="AM17" s="605"/>
      <c r="AN17" s="606"/>
      <c r="AO17" s="607">
        <f>AB17+1</f>
        <v>6</v>
      </c>
      <c r="AP17" s="608" t="str">
        <f>IF(AD17=AB17,"%",IF(AD17&gt;AB17,"/"))</f>
        <v>/</v>
      </c>
      <c r="AQ17" s="609">
        <f>IF(AND(AD17=AB17,AO17=4),5,IF(AND(AD17=AB17,AO17&gt;4),AO17+1,IF(AD17&gt;AB17,AD17)))</f>
        <v>9</v>
      </c>
      <c r="AR17" s="610">
        <f>IF(AD17=AB17,"%",IF(AD17&gt;AB17,AE17+BE17))</f>
        <v>3.99</v>
      </c>
      <c r="AS17" s="611"/>
      <c r="AT17" s="612" t="s">
        <v>37</v>
      </c>
      <c r="AU17" s="613" t="s">
        <v>46</v>
      </c>
      <c r="AV17" s="614" t="s">
        <v>51</v>
      </c>
      <c r="AW17" s="613" t="s">
        <v>46</v>
      </c>
      <c r="AX17" s="615">
        <v>2018</v>
      </c>
      <c r="AY17" s="616"/>
      <c r="AZ17" s="617" t="s">
        <v>188</v>
      </c>
      <c r="BA17" s="618"/>
      <c r="BB17" s="619">
        <f t="shared" ref="BB17:BB28" si="9">IF(AND(AD17&gt;AB17,OR(BE17=0.18,BE17=0.2)),2,IF(AND(AD17&gt;AB17,OR(BE17=0.31,BE17=0.33,BE17=0.34,BE17=0.36)),3,IF(AD17=AB17,1)))</f>
        <v>3</v>
      </c>
      <c r="BC17" s="620">
        <f t="shared" ref="BC17:BC28" si="10">12*($AA$2-AX17)+($AA$3-AV17)-AM17</f>
        <v>-24227</v>
      </c>
      <c r="BD17" s="620">
        <f>VLOOKUP(Y17,'[2]- DLiêu Gốc -'!$C$1:$F$60,3,0)</f>
        <v>2.34</v>
      </c>
      <c r="BE17" s="621">
        <f>VLOOKUP(Y17,'[2]- DLiêu Gốc -'!$C$1:$F$60,4,0)</f>
        <v>0.33</v>
      </c>
      <c r="BF17" s="622">
        <v>12</v>
      </c>
      <c r="BG17" s="623" t="s">
        <v>35</v>
      </c>
      <c r="BH17" s="624" t="s">
        <v>37</v>
      </c>
      <c r="BI17" s="625" t="s">
        <v>46</v>
      </c>
      <c r="BJ17" s="626">
        <v>11</v>
      </c>
      <c r="BK17" s="627" t="s">
        <v>46</v>
      </c>
      <c r="BL17" s="628">
        <v>2017</v>
      </c>
      <c r="BM17" s="629"/>
      <c r="BN17" s="630"/>
      <c r="BO17" s="631">
        <f t="shared" ref="BO17:BO28" si="11">IF(BF17&gt;3,BF17+1,0)</f>
        <v>13</v>
      </c>
      <c r="BP17" s="632" t="s">
        <v>35</v>
      </c>
      <c r="BQ17" s="633" t="s">
        <v>37</v>
      </c>
      <c r="BR17" s="613" t="s">
        <v>46</v>
      </c>
      <c r="BS17" s="626">
        <v>11</v>
      </c>
      <c r="BT17" s="634" t="s">
        <v>46</v>
      </c>
      <c r="BU17" s="635">
        <v>2018</v>
      </c>
      <c r="BV17" s="636"/>
      <c r="BW17" s="637"/>
      <c r="BX17" s="638"/>
      <c r="BY17" s="621" t="e">
        <f t="shared" ref="BY17:BY28" si="12">IF(BG17&gt;3,(($BF$2-BV17)*12+($BF$3-BT17)-BN17),"- - -")</f>
        <v>#VALUE!</v>
      </c>
      <c r="BZ17" s="639" t="str">
        <f t="shared" ref="BZ17:BZ28" si="13">IF(AND(CV17="Hưu",BG17&gt;3),12-(12*(DB17-BV17)+(DA17-BT17))-BN17,"- - -")</f>
        <v>- - -</v>
      </c>
      <c r="CA17" s="640" t="str">
        <f t="shared" ref="CA17:CA28" si="14">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Khoa Khoa học hành chính và Tổ chức nhân sự</v>
      </c>
      <c r="CB17" s="641" t="str">
        <f t="shared" ref="CB17:CB28" si="15">IF(S17="Cơ sở Học viện Hành chính khu vực miền Trung","B",IF(S17="Phân viện Khu vực Tây Nguyên","C",IF(S17="Cơ sở Học viện Hành chính tại thành phố Hồ Chí Minh","D","A")))</f>
        <v>A</v>
      </c>
      <c r="CC17" s="595" t="str">
        <f>IF(AND(AO17&gt;0,AB17&lt;(AD17-1),CD17&gt;0,CD17&lt;13,OR(AND(CJ17="Cùg Ng",($CC$2-CF17)&gt;BB17),CJ17="- - -")),"Sớm TT","=&gt; s")</f>
        <v>=&gt; s</v>
      </c>
      <c r="CD17" s="574">
        <f t="shared" ref="CD17:CD28" si="16">IF(BB17=3,36-(12*($CC$2-AX17)+(12-AV17)-AM17),IF(BB17=2,24-(12*($CC$2-AX17)+(12-AV17)-AM17),"---"))</f>
        <v>24251</v>
      </c>
      <c r="CE17" s="574" t="str">
        <f t="shared" ref="CE17:CE28" si="17">IF(CF17&gt;1,"S","---")</f>
        <v>S</v>
      </c>
      <c r="CF17" s="642">
        <v>2012</v>
      </c>
      <c r="CG17" s="574" t="s">
        <v>174</v>
      </c>
      <c r="CH17" s="643"/>
      <c r="CI17" s="574"/>
      <c r="CJ17" s="644" t="str">
        <f t="shared" ref="CJ17:CJ28" si="18">IF(X17=CG17,"Cùg Ng","- - -")</f>
        <v>Cùg Ng</v>
      </c>
      <c r="CK17" s="645" t="str">
        <f t="shared" ref="CK17:CK28" si="19">IF(CM17&gt;2000,"NN","- - -")</f>
        <v>- - -</v>
      </c>
      <c r="CL17" s="646"/>
      <c r="CM17" s="645"/>
      <c r="CN17" s="647"/>
      <c r="CO17" s="644"/>
      <c r="CP17" s="645" t="str">
        <f t="shared" ref="CP17:CP28" si="20">IF(CR17&gt;2000,"CN","- - -")</f>
        <v>- - -</v>
      </c>
      <c r="CQ17" s="646"/>
      <c r="CR17" s="645"/>
      <c r="CS17" s="647"/>
      <c r="CT17" s="648"/>
      <c r="CU17" s="649" t="str">
        <f t="shared" ref="CU17:CU28" si="21">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650" t="str">
        <f t="shared" ref="CV17:CV28" si="22">IF(AND(DG17&gt;DF17,DG17&lt;(DF17+13)),"Hưu",IF(AND(DG17&gt;(DF17+12),DG17&lt;1000),"Quá","/-/ /-/"))</f>
        <v>/-/ /-/</v>
      </c>
      <c r="CW17" s="651">
        <f t="shared" ref="CW17:CW28" si="23">IF((I17+0)&lt;12,(I17+0)+1,IF((I17+0)=12,1,IF((I17+0)&gt;12,(I17+0)-12)))</f>
        <v>10</v>
      </c>
      <c r="CX17" s="650">
        <f t="shared" ref="CX17:CX28" si="24">IF(OR((I17+0)=12,(I17+0)&gt;12),K17+DF17/12+1,IF(AND((I17+0)&gt;0,(I17+0)&lt;12),K17+DF17/12,"---"))</f>
        <v>2037</v>
      </c>
      <c r="CY17" s="651">
        <f t="shared" ref="CY17:CY28" si="25">IF(AND(CW17&gt;3,CW17&lt;13),CW17-3,IF(CW17&lt;4,CW17-3+12))</f>
        <v>7</v>
      </c>
      <c r="CZ17" s="650">
        <f t="shared" ref="CZ17:CZ28" si="26">IF(CY17&lt;CW17,CX17,IF(CY17&gt;CW17,CX17-1))</f>
        <v>2037</v>
      </c>
      <c r="DA17" s="651">
        <f t="shared" ref="DA17:DA28" si="27">IF(CW17&gt;6,CW17-6,IF(CW17=6,12,IF(CW17&lt;6,CW17+6)))</f>
        <v>4</v>
      </c>
      <c r="DB17" s="652">
        <f t="shared" ref="DB17:DB28" si="28">IF(CW17&gt;6,CX17,IF(CW17&lt;7,CX17-1))</f>
        <v>2037</v>
      </c>
      <c r="DC17" s="653" t="str">
        <f t="shared" ref="DC17:DC28" si="29">IF(AND(CV17="Hưu",BB17=3),36+AM17-(12*(DB17-AX17)+(DA17-AV17)),IF(AND(CV17="Hưu",BB17=2),24+AM17-(12*(DB17-AX17)+(DA17-AV17)),IF(AND(CV17="Hưu",BB17=1),12+AM17-(12*(DB17-AX17)+(DA17-AV17)),"- - -")))</f>
        <v>- - -</v>
      </c>
      <c r="DD17" s="653" t="str">
        <f t="shared" ref="DD17:DD28" si="30">IF(DE17&gt;0,"K.Dài",". .")</f>
        <v>. .</v>
      </c>
      <c r="DE17" s="595"/>
      <c r="DF17" s="595">
        <f t="shared" ref="DF17:DF28" si="31">IF(F17="Nam",(60+DE17)*12,IF(F17="Nữ",(55+DE17)*12,))</f>
        <v>720</v>
      </c>
      <c r="DG17" s="595">
        <f t="shared" ref="DG17:DG28" si="32">12*($CV$4-K17)+(12-I17)</f>
        <v>-23721</v>
      </c>
      <c r="DH17" s="595">
        <f t="shared" ref="DH17:DH28" si="33">$DL$4-K17</f>
        <v>-1977</v>
      </c>
      <c r="DI17" s="595" t="str">
        <f t="shared" ref="DI17:DI28" si="34">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Nam dưới 35</v>
      </c>
      <c r="DJ17" s="595"/>
      <c r="DK17" s="621"/>
      <c r="DL17" s="645" t="str">
        <f t="shared" ref="DL17:DL28" si="35">IF(DH17&lt;31,"Đến 30",IF(AND(DH17&gt;30,DH17&lt;46),"31 - 45",IF(AND(DH17&gt;45,DH17&lt;70),"Trên 45")))</f>
        <v>Đến 30</v>
      </c>
      <c r="DM17" s="654" t="str">
        <f t="shared" ref="DM17:DM28" si="36">IF(DN17&gt;0,"TD","--")</f>
        <v>TD</v>
      </c>
      <c r="DN17" s="574">
        <v>2012</v>
      </c>
      <c r="DO17" s="655"/>
      <c r="DP17" s="654"/>
      <c r="DQ17" s="647"/>
      <c r="DR17" s="656"/>
      <c r="DS17" s="657"/>
      <c r="DT17" s="658"/>
      <c r="DU17" s="635"/>
      <c r="DV17" s="659"/>
      <c r="DW17" s="612" t="s">
        <v>211</v>
      </c>
      <c r="DX17" s="614" t="s">
        <v>209</v>
      </c>
      <c r="DY17" s="614" t="s">
        <v>212</v>
      </c>
      <c r="DZ17" s="614" t="s">
        <v>37</v>
      </c>
      <c r="EA17" s="660" t="s">
        <v>46</v>
      </c>
      <c r="EB17" s="614" t="s">
        <v>51</v>
      </c>
      <c r="EC17" s="661" t="s">
        <v>46</v>
      </c>
      <c r="ED17" s="612">
        <v>2012</v>
      </c>
      <c r="EE17" s="614">
        <f t="shared" ref="EE17:EE28" si="37">(DZ17+0)-(EG17+0)</f>
        <v>0</v>
      </c>
      <c r="EF17" s="614" t="str">
        <f t="shared" ref="EF17:EF28" si="38">IF(EE17&gt;0,"Sửa","- - -")</f>
        <v>- - -</v>
      </c>
      <c r="EG17" s="614" t="s">
        <v>37</v>
      </c>
      <c r="EH17" s="660" t="s">
        <v>46</v>
      </c>
      <c r="EI17" s="574" t="s">
        <v>51</v>
      </c>
      <c r="EJ17" s="644" t="s">
        <v>46</v>
      </c>
      <c r="EK17" s="662">
        <v>2012</v>
      </c>
      <c r="EL17" s="635"/>
      <c r="EM17" s="663" t="str">
        <f>IF(AND(BE17&gt;0.34,AO17=1,OR(BD17=6.2,BD17=5.75)),((BD17-EL17)-2*0.34),IF(AND(BE17&gt;0.33,AO17=1,OR(BD17=4.4,BD17=4)),((BD17-EL17)-2*0.33),"- - -"))</f>
        <v>- - -</v>
      </c>
      <c r="EN17" s="663" t="str">
        <f t="shared" ref="EN17:EN28" si="39">IF(CV17="Hưu",12*(DB17-AX17)+(DA17-AV17),"---")</f>
        <v>---</v>
      </c>
      <c r="EO17" s="663"/>
      <c r="EP17" s="663"/>
      <c r="EQ17" s="663"/>
      <c r="ER17" s="663"/>
      <c r="ES17" s="663"/>
      <c r="ET17" s="663"/>
      <c r="EU17" s="663"/>
      <c r="EV17" s="663"/>
      <c r="EW17" s="663"/>
      <c r="EX17" s="663"/>
      <c r="EY17" s="663"/>
      <c r="EZ17" s="663"/>
      <c r="FA17" s="663"/>
      <c r="FB17" s="663"/>
      <c r="FC17" s="663"/>
      <c r="FD17" s="663"/>
      <c r="FE17" s="663"/>
      <c r="FF17" s="663"/>
      <c r="FG17" s="663"/>
      <c r="FH17" s="663"/>
      <c r="FI17" s="663"/>
      <c r="FJ17" s="663"/>
      <c r="FK17" s="664"/>
      <c r="FL17" s="664"/>
      <c r="FM17" s="664"/>
      <c r="FN17" s="664"/>
      <c r="FO17" s="664"/>
    </row>
    <row r="18" spans="1:171" s="665" customFormat="1" ht="30.75" customHeight="1" x14ac:dyDescent="0.2">
      <c r="A18" s="574">
        <v>158</v>
      </c>
      <c r="B18" s="575">
        <v>2</v>
      </c>
      <c r="C18" s="574"/>
      <c r="D18" s="574" t="str">
        <f t="shared" si="0"/>
        <v>Bà</v>
      </c>
      <c r="E18" s="576" t="s">
        <v>282</v>
      </c>
      <c r="F18" s="574" t="s">
        <v>56</v>
      </c>
      <c r="G18" s="577" t="s">
        <v>182</v>
      </c>
      <c r="H18" s="578" t="s">
        <v>46</v>
      </c>
      <c r="I18" s="579" t="s">
        <v>42</v>
      </c>
      <c r="J18" s="578" t="s">
        <v>46</v>
      </c>
      <c r="K18" s="580" t="s">
        <v>238</v>
      </c>
      <c r="L18" s="581" t="s">
        <v>73</v>
      </c>
      <c r="M18" s="582" t="str">
        <f t="shared" si="1"/>
        <v>VC</v>
      </c>
      <c r="N18" s="583"/>
      <c r="O18" s="584" t="str">
        <f t="shared" si="2"/>
        <v>CVụ</v>
      </c>
      <c r="P18" s="585" t="s">
        <v>126</v>
      </c>
      <c r="Q18" s="586">
        <f>VLOOKUP(P18,'[2]- DLiêu Gốc -'!$C$2:$H$115,2,0)</f>
        <v>0.6</v>
      </c>
      <c r="R18" s="587" t="s">
        <v>214</v>
      </c>
      <c r="S18" s="588" t="s">
        <v>120</v>
      </c>
      <c r="T18" s="589" t="str">
        <f>VLOOKUP(Y18,'[2]- DLiêu Gốc -'!$C$2:$H$60,5,0)</f>
        <v>A3</v>
      </c>
      <c r="U18" s="590" t="str">
        <f>VLOOKUP(Y18,'[2]- DLiêu Gốc -'!$C$2:$H$60,6,0)</f>
        <v>A3.1</v>
      </c>
      <c r="V18" s="591" t="s">
        <v>64</v>
      </c>
      <c r="W18" s="592" t="str">
        <f t="shared" si="3"/>
        <v>Giảng viên cao cấp (hạng I)</v>
      </c>
      <c r="X18" s="593" t="str">
        <f t="shared" si="4"/>
        <v>V.07.01.01</v>
      </c>
      <c r="Y18" s="594" t="s">
        <v>66</v>
      </c>
      <c r="Z18" s="594" t="str">
        <f>VLOOKUP(Y18,'[2]- DLiêu Gốc -'!$C$1:$H$133,2,0)</f>
        <v>V.07.01.01</v>
      </c>
      <c r="AA18" s="595" t="str">
        <f t="shared" si="5"/>
        <v>Lương</v>
      </c>
      <c r="AB18" s="596">
        <v>0</v>
      </c>
      <c r="AC18" s="597" t="str">
        <f t="shared" si="6"/>
        <v>/</v>
      </c>
      <c r="AD18" s="598">
        <f t="shared" si="7"/>
        <v>6</v>
      </c>
      <c r="AE18" s="599">
        <f t="shared" si="8"/>
        <v>5.84</v>
      </c>
      <c r="AF18" s="600"/>
      <c r="AG18" s="600"/>
      <c r="AH18" s="601"/>
      <c r="AI18" s="602" t="s">
        <v>46</v>
      </c>
      <c r="AJ18" s="603"/>
      <c r="AK18" s="602" t="s">
        <v>46</v>
      </c>
      <c r="AL18" s="604"/>
      <c r="AM18" s="605"/>
      <c r="AN18" s="606"/>
      <c r="AO18" s="607">
        <f>AB18+1</f>
        <v>1</v>
      </c>
      <c r="AP18" s="608" t="str">
        <f>IF(AD18=AB18,"%",IF(AD18&gt;AB18,"/"))</f>
        <v>/</v>
      </c>
      <c r="AQ18" s="609">
        <f>IF(AND(AD18=AB18,AO18=4),5,IF(AND(AD18=AB18,AO18&gt;4),AO18+1,IF(AD18&gt;AB18,AD18)))</f>
        <v>6</v>
      </c>
      <c r="AR18" s="610">
        <f>IF(AD18=AB18,"%",IF(AD18&gt;AB18,AE18+BE18))</f>
        <v>6.2</v>
      </c>
      <c r="AS18" s="611"/>
      <c r="AT18" s="612" t="s">
        <v>37</v>
      </c>
      <c r="AU18" s="613" t="s">
        <v>46</v>
      </c>
      <c r="AV18" s="614" t="s">
        <v>40</v>
      </c>
      <c r="AW18" s="613" t="s">
        <v>46</v>
      </c>
      <c r="AX18" s="615">
        <v>2018</v>
      </c>
      <c r="AY18" s="616"/>
      <c r="AZ18" s="617"/>
      <c r="BA18" s="618">
        <v>1.18</v>
      </c>
      <c r="BB18" s="619">
        <f t="shared" si="9"/>
        <v>3</v>
      </c>
      <c r="BC18" s="620">
        <f t="shared" si="10"/>
        <v>-24222</v>
      </c>
      <c r="BD18" s="620">
        <f>VLOOKUP(Y18,'[2]- DLiêu Gốc -'!$C$1:$F$60,3,0)</f>
        <v>6.2</v>
      </c>
      <c r="BE18" s="621">
        <f>VLOOKUP(Y18,'[2]- DLiêu Gốc -'!$C$1:$F$60,4,0)</f>
        <v>0.36</v>
      </c>
      <c r="BF18" s="622">
        <v>18</v>
      </c>
      <c r="BG18" s="623" t="s">
        <v>35</v>
      </c>
      <c r="BH18" s="624" t="s">
        <v>37</v>
      </c>
      <c r="BI18" s="625" t="s">
        <v>46</v>
      </c>
      <c r="BJ18" s="626">
        <v>11</v>
      </c>
      <c r="BK18" s="627" t="s">
        <v>46</v>
      </c>
      <c r="BL18" s="628">
        <v>2017</v>
      </c>
      <c r="BM18" s="629"/>
      <c r="BN18" s="630"/>
      <c r="BO18" s="631">
        <f t="shared" si="11"/>
        <v>19</v>
      </c>
      <c r="BP18" s="632" t="s">
        <v>35</v>
      </c>
      <c r="BQ18" s="633" t="s">
        <v>37</v>
      </c>
      <c r="BR18" s="613" t="s">
        <v>46</v>
      </c>
      <c r="BS18" s="626">
        <v>11</v>
      </c>
      <c r="BT18" s="634" t="s">
        <v>46</v>
      </c>
      <c r="BU18" s="635">
        <v>2018</v>
      </c>
      <c r="BV18" s="636"/>
      <c r="BW18" s="637"/>
      <c r="BX18" s="638"/>
      <c r="BY18" s="621" t="e">
        <f t="shared" si="12"/>
        <v>#VALUE!</v>
      </c>
      <c r="BZ18" s="639" t="str">
        <f t="shared" si="13"/>
        <v>- - -</v>
      </c>
      <c r="CA18" s="640" t="str">
        <f t="shared" si="14"/>
        <v>Chánh Văn phòng Học viện, Trưởng Ban Tổ chức - Cán bộ, Trưởng Khoa Khoa học hành chính và Tổ chức nhân sự</v>
      </c>
      <c r="CB18" s="641" t="str">
        <f t="shared" si="15"/>
        <v>A</v>
      </c>
      <c r="CC18" s="595" t="str">
        <f>IF(AND(AO18&gt;0,AB18&lt;(AD18-1),CD18&gt;0,CD18&lt;13,OR(AND(CJ18="Cùg Ng",($CC$2-CF18)&gt;BB18),CJ18="- - -")),"Sớm TT","=&gt; s")</f>
        <v>=&gt; s</v>
      </c>
      <c r="CD18" s="574">
        <f t="shared" si="16"/>
        <v>24246</v>
      </c>
      <c r="CE18" s="574" t="str">
        <f t="shared" si="17"/>
        <v>S</v>
      </c>
      <c r="CF18" s="642">
        <v>2017</v>
      </c>
      <c r="CG18" s="574"/>
      <c r="CH18" s="643"/>
      <c r="CI18" s="574"/>
      <c r="CJ18" s="644" t="str">
        <f t="shared" si="18"/>
        <v>- - -</v>
      </c>
      <c r="CK18" s="645" t="str">
        <f t="shared" si="19"/>
        <v>NN</v>
      </c>
      <c r="CL18" s="646">
        <v>2</v>
      </c>
      <c r="CM18" s="645">
        <v>2018</v>
      </c>
      <c r="CN18" s="647"/>
      <c r="CO18" s="644">
        <v>2009</v>
      </c>
      <c r="CP18" s="645" t="str">
        <f t="shared" si="20"/>
        <v>- - -</v>
      </c>
      <c r="CQ18" s="646"/>
      <c r="CR18" s="645"/>
      <c r="CS18" s="647"/>
      <c r="CT18" s="648"/>
      <c r="CU18" s="649" t="str">
        <f t="shared" si="21"/>
        <v>---</v>
      </c>
      <c r="CV18" s="650" t="str">
        <f t="shared" si="22"/>
        <v>/-/ /-/</v>
      </c>
      <c r="CW18" s="651">
        <f t="shared" si="23"/>
        <v>4</v>
      </c>
      <c r="CX18" s="650">
        <f t="shared" si="24"/>
        <v>2025</v>
      </c>
      <c r="CY18" s="651">
        <f t="shared" si="25"/>
        <v>1</v>
      </c>
      <c r="CZ18" s="650">
        <f t="shared" si="26"/>
        <v>2025</v>
      </c>
      <c r="DA18" s="651">
        <f t="shared" si="27"/>
        <v>10</v>
      </c>
      <c r="DB18" s="652">
        <f t="shared" si="28"/>
        <v>2024</v>
      </c>
      <c r="DC18" s="653" t="str">
        <f t="shared" si="29"/>
        <v>- - -</v>
      </c>
      <c r="DD18" s="653" t="str">
        <f t="shared" si="30"/>
        <v>. .</v>
      </c>
      <c r="DE18" s="595"/>
      <c r="DF18" s="595">
        <f t="shared" si="31"/>
        <v>660</v>
      </c>
      <c r="DG18" s="595">
        <f t="shared" si="32"/>
        <v>-23631</v>
      </c>
      <c r="DH18" s="595">
        <f t="shared" si="33"/>
        <v>-1970</v>
      </c>
      <c r="DI18" s="595" t="str">
        <f t="shared" si="34"/>
        <v>Nữ dưới 30</v>
      </c>
      <c r="DJ18" s="595"/>
      <c r="DK18" s="621"/>
      <c r="DL18" s="645" t="str">
        <f t="shared" si="35"/>
        <v>Đến 30</v>
      </c>
      <c r="DM18" s="654" t="str">
        <f t="shared" si="36"/>
        <v>--</v>
      </c>
      <c r="DN18" s="574"/>
      <c r="DO18" s="655"/>
      <c r="DP18" s="654"/>
      <c r="DQ18" s="647"/>
      <c r="DR18" s="656"/>
      <c r="DS18" s="657"/>
      <c r="DT18" s="658"/>
      <c r="DU18" s="635"/>
      <c r="DV18" s="659"/>
      <c r="DW18" s="612" t="s">
        <v>214</v>
      </c>
      <c r="DX18" s="614" t="s">
        <v>209</v>
      </c>
      <c r="DY18" s="614" t="s">
        <v>214</v>
      </c>
      <c r="DZ18" s="614" t="s">
        <v>37</v>
      </c>
      <c r="EA18" s="660" t="s">
        <v>46</v>
      </c>
      <c r="EB18" s="614" t="s">
        <v>37</v>
      </c>
      <c r="EC18" s="661" t="s">
        <v>46</v>
      </c>
      <c r="ED18" s="612" t="s">
        <v>54</v>
      </c>
      <c r="EE18" s="614">
        <f t="shared" si="37"/>
        <v>0</v>
      </c>
      <c r="EF18" s="614" t="str">
        <f t="shared" si="38"/>
        <v>- - -</v>
      </c>
      <c r="EG18" s="614" t="s">
        <v>37</v>
      </c>
      <c r="EH18" s="660" t="s">
        <v>46</v>
      </c>
      <c r="EI18" s="574" t="s">
        <v>37</v>
      </c>
      <c r="EJ18" s="644" t="s">
        <v>46</v>
      </c>
      <c r="EK18" s="662" t="s">
        <v>54</v>
      </c>
      <c r="EL18" s="635">
        <v>3.66</v>
      </c>
      <c r="EM18" s="663">
        <f>IF(AND(BE18&gt;0.34,AO18=1,OR(BD18=6.2,BD18=5.75)),((BD18-EL18)-2*0.34),IF(AND(BE18&gt;0.33,AO18=1,OR(BD18=4.4,BD18=4)),((BD18-EL18)-2*0.33),"- - -"))</f>
        <v>1.8599999999999999</v>
      </c>
      <c r="EN18" s="663" t="str">
        <f t="shared" si="39"/>
        <v>---</v>
      </c>
      <c r="EO18" s="663"/>
      <c r="EP18" s="663"/>
      <c r="EQ18" s="663"/>
      <c r="ER18" s="663"/>
      <c r="ES18" s="663"/>
      <c r="ET18" s="663"/>
      <c r="EU18" s="663"/>
      <c r="EV18" s="663"/>
      <c r="EW18" s="663"/>
      <c r="EX18" s="663"/>
      <c r="EY18" s="663"/>
      <c r="EZ18" s="663"/>
      <c r="FA18" s="663"/>
      <c r="FB18" s="663"/>
      <c r="FC18" s="663"/>
      <c r="FD18" s="663"/>
      <c r="FE18" s="663"/>
      <c r="FF18" s="663"/>
      <c r="FG18" s="663"/>
      <c r="FH18" s="663"/>
      <c r="FI18" s="663"/>
      <c r="FJ18" s="663"/>
      <c r="FK18" s="664"/>
      <c r="FL18" s="664"/>
      <c r="FM18" s="664"/>
      <c r="FN18" s="664"/>
      <c r="FO18" s="664"/>
    </row>
    <row r="19" spans="1:171" s="665" customFormat="1" ht="30.75" customHeight="1" x14ac:dyDescent="0.2">
      <c r="A19" s="574">
        <v>204</v>
      </c>
      <c r="B19" s="575">
        <v>3</v>
      </c>
      <c r="C19" s="574"/>
      <c r="D19" s="574" t="str">
        <f t="shared" si="0"/>
        <v>Ông</v>
      </c>
      <c r="E19" s="576" t="s">
        <v>283</v>
      </c>
      <c r="F19" s="574" t="s">
        <v>55</v>
      </c>
      <c r="G19" s="577" t="s">
        <v>224</v>
      </c>
      <c r="H19" s="578" t="s">
        <v>46</v>
      </c>
      <c r="I19" s="579" t="s">
        <v>42</v>
      </c>
      <c r="J19" s="578" t="s">
        <v>46</v>
      </c>
      <c r="K19" s="580">
        <v>1949</v>
      </c>
      <c r="L19" s="581" t="s">
        <v>73</v>
      </c>
      <c r="M19" s="582" t="str">
        <f t="shared" si="1"/>
        <v>VC</v>
      </c>
      <c r="N19" s="583"/>
      <c r="O19" s="584" t="e">
        <f t="shared" si="2"/>
        <v>#N/A</v>
      </c>
      <c r="P19" s="585"/>
      <c r="Q19" s="586" t="e">
        <f>VLOOKUP(P19,'[2]- DLiêu Gốc -'!$C$2:$H$115,2,0)</f>
        <v>#N/A</v>
      </c>
      <c r="R19" s="587" t="s">
        <v>157</v>
      </c>
      <c r="S19" s="588" t="s">
        <v>127</v>
      </c>
      <c r="T19" s="589" t="str">
        <f>VLOOKUP(Y19,'[2]- DLiêu Gốc -'!$C$2:$H$60,5,0)</f>
        <v>A3</v>
      </c>
      <c r="U19" s="590" t="str">
        <f>VLOOKUP(Y19,'[2]- DLiêu Gốc -'!$C$2:$H$60,6,0)</f>
        <v>A3.1</v>
      </c>
      <c r="V19" s="591" t="s">
        <v>64</v>
      </c>
      <c r="W19" s="592" t="str">
        <f t="shared" si="3"/>
        <v>Giảng viên cao cấp (hạng I)</v>
      </c>
      <c r="X19" s="593" t="str">
        <f t="shared" si="4"/>
        <v>V.07.01.01</v>
      </c>
      <c r="Y19" s="594" t="s">
        <v>66</v>
      </c>
      <c r="Z19" s="594" t="str">
        <f>VLOOKUP(Y19,'[2]- DLiêu Gốc -'!$C$1:$H$133,2,0)</f>
        <v>V.07.01.01</v>
      </c>
      <c r="AA19" s="595" t="str">
        <f t="shared" si="5"/>
        <v>Lương</v>
      </c>
      <c r="AB19" s="596">
        <v>6</v>
      </c>
      <c r="AC19" s="597" t="str">
        <f t="shared" si="6"/>
        <v>/</v>
      </c>
      <c r="AD19" s="598">
        <f t="shared" si="7"/>
        <v>6</v>
      </c>
      <c r="AE19" s="599">
        <f t="shared" si="8"/>
        <v>8</v>
      </c>
      <c r="AF19" s="600">
        <v>12</v>
      </c>
      <c r="AG19" s="600" t="str">
        <f>IF(AD19=AB19,"%",IF(AD19&gt;AB19,"/"))</f>
        <v>%</v>
      </c>
      <c r="AH19" s="601" t="s">
        <v>37</v>
      </c>
      <c r="AI19" s="602" t="s">
        <v>46</v>
      </c>
      <c r="AJ19" s="603" t="s">
        <v>40</v>
      </c>
      <c r="AK19" s="602" t="s">
        <v>46</v>
      </c>
      <c r="AL19" s="604">
        <v>2017</v>
      </c>
      <c r="AM19" s="605"/>
      <c r="AN19" s="606"/>
      <c r="AO19" s="607"/>
      <c r="AP19" s="608"/>
      <c r="AQ19" s="609"/>
      <c r="AR19" s="610">
        <f>IF(AND(AD19=AB19,AF19=0),5,IF(AND(AD19=AB19,AF19&gt;4),AF19+1,IF(AD19&gt;AB19,AD19)))</f>
        <v>13</v>
      </c>
      <c r="AS19" s="611" t="str">
        <f>IF(AD19=AB19,"%",IF(AD19&gt;AB19,AE19+BE19))</f>
        <v>%</v>
      </c>
      <c r="AT19" s="612" t="s">
        <v>37</v>
      </c>
      <c r="AU19" s="613" t="s">
        <v>46</v>
      </c>
      <c r="AV19" s="614" t="s">
        <v>40</v>
      </c>
      <c r="AW19" s="613" t="s">
        <v>46</v>
      </c>
      <c r="AX19" s="615">
        <v>2018</v>
      </c>
      <c r="AY19" s="616"/>
      <c r="AZ19" s="617" t="s">
        <v>284</v>
      </c>
      <c r="BA19" s="618">
        <v>6.18</v>
      </c>
      <c r="BB19" s="619">
        <f t="shared" si="9"/>
        <v>1</v>
      </c>
      <c r="BC19" s="620">
        <f t="shared" si="10"/>
        <v>-24222</v>
      </c>
      <c r="BD19" s="620">
        <f>VLOOKUP(Y19,'[2]- DLiêu Gốc -'!$C$1:$F$60,3,0)</f>
        <v>6.2</v>
      </c>
      <c r="BE19" s="621">
        <f>VLOOKUP(Y19,'[2]- DLiêu Gốc -'!$C$1:$F$60,4,0)</f>
        <v>0.36</v>
      </c>
      <c r="BF19" s="622">
        <v>33</v>
      </c>
      <c r="BG19" s="623" t="s">
        <v>35</v>
      </c>
      <c r="BH19" s="624" t="s">
        <v>37</v>
      </c>
      <c r="BI19" s="625" t="s">
        <v>46</v>
      </c>
      <c r="BJ19" s="626" t="s">
        <v>51</v>
      </c>
      <c r="BK19" s="627" t="s">
        <v>46</v>
      </c>
      <c r="BL19" s="628">
        <v>2017</v>
      </c>
      <c r="BM19" s="629"/>
      <c r="BN19" s="630"/>
      <c r="BO19" s="631">
        <f t="shared" si="11"/>
        <v>34</v>
      </c>
      <c r="BP19" s="632" t="s">
        <v>35</v>
      </c>
      <c r="BQ19" s="633" t="s">
        <v>37</v>
      </c>
      <c r="BR19" s="613" t="s">
        <v>46</v>
      </c>
      <c r="BS19" s="626" t="s">
        <v>51</v>
      </c>
      <c r="BT19" s="634" t="s">
        <v>46</v>
      </c>
      <c r="BU19" s="635">
        <v>2018</v>
      </c>
      <c r="BV19" s="636"/>
      <c r="BW19" s="637"/>
      <c r="BX19" s="638"/>
      <c r="BY19" s="621" t="e">
        <f t="shared" si="12"/>
        <v>#VALUE!</v>
      </c>
      <c r="BZ19" s="639" t="str">
        <f t="shared" si="13"/>
        <v>- - -</v>
      </c>
      <c r="CA19" s="640" t="str">
        <f t="shared" si="14"/>
        <v>Chánh Văn phòng Học viện, Trưởng Ban Tổ chức - Cán bộ, Trưởng Khoa Nhà nước - Pháp luật và Lý luận cơ sở</v>
      </c>
      <c r="CB19" s="641" t="str">
        <f t="shared" si="15"/>
        <v>A</v>
      </c>
      <c r="CC19" s="595" t="str">
        <f>IF(AND(AF19&gt;0,AB19&lt;(AD19-1),CD19&gt;0,CD19&lt;13,OR(AND(CJ19="Cùg Ng",($CC$2-CF19)&gt;BB19),CJ19="- - -")),"Sớm TT","=&gt; s")</f>
        <v>=&gt; s</v>
      </c>
      <c r="CD19" s="574" t="str">
        <f t="shared" si="16"/>
        <v>---</v>
      </c>
      <c r="CE19" s="574" t="str">
        <f t="shared" si="17"/>
        <v>S</v>
      </c>
      <c r="CF19" s="642">
        <v>2007</v>
      </c>
      <c r="CG19" s="574" t="s">
        <v>146</v>
      </c>
      <c r="CH19" s="643"/>
      <c r="CI19" s="574"/>
      <c r="CJ19" s="644" t="str">
        <f t="shared" si="18"/>
        <v>Cùg Ng</v>
      </c>
      <c r="CK19" s="645" t="str">
        <f t="shared" si="19"/>
        <v>- - -</v>
      </c>
      <c r="CL19" s="646"/>
      <c r="CM19" s="645"/>
      <c r="CN19" s="647"/>
      <c r="CO19" s="644"/>
      <c r="CP19" s="645" t="str">
        <f t="shared" si="20"/>
        <v>- - -</v>
      </c>
      <c r="CQ19" s="646"/>
      <c r="CR19" s="645"/>
      <c r="CS19" s="647"/>
      <c r="CT19" s="648"/>
      <c r="CU19" s="649" t="str">
        <f t="shared" si="21"/>
        <v>---</v>
      </c>
      <c r="CV19" s="650" t="str">
        <f t="shared" si="22"/>
        <v>/-/ /-/</v>
      </c>
      <c r="CW19" s="651">
        <f t="shared" si="23"/>
        <v>4</v>
      </c>
      <c r="CX19" s="650">
        <f t="shared" si="24"/>
        <v>2019</v>
      </c>
      <c r="CY19" s="651">
        <f t="shared" si="25"/>
        <v>1</v>
      </c>
      <c r="CZ19" s="650">
        <f t="shared" si="26"/>
        <v>2019</v>
      </c>
      <c r="DA19" s="651">
        <f t="shared" si="27"/>
        <v>10</v>
      </c>
      <c r="DB19" s="652">
        <f t="shared" si="28"/>
        <v>2018</v>
      </c>
      <c r="DC19" s="653" t="str">
        <f t="shared" si="29"/>
        <v>- - -</v>
      </c>
      <c r="DD19" s="653" t="str">
        <f t="shared" si="30"/>
        <v>K.Dài</v>
      </c>
      <c r="DE19" s="595">
        <v>10</v>
      </c>
      <c r="DF19" s="595">
        <f t="shared" si="31"/>
        <v>840</v>
      </c>
      <c r="DG19" s="595">
        <f t="shared" si="32"/>
        <v>-23379</v>
      </c>
      <c r="DH19" s="595">
        <f t="shared" si="33"/>
        <v>-1949</v>
      </c>
      <c r="DI19" s="595" t="str">
        <f t="shared" si="34"/>
        <v>Nam dưới 35</v>
      </c>
      <c r="DJ19" s="595"/>
      <c r="DK19" s="621"/>
      <c r="DL19" s="645" t="str">
        <f t="shared" si="35"/>
        <v>Đến 30</v>
      </c>
      <c r="DM19" s="654" t="str">
        <f t="shared" si="36"/>
        <v>--</v>
      </c>
      <c r="DN19" s="574"/>
      <c r="DO19" s="655"/>
      <c r="DP19" s="654"/>
      <c r="DQ19" s="647"/>
      <c r="DR19" s="656" t="s">
        <v>285</v>
      </c>
      <c r="DS19" s="657"/>
      <c r="DT19" s="658"/>
      <c r="DU19" s="635"/>
      <c r="DV19" s="659"/>
      <c r="DW19" s="612" t="s">
        <v>157</v>
      </c>
      <c r="DX19" s="614" t="s">
        <v>140</v>
      </c>
      <c r="DY19" s="614" t="s">
        <v>157</v>
      </c>
      <c r="DZ19" s="614" t="s">
        <v>37</v>
      </c>
      <c r="EA19" s="660" t="s">
        <v>46</v>
      </c>
      <c r="EB19" s="614" t="s">
        <v>40</v>
      </c>
      <c r="EC19" s="661" t="s">
        <v>46</v>
      </c>
      <c r="ED19" s="612">
        <v>2013</v>
      </c>
      <c r="EE19" s="614">
        <f t="shared" si="37"/>
        <v>0</v>
      </c>
      <c r="EF19" s="614" t="str">
        <f t="shared" si="38"/>
        <v>- - -</v>
      </c>
      <c r="EG19" s="614" t="s">
        <v>37</v>
      </c>
      <c r="EH19" s="660" t="s">
        <v>46</v>
      </c>
      <c r="EI19" s="574" t="s">
        <v>40</v>
      </c>
      <c r="EJ19" s="644" t="s">
        <v>46</v>
      </c>
      <c r="EK19" s="662">
        <v>2013</v>
      </c>
      <c r="EL19" s="635"/>
      <c r="EM19" s="663" t="str">
        <f>IF(AND(BE19&gt;0.34,AF19=1,OR(BD19=6.2,BD19=5.75)),((BD19-EL19)-2*0.34),IF(AND(BE19&gt;0.33,AF19=1,OR(BD19=4.4,BD19=4)),((BD19-EL19)-2*0.33),"- - -"))</f>
        <v>- - -</v>
      </c>
      <c r="EN19" s="663" t="str">
        <f t="shared" si="39"/>
        <v>---</v>
      </c>
      <c r="EO19" s="663"/>
      <c r="EP19" s="663"/>
      <c r="EQ19" s="663"/>
      <c r="ER19" s="663"/>
      <c r="ES19" s="663"/>
      <c r="ET19" s="663"/>
      <c r="EU19" s="663"/>
      <c r="EV19" s="663"/>
      <c r="EW19" s="663"/>
      <c r="EX19" s="663"/>
      <c r="EY19" s="663"/>
      <c r="EZ19" s="663"/>
      <c r="FA19" s="663"/>
      <c r="FB19" s="663"/>
      <c r="FC19" s="663"/>
      <c r="FD19" s="663"/>
      <c r="FE19" s="663"/>
      <c r="FF19" s="663"/>
      <c r="FG19" s="663"/>
      <c r="FH19" s="663"/>
      <c r="FI19" s="663"/>
      <c r="FJ19" s="663"/>
      <c r="FK19" s="664"/>
      <c r="FL19" s="664"/>
      <c r="FM19" s="664"/>
      <c r="FN19" s="664"/>
      <c r="FO19" s="664"/>
    </row>
    <row r="20" spans="1:171" s="665" customFormat="1" ht="30.75" customHeight="1" x14ac:dyDescent="0.2">
      <c r="A20" s="574">
        <v>219</v>
      </c>
      <c r="B20" s="575">
        <v>4</v>
      </c>
      <c r="C20" s="574"/>
      <c r="D20" s="574" t="str">
        <f t="shared" si="0"/>
        <v>Bà</v>
      </c>
      <c r="E20" s="576" t="s">
        <v>220</v>
      </c>
      <c r="F20" s="574" t="s">
        <v>56</v>
      </c>
      <c r="G20" s="577" t="s">
        <v>141</v>
      </c>
      <c r="H20" s="578" t="s">
        <v>46</v>
      </c>
      <c r="I20" s="579" t="s">
        <v>51</v>
      </c>
      <c r="J20" s="578" t="s">
        <v>46</v>
      </c>
      <c r="K20" s="580">
        <v>1980</v>
      </c>
      <c r="L20" s="581" t="s">
        <v>73</v>
      </c>
      <c r="M20" s="582" t="str">
        <f t="shared" si="1"/>
        <v>VC</v>
      </c>
      <c r="N20" s="583"/>
      <c r="O20" s="584" t="e">
        <f t="shared" si="2"/>
        <v>#N/A</v>
      </c>
      <c r="P20" s="585"/>
      <c r="Q20" s="586" t="e">
        <f>VLOOKUP(P20,'[2]- DLiêu Gốc -'!$C$2:$H$115,2,0)</f>
        <v>#N/A</v>
      </c>
      <c r="R20" s="587" t="s">
        <v>148</v>
      </c>
      <c r="S20" s="588" t="s">
        <v>127</v>
      </c>
      <c r="T20" s="589" t="str">
        <f>VLOOKUP(Y20,'[2]- DLiêu Gốc -'!$C$2:$H$60,5,0)</f>
        <v>A1</v>
      </c>
      <c r="U20" s="590" t="str">
        <f>VLOOKUP(Y20,'[2]- DLiêu Gốc -'!$C$2:$H$60,6,0)</f>
        <v>- - -</v>
      </c>
      <c r="V20" s="591" t="s">
        <v>65</v>
      </c>
      <c r="W20" s="592" t="str">
        <f t="shared" si="3"/>
        <v>Giáo viên trung học</v>
      </c>
      <c r="X20" s="593" t="str">
        <f t="shared" si="4"/>
        <v>15.113</v>
      </c>
      <c r="Y20" s="594" t="s">
        <v>193</v>
      </c>
      <c r="Z20" s="594" t="str">
        <f>VLOOKUP(Y20,'[2]- DLiêu Gốc -'!$C$1:$H$133,2,0)</f>
        <v>15.113</v>
      </c>
      <c r="AA20" s="595" t="str">
        <f t="shared" si="5"/>
        <v>Lương</v>
      </c>
      <c r="AB20" s="596">
        <v>5</v>
      </c>
      <c r="AC20" s="597" t="str">
        <f t="shared" si="6"/>
        <v>/</v>
      </c>
      <c r="AD20" s="598">
        <f t="shared" si="7"/>
        <v>9</v>
      </c>
      <c r="AE20" s="599">
        <f t="shared" si="8"/>
        <v>3.66</v>
      </c>
      <c r="AF20" s="600"/>
      <c r="AG20" s="600"/>
      <c r="AH20" s="601" t="s">
        <v>37</v>
      </c>
      <c r="AI20" s="602"/>
      <c r="AJ20" s="603" t="s">
        <v>51</v>
      </c>
      <c r="AK20" s="602"/>
      <c r="AL20" s="604">
        <v>2015</v>
      </c>
      <c r="AM20" s="605"/>
      <c r="AN20" s="606"/>
      <c r="AO20" s="607">
        <f t="shared" ref="AO20:AO28" si="40">AB20+1</f>
        <v>6</v>
      </c>
      <c r="AP20" s="608" t="str">
        <f t="shared" ref="AP20:AP28" si="41">IF(AD20=AB20,"%",IF(AD20&gt;AB20,"/"))</f>
        <v>/</v>
      </c>
      <c r="AQ20" s="609">
        <f t="shared" ref="AQ20:AQ28" si="42">IF(AND(AD20=AB20,AO20=4),5,IF(AND(AD20=AB20,AO20&gt;4),AO20+1,IF(AD20&gt;AB20,AD20)))</f>
        <v>9</v>
      </c>
      <c r="AR20" s="610">
        <f t="shared" ref="AR20:AR28" si="43">IF(AD20=AB20,"%",IF(AD20&gt;AB20,AE20+BE20))</f>
        <v>3.99</v>
      </c>
      <c r="AS20" s="611"/>
      <c r="AT20" s="612" t="s">
        <v>37</v>
      </c>
      <c r="AU20" s="613"/>
      <c r="AV20" s="614" t="s">
        <v>51</v>
      </c>
      <c r="AW20" s="613"/>
      <c r="AX20" s="615">
        <v>2018</v>
      </c>
      <c r="AY20" s="616"/>
      <c r="AZ20" s="617"/>
      <c r="BA20" s="618"/>
      <c r="BB20" s="619">
        <f t="shared" si="9"/>
        <v>3</v>
      </c>
      <c r="BC20" s="620">
        <f t="shared" si="10"/>
        <v>-24227</v>
      </c>
      <c r="BD20" s="620">
        <f>VLOOKUP(Y20,'[2]- DLiêu Gốc -'!$C$1:$F$60,3,0)</f>
        <v>2.34</v>
      </c>
      <c r="BE20" s="621">
        <f>VLOOKUP(Y20,'[2]- DLiêu Gốc -'!$C$1:$F$60,4,0)</f>
        <v>0.33</v>
      </c>
      <c r="BF20" s="622">
        <v>14</v>
      </c>
      <c r="BG20" s="623" t="s">
        <v>35</v>
      </c>
      <c r="BH20" s="624" t="s">
        <v>37</v>
      </c>
      <c r="BI20" s="625" t="s">
        <v>46</v>
      </c>
      <c r="BJ20" s="626">
        <v>11</v>
      </c>
      <c r="BK20" s="627" t="s">
        <v>46</v>
      </c>
      <c r="BL20" s="628">
        <v>2017</v>
      </c>
      <c r="BM20" s="629"/>
      <c r="BN20" s="630"/>
      <c r="BO20" s="631">
        <f t="shared" si="11"/>
        <v>15</v>
      </c>
      <c r="BP20" s="632" t="s">
        <v>35</v>
      </c>
      <c r="BQ20" s="633" t="s">
        <v>37</v>
      </c>
      <c r="BR20" s="613" t="s">
        <v>46</v>
      </c>
      <c r="BS20" s="626">
        <v>11</v>
      </c>
      <c r="BT20" s="634" t="s">
        <v>46</v>
      </c>
      <c r="BU20" s="635">
        <v>2018</v>
      </c>
      <c r="BV20" s="636"/>
      <c r="BW20" s="637" t="s">
        <v>221</v>
      </c>
      <c r="BX20" s="638"/>
      <c r="BY20" s="621" t="e">
        <f t="shared" si="12"/>
        <v>#VALUE!</v>
      </c>
      <c r="BZ20" s="639" t="str">
        <f t="shared" si="13"/>
        <v>- - -</v>
      </c>
      <c r="CA20" s="640" t="str">
        <f t="shared" si="14"/>
        <v>Chánh Văn phòng Học viện, Trưởng Ban Tổ chức - Cán bộ, Trưởng Khoa Nhà nước - Pháp luật và Lý luận cơ sở</v>
      </c>
      <c r="CB20" s="641" t="str">
        <f t="shared" si="15"/>
        <v>A</v>
      </c>
      <c r="CC20" s="595" t="str">
        <f t="shared" ref="CC20:CC28" si="44">IF(AND(AO20&gt;0,AB20&lt;(AD20-1),CD20&gt;0,CD20&lt;13,OR(AND(CJ20="Cùg Ng",($CC$2-CF20)&gt;BB20),CJ20="- - -")),"Sớm TT","=&gt; s")</f>
        <v>=&gt; s</v>
      </c>
      <c r="CD20" s="574">
        <f t="shared" si="16"/>
        <v>24251</v>
      </c>
      <c r="CE20" s="574" t="str">
        <f t="shared" si="17"/>
        <v>---</v>
      </c>
      <c r="CF20" s="642"/>
      <c r="CG20" s="574"/>
      <c r="CH20" s="643"/>
      <c r="CI20" s="574"/>
      <c r="CJ20" s="644" t="str">
        <f t="shared" si="18"/>
        <v>- - -</v>
      </c>
      <c r="CK20" s="645" t="str">
        <f t="shared" si="19"/>
        <v>- - -</v>
      </c>
      <c r="CL20" s="646"/>
      <c r="CM20" s="645"/>
      <c r="CN20" s="647"/>
      <c r="CO20" s="644"/>
      <c r="CP20" s="645" t="str">
        <f t="shared" si="20"/>
        <v>- - -</v>
      </c>
      <c r="CQ20" s="646"/>
      <c r="CR20" s="645"/>
      <c r="CS20" s="647"/>
      <c r="CT20" s="648"/>
      <c r="CU20" s="649" t="str">
        <f t="shared" si="21"/>
        <v>---</v>
      </c>
      <c r="CV20" s="650" t="str">
        <f t="shared" si="22"/>
        <v>/-/ /-/</v>
      </c>
      <c r="CW20" s="651">
        <f t="shared" si="23"/>
        <v>12</v>
      </c>
      <c r="CX20" s="650">
        <f t="shared" si="24"/>
        <v>2035</v>
      </c>
      <c r="CY20" s="651">
        <f t="shared" si="25"/>
        <v>9</v>
      </c>
      <c r="CZ20" s="650">
        <f t="shared" si="26"/>
        <v>2035</v>
      </c>
      <c r="DA20" s="651">
        <f t="shared" si="27"/>
        <v>6</v>
      </c>
      <c r="DB20" s="652">
        <f t="shared" si="28"/>
        <v>2035</v>
      </c>
      <c r="DC20" s="653" t="str">
        <f t="shared" si="29"/>
        <v>- - -</v>
      </c>
      <c r="DD20" s="653" t="str">
        <f t="shared" si="30"/>
        <v>. .</v>
      </c>
      <c r="DE20" s="595"/>
      <c r="DF20" s="595">
        <f t="shared" si="31"/>
        <v>660</v>
      </c>
      <c r="DG20" s="595">
        <f t="shared" si="32"/>
        <v>-23759</v>
      </c>
      <c r="DH20" s="595">
        <f t="shared" si="33"/>
        <v>-1980</v>
      </c>
      <c r="DI20" s="595" t="str">
        <f t="shared" si="34"/>
        <v>Nữ dưới 30</v>
      </c>
      <c r="DJ20" s="595"/>
      <c r="DK20" s="621"/>
      <c r="DL20" s="645" t="str">
        <f t="shared" si="35"/>
        <v>Đến 30</v>
      </c>
      <c r="DM20" s="654" t="str">
        <f t="shared" si="36"/>
        <v>--</v>
      </c>
      <c r="DN20" s="574"/>
      <c r="DO20" s="655"/>
      <c r="DP20" s="654"/>
      <c r="DQ20" s="647"/>
      <c r="DR20" s="656"/>
      <c r="DS20" s="657"/>
      <c r="DT20" s="658"/>
      <c r="DU20" s="635"/>
      <c r="DV20" s="659"/>
      <c r="DW20" s="612" t="s">
        <v>148</v>
      </c>
      <c r="DX20" s="614" t="s">
        <v>187</v>
      </c>
      <c r="DY20" s="614" t="s">
        <v>148</v>
      </c>
      <c r="DZ20" s="614" t="s">
        <v>37</v>
      </c>
      <c r="EA20" s="660" t="s">
        <v>46</v>
      </c>
      <c r="EB20" s="614" t="s">
        <v>51</v>
      </c>
      <c r="EC20" s="661" t="s">
        <v>46</v>
      </c>
      <c r="ED20" s="612">
        <v>2012</v>
      </c>
      <c r="EE20" s="614">
        <f t="shared" si="37"/>
        <v>0</v>
      </c>
      <c r="EF20" s="614" t="str">
        <f t="shared" si="38"/>
        <v>- - -</v>
      </c>
      <c r="EG20" s="614" t="s">
        <v>37</v>
      </c>
      <c r="EH20" s="660" t="s">
        <v>46</v>
      </c>
      <c r="EI20" s="574" t="s">
        <v>51</v>
      </c>
      <c r="EJ20" s="644" t="s">
        <v>46</v>
      </c>
      <c r="EK20" s="662">
        <v>2012</v>
      </c>
      <c r="EL20" s="635"/>
      <c r="EM20" s="663" t="str">
        <f t="shared" ref="EM20:EM28" si="45">IF(AND(BE20&gt;0.34,AO20=1,OR(BD20=6.2,BD20=5.75)),((BD20-EL20)-2*0.34),IF(AND(BE20&gt;0.33,AO20=1,OR(BD20=4.4,BD20=4)),((BD20-EL20)-2*0.33),"- - -"))</f>
        <v>- - -</v>
      </c>
      <c r="EN20" s="663" t="str">
        <f t="shared" si="39"/>
        <v>---</v>
      </c>
      <c r="EO20" s="663"/>
      <c r="EP20" s="663"/>
      <c r="EQ20" s="663"/>
      <c r="ER20" s="663"/>
      <c r="ES20" s="663"/>
      <c r="ET20" s="663"/>
      <c r="EU20" s="663"/>
      <c r="EV20" s="663"/>
      <c r="EW20" s="663"/>
      <c r="EX20" s="663"/>
      <c r="EY20" s="663"/>
      <c r="EZ20" s="663"/>
      <c r="FA20" s="663"/>
      <c r="FB20" s="663"/>
      <c r="FC20" s="663"/>
      <c r="FD20" s="663"/>
      <c r="FE20" s="663"/>
      <c r="FF20" s="663"/>
      <c r="FG20" s="663"/>
      <c r="FH20" s="663"/>
      <c r="FI20" s="663"/>
      <c r="FJ20" s="663"/>
      <c r="FK20" s="664"/>
      <c r="FL20" s="664"/>
      <c r="FM20" s="664"/>
      <c r="FN20" s="664"/>
      <c r="FO20" s="664"/>
    </row>
    <row r="21" spans="1:171" s="665" customFormat="1" ht="30.75" customHeight="1" x14ac:dyDescent="0.2">
      <c r="A21" s="574">
        <v>238</v>
      </c>
      <c r="B21" s="575">
        <v>5</v>
      </c>
      <c r="C21" s="574"/>
      <c r="D21" s="574" t="str">
        <f t="shared" si="0"/>
        <v>Ông</v>
      </c>
      <c r="E21" s="576" t="s">
        <v>286</v>
      </c>
      <c r="F21" s="574" t="s">
        <v>55</v>
      </c>
      <c r="G21" s="577" t="s">
        <v>37</v>
      </c>
      <c r="H21" s="578" t="s">
        <v>46</v>
      </c>
      <c r="I21" s="579" t="s">
        <v>53</v>
      </c>
      <c r="J21" s="578" t="s">
        <v>46</v>
      </c>
      <c r="K21" s="580" t="s">
        <v>195</v>
      </c>
      <c r="L21" s="581" t="s">
        <v>73</v>
      </c>
      <c r="M21" s="582" t="str">
        <f t="shared" si="1"/>
        <v>VC</v>
      </c>
      <c r="N21" s="583"/>
      <c r="O21" s="584" t="str">
        <f t="shared" si="2"/>
        <v>CVụ</v>
      </c>
      <c r="P21" s="585" t="s">
        <v>196</v>
      </c>
      <c r="Q21" s="586">
        <f>VLOOKUP(P21,'[2]- DLiêu Gốc -'!$C$2:$H$115,2,0)</f>
        <v>0.8</v>
      </c>
      <c r="R21" s="587"/>
      <c r="S21" s="588" t="s">
        <v>128</v>
      </c>
      <c r="T21" s="589" t="str">
        <f>VLOOKUP(Y21,'[2]- DLiêu Gốc -'!$C$2:$H$60,5,0)</f>
        <v>A3</v>
      </c>
      <c r="U21" s="590" t="str">
        <f>VLOOKUP(Y21,'[2]- DLiêu Gốc -'!$C$2:$H$60,6,0)</f>
        <v>A3.1</v>
      </c>
      <c r="V21" s="591" t="s">
        <v>64</v>
      </c>
      <c r="W21" s="592" t="str">
        <f t="shared" si="3"/>
        <v>Giảng viên cao cấp (hạng I)</v>
      </c>
      <c r="X21" s="593" t="str">
        <f t="shared" si="4"/>
        <v>V.07.01.01</v>
      </c>
      <c r="Y21" s="594" t="s">
        <v>66</v>
      </c>
      <c r="Z21" s="594" t="str">
        <f>VLOOKUP(Y21,'[2]- DLiêu Gốc -'!$C$1:$H$133,2,0)</f>
        <v>V.07.01.01</v>
      </c>
      <c r="AA21" s="595" t="str">
        <f t="shared" si="5"/>
        <v>Lương</v>
      </c>
      <c r="AB21" s="596">
        <v>5</v>
      </c>
      <c r="AC21" s="597" t="str">
        <f t="shared" si="6"/>
        <v>/</v>
      </c>
      <c r="AD21" s="598">
        <f t="shared" si="7"/>
        <v>6</v>
      </c>
      <c r="AE21" s="599">
        <f t="shared" si="8"/>
        <v>7.6400000000000006</v>
      </c>
      <c r="AF21" s="600"/>
      <c r="AG21" s="600"/>
      <c r="AH21" s="601"/>
      <c r="AI21" s="602" t="s">
        <v>46</v>
      </c>
      <c r="AJ21" s="603"/>
      <c r="AK21" s="602" t="s">
        <v>46</v>
      </c>
      <c r="AL21" s="604"/>
      <c r="AM21" s="605"/>
      <c r="AN21" s="606"/>
      <c r="AO21" s="607">
        <f t="shared" si="40"/>
        <v>6</v>
      </c>
      <c r="AP21" s="608" t="str">
        <f t="shared" si="41"/>
        <v>/</v>
      </c>
      <c r="AQ21" s="609">
        <f t="shared" si="42"/>
        <v>6</v>
      </c>
      <c r="AR21" s="610">
        <f t="shared" si="43"/>
        <v>8</v>
      </c>
      <c r="AS21" s="611"/>
      <c r="AT21" s="612" t="s">
        <v>37</v>
      </c>
      <c r="AU21" s="613" t="s">
        <v>46</v>
      </c>
      <c r="AV21" s="614" t="s">
        <v>45</v>
      </c>
      <c r="AW21" s="613" t="s">
        <v>46</v>
      </c>
      <c r="AX21" s="615">
        <v>2017</v>
      </c>
      <c r="AY21" s="616"/>
      <c r="AZ21" s="617"/>
      <c r="BA21" s="618"/>
      <c r="BB21" s="619">
        <f t="shared" si="9"/>
        <v>3</v>
      </c>
      <c r="BC21" s="620">
        <f t="shared" si="10"/>
        <v>-24216</v>
      </c>
      <c r="BD21" s="620">
        <f>VLOOKUP(Y21,'[2]- DLiêu Gốc -'!$C$1:$F$60,3,0)</f>
        <v>6.2</v>
      </c>
      <c r="BE21" s="621">
        <f>VLOOKUP(Y21,'[2]- DLiêu Gốc -'!$C$1:$F$60,4,0)</f>
        <v>0.36</v>
      </c>
      <c r="BF21" s="622">
        <v>20</v>
      </c>
      <c r="BG21" s="623" t="s">
        <v>35</v>
      </c>
      <c r="BH21" s="624" t="s">
        <v>37</v>
      </c>
      <c r="BI21" s="625" t="s">
        <v>46</v>
      </c>
      <c r="BJ21" s="626">
        <v>11</v>
      </c>
      <c r="BK21" s="627" t="s">
        <v>46</v>
      </c>
      <c r="BL21" s="628">
        <v>2017</v>
      </c>
      <c r="BM21" s="629"/>
      <c r="BN21" s="630"/>
      <c r="BO21" s="631">
        <f t="shared" si="11"/>
        <v>21</v>
      </c>
      <c r="BP21" s="632" t="s">
        <v>35</v>
      </c>
      <c r="BQ21" s="633" t="s">
        <v>37</v>
      </c>
      <c r="BR21" s="613" t="s">
        <v>46</v>
      </c>
      <c r="BS21" s="626">
        <v>11</v>
      </c>
      <c r="BT21" s="634" t="s">
        <v>46</v>
      </c>
      <c r="BU21" s="635">
        <v>2018</v>
      </c>
      <c r="BV21" s="636"/>
      <c r="BW21" s="637"/>
      <c r="BX21" s="638"/>
      <c r="BY21" s="621" t="e">
        <f t="shared" si="12"/>
        <v>#VALUE!</v>
      </c>
      <c r="BZ21" s="639" t="str">
        <f t="shared" si="13"/>
        <v>- - -</v>
      </c>
      <c r="CA21" s="640" t="str">
        <f t="shared" si="14"/>
        <v>Chánh Văn phòng Học viện, Trưởng Ban Tổ chức - Cán bộ, Trưởng Khoa Quản lý nhà nước về Kinh tế và Tài chính công</v>
      </c>
      <c r="CB21" s="641" t="str">
        <f t="shared" si="15"/>
        <v>A</v>
      </c>
      <c r="CC21" s="595" t="str">
        <f t="shared" si="44"/>
        <v>=&gt; s</v>
      </c>
      <c r="CD21" s="574">
        <f t="shared" si="16"/>
        <v>24240</v>
      </c>
      <c r="CE21" s="574" t="str">
        <f t="shared" si="17"/>
        <v>S</v>
      </c>
      <c r="CF21" s="642">
        <v>2017</v>
      </c>
      <c r="CG21" s="574" t="s">
        <v>143</v>
      </c>
      <c r="CH21" s="643"/>
      <c r="CI21" s="574"/>
      <c r="CJ21" s="644" t="str">
        <f t="shared" si="18"/>
        <v>- - -</v>
      </c>
      <c r="CK21" s="645" t="str">
        <f t="shared" si="19"/>
        <v>NN</v>
      </c>
      <c r="CL21" s="646">
        <v>5</v>
      </c>
      <c r="CM21" s="645">
        <v>2012</v>
      </c>
      <c r="CN21" s="647"/>
      <c r="CO21" s="644"/>
      <c r="CP21" s="645" t="str">
        <f t="shared" si="20"/>
        <v>- - -</v>
      </c>
      <c r="CQ21" s="646"/>
      <c r="CR21" s="645"/>
      <c r="CS21" s="647"/>
      <c r="CT21" s="648"/>
      <c r="CU21" s="649" t="str">
        <f t="shared" si="21"/>
        <v>---</v>
      </c>
      <c r="CV21" s="650" t="str">
        <f t="shared" si="22"/>
        <v>/-/ /-/</v>
      </c>
      <c r="CW21" s="651">
        <f t="shared" si="23"/>
        <v>5</v>
      </c>
      <c r="CX21" s="650">
        <f t="shared" si="24"/>
        <v>2021</v>
      </c>
      <c r="CY21" s="651">
        <f t="shared" si="25"/>
        <v>2</v>
      </c>
      <c r="CZ21" s="650">
        <f t="shared" si="26"/>
        <v>2021</v>
      </c>
      <c r="DA21" s="651">
        <f t="shared" si="27"/>
        <v>11</v>
      </c>
      <c r="DB21" s="652">
        <f t="shared" si="28"/>
        <v>2020</v>
      </c>
      <c r="DC21" s="653" t="str">
        <f t="shared" si="29"/>
        <v>- - -</v>
      </c>
      <c r="DD21" s="653" t="str">
        <f t="shared" si="30"/>
        <v>K.Dài</v>
      </c>
      <c r="DE21" s="595">
        <v>7</v>
      </c>
      <c r="DF21" s="595">
        <f t="shared" si="31"/>
        <v>804</v>
      </c>
      <c r="DG21" s="595">
        <f t="shared" si="32"/>
        <v>-23440</v>
      </c>
      <c r="DH21" s="595">
        <f t="shared" si="33"/>
        <v>-1954</v>
      </c>
      <c r="DI21" s="595" t="str">
        <f t="shared" si="34"/>
        <v>Nam dưới 35</v>
      </c>
      <c r="DJ21" s="595"/>
      <c r="DK21" s="621"/>
      <c r="DL21" s="645" t="str">
        <f t="shared" si="35"/>
        <v>Đến 30</v>
      </c>
      <c r="DM21" s="654" t="str">
        <f t="shared" si="36"/>
        <v>--</v>
      </c>
      <c r="DN21" s="574"/>
      <c r="DO21" s="655"/>
      <c r="DP21" s="654"/>
      <c r="DQ21" s="647"/>
      <c r="DR21" s="656" t="s">
        <v>145</v>
      </c>
      <c r="DS21" s="657">
        <v>6</v>
      </c>
      <c r="DT21" s="658" t="s">
        <v>48</v>
      </c>
      <c r="DU21" s="635"/>
      <c r="DV21" s="659"/>
      <c r="DW21" s="612"/>
      <c r="DX21" s="614" t="s">
        <v>142</v>
      </c>
      <c r="DY21" s="614"/>
      <c r="DZ21" s="614" t="s">
        <v>37</v>
      </c>
      <c r="EA21" s="660" t="s">
        <v>46</v>
      </c>
      <c r="EB21" s="614" t="s">
        <v>44</v>
      </c>
      <c r="EC21" s="661" t="s">
        <v>46</v>
      </c>
      <c r="ED21" s="612">
        <v>2012</v>
      </c>
      <c r="EE21" s="614">
        <f t="shared" si="37"/>
        <v>0</v>
      </c>
      <c r="EF21" s="614" t="str">
        <f t="shared" si="38"/>
        <v>- - -</v>
      </c>
      <c r="EG21" s="614" t="s">
        <v>37</v>
      </c>
      <c r="EH21" s="660" t="s">
        <v>46</v>
      </c>
      <c r="EI21" s="574" t="s">
        <v>44</v>
      </c>
      <c r="EJ21" s="644" t="s">
        <v>46</v>
      </c>
      <c r="EK21" s="662">
        <v>2012</v>
      </c>
      <c r="EL21" s="635">
        <v>6.78</v>
      </c>
      <c r="EM21" s="663" t="str">
        <f t="shared" si="45"/>
        <v>- - -</v>
      </c>
      <c r="EN21" s="663" t="str">
        <f t="shared" si="39"/>
        <v>---</v>
      </c>
      <c r="EO21" s="663"/>
      <c r="EP21" s="663"/>
      <c r="EQ21" s="663"/>
      <c r="ER21" s="663"/>
      <c r="ES21" s="663"/>
      <c r="ET21" s="663"/>
      <c r="EU21" s="663"/>
      <c r="EV21" s="663"/>
      <c r="EW21" s="663"/>
      <c r="EX21" s="663"/>
      <c r="EY21" s="663"/>
      <c r="EZ21" s="663"/>
      <c r="FA21" s="663"/>
      <c r="FB21" s="663"/>
      <c r="FC21" s="663"/>
      <c r="FD21" s="663"/>
      <c r="FE21" s="663"/>
      <c r="FF21" s="663"/>
      <c r="FG21" s="663"/>
      <c r="FH21" s="663"/>
      <c r="FI21" s="663"/>
      <c r="FJ21" s="663"/>
      <c r="FK21" s="664"/>
      <c r="FL21" s="664"/>
      <c r="FM21" s="664"/>
      <c r="FN21" s="664"/>
      <c r="FO21" s="664"/>
    </row>
    <row r="22" spans="1:171" s="665" customFormat="1" ht="30.75" customHeight="1" x14ac:dyDescent="0.2">
      <c r="A22" s="574">
        <v>240</v>
      </c>
      <c r="B22" s="575">
        <v>6</v>
      </c>
      <c r="C22" s="574"/>
      <c r="D22" s="574" t="str">
        <f t="shared" si="0"/>
        <v>Ông</v>
      </c>
      <c r="E22" s="576" t="s">
        <v>287</v>
      </c>
      <c r="F22" s="574" t="s">
        <v>55</v>
      </c>
      <c r="G22" s="577" t="s">
        <v>123</v>
      </c>
      <c r="H22" s="578" t="s">
        <v>46</v>
      </c>
      <c r="I22" s="579" t="s">
        <v>50</v>
      </c>
      <c r="J22" s="578" t="s">
        <v>46</v>
      </c>
      <c r="K22" s="580">
        <v>1958</v>
      </c>
      <c r="L22" s="581" t="s">
        <v>73</v>
      </c>
      <c r="M22" s="582" t="str">
        <f t="shared" si="1"/>
        <v>VC</v>
      </c>
      <c r="N22" s="583"/>
      <c r="O22" s="584" t="str">
        <f t="shared" si="2"/>
        <v>CVụ</v>
      </c>
      <c r="P22" s="585" t="s">
        <v>231</v>
      </c>
      <c r="Q22" s="586">
        <f>VLOOKUP(P22,'[2]- DLiêu Gốc -'!$C$2:$H$115,2,0)</f>
        <v>1</v>
      </c>
      <c r="R22" s="587"/>
      <c r="S22" s="588" t="s">
        <v>128</v>
      </c>
      <c r="T22" s="589" t="str">
        <f>VLOOKUP(Y22,'[2]- DLiêu Gốc -'!$C$2:$H$60,5,0)</f>
        <v>A2</v>
      </c>
      <c r="U22" s="590" t="str">
        <f>VLOOKUP(Y22,'[2]- DLiêu Gốc -'!$C$2:$H$60,6,0)</f>
        <v>A2.1</v>
      </c>
      <c r="V22" s="591" t="s">
        <v>64</v>
      </c>
      <c r="W22" s="592" t="str">
        <f t="shared" si="3"/>
        <v>Giảng viên chính (hạng II)</v>
      </c>
      <c r="X22" s="593" t="str">
        <f t="shared" si="4"/>
        <v>V.07.01.02</v>
      </c>
      <c r="Y22" s="594" t="s">
        <v>68</v>
      </c>
      <c r="Z22" s="594" t="str">
        <f>VLOOKUP(Y22,'[2]- DLiêu Gốc -'!$C$1:$H$133,2,0)</f>
        <v>V.07.01.02</v>
      </c>
      <c r="AA22" s="595" t="str">
        <f t="shared" si="5"/>
        <v>Lương</v>
      </c>
      <c r="AB22" s="596">
        <v>7</v>
      </c>
      <c r="AC22" s="597" t="str">
        <f t="shared" si="6"/>
        <v>/</v>
      </c>
      <c r="AD22" s="598">
        <f t="shared" si="7"/>
        <v>8</v>
      </c>
      <c r="AE22" s="599">
        <f t="shared" si="8"/>
        <v>6.44</v>
      </c>
      <c r="AF22" s="600"/>
      <c r="AG22" s="600"/>
      <c r="AH22" s="601"/>
      <c r="AI22" s="602" t="s">
        <v>46</v>
      </c>
      <c r="AJ22" s="603"/>
      <c r="AK22" s="602" t="s">
        <v>46</v>
      </c>
      <c r="AL22" s="604"/>
      <c r="AM22" s="605"/>
      <c r="AN22" s="606"/>
      <c r="AO22" s="607">
        <f t="shared" si="40"/>
        <v>8</v>
      </c>
      <c r="AP22" s="608" t="str">
        <f t="shared" si="41"/>
        <v>/</v>
      </c>
      <c r="AQ22" s="609">
        <f t="shared" si="42"/>
        <v>8</v>
      </c>
      <c r="AR22" s="610">
        <f t="shared" si="43"/>
        <v>6.78</v>
      </c>
      <c r="AS22" s="611"/>
      <c r="AT22" s="612" t="s">
        <v>37</v>
      </c>
      <c r="AU22" s="613" t="s">
        <v>46</v>
      </c>
      <c r="AV22" s="614" t="s">
        <v>40</v>
      </c>
      <c r="AW22" s="613" t="s">
        <v>46</v>
      </c>
      <c r="AX22" s="615">
        <v>2016</v>
      </c>
      <c r="AY22" s="616"/>
      <c r="AZ22" s="617"/>
      <c r="BA22" s="618"/>
      <c r="BB22" s="619">
        <f t="shared" si="9"/>
        <v>3</v>
      </c>
      <c r="BC22" s="620">
        <f t="shared" si="10"/>
        <v>-24198</v>
      </c>
      <c r="BD22" s="620">
        <f>VLOOKUP(Y22,'[2]- DLiêu Gốc -'!$C$1:$F$60,3,0)</f>
        <v>4.4000000000000004</v>
      </c>
      <c r="BE22" s="621">
        <f>VLOOKUP(Y22,'[2]- DLiêu Gốc -'!$C$1:$F$60,4,0)</f>
        <v>0.34</v>
      </c>
      <c r="BF22" s="622">
        <v>21</v>
      </c>
      <c r="BG22" s="623" t="s">
        <v>35</v>
      </c>
      <c r="BH22" s="624" t="s">
        <v>37</v>
      </c>
      <c r="BI22" s="625" t="s">
        <v>46</v>
      </c>
      <c r="BJ22" s="626">
        <v>11</v>
      </c>
      <c r="BK22" s="627" t="s">
        <v>46</v>
      </c>
      <c r="BL22" s="628">
        <v>2017</v>
      </c>
      <c r="BM22" s="629"/>
      <c r="BN22" s="630"/>
      <c r="BO22" s="631">
        <f t="shared" si="11"/>
        <v>22</v>
      </c>
      <c r="BP22" s="632" t="s">
        <v>35</v>
      </c>
      <c r="BQ22" s="633" t="s">
        <v>37</v>
      </c>
      <c r="BR22" s="613" t="s">
        <v>46</v>
      </c>
      <c r="BS22" s="626">
        <v>11</v>
      </c>
      <c r="BT22" s="634" t="s">
        <v>46</v>
      </c>
      <c r="BU22" s="635">
        <v>2018</v>
      </c>
      <c r="BV22" s="636"/>
      <c r="BW22" s="637"/>
      <c r="BX22" s="638"/>
      <c r="BY22" s="621" t="e">
        <f t="shared" si="12"/>
        <v>#VALUE!</v>
      </c>
      <c r="BZ22" s="639" t="str">
        <f t="shared" si="13"/>
        <v>- - -</v>
      </c>
      <c r="CA22" s="640" t="str">
        <f t="shared" si="14"/>
        <v>Chánh Văn phòng Học viện, Trưởng Ban Tổ chức - Cán bộ, Trưởng Khoa Quản lý nhà nước về Kinh tế và Tài chính công</v>
      </c>
      <c r="CB22" s="641" t="str">
        <f t="shared" si="15"/>
        <v>A</v>
      </c>
      <c r="CC22" s="595" t="str">
        <f t="shared" si="44"/>
        <v>=&gt; s</v>
      </c>
      <c r="CD22" s="574">
        <f t="shared" si="16"/>
        <v>24222</v>
      </c>
      <c r="CE22" s="574" t="str">
        <f t="shared" si="17"/>
        <v>S</v>
      </c>
      <c r="CF22" s="642">
        <v>2015</v>
      </c>
      <c r="CG22" s="574"/>
      <c r="CH22" s="643"/>
      <c r="CI22" s="574"/>
      <c r="CJ22" s="644" t="str">
        <f t="shared" si="18"/>
        <v>- - -</v>
      </c>
      <c r="CK22" s="645" t="str">
        <f t="shared" si="19"/>
        <v>- - -</v>
      </c>
      <c r="CL22" s="646"/>
      <c r="CM22" s="645"/>
      <c r="CN22" s="647"/>
      <c r="CO22" s="644"/>
      <c r="CP22" s="645" t="str">
        <f t="shared" si="20"/>
        <v>- - -</v>
      </c>
      <c r="CQ22" s="646"/>
      <c r="CR22" s="645"/>
      <c r="CS22" s="647"/>
      <c r="CT22" s="648"/>
      <c r="CU22" s="649" t="str">
        <f t="shared" si="21"/>
        <v>---</v>
      </c>
      <c r="CV22" s="650" t="str">
        <f t="shared" si="22"/>
        <v>/-/ /-/</v>
      </c>
      <c r="CW22" s="651">
        <f t="shared" si="23"/>
        <v>11</v>
      </c>
      <c r="CX22" s="650">
        <f t="shared" si="24"/>
        <v>2018</v>
      </c>
      <c r="CY22" s="651">
        <f t="shared" si="25"/>
        <v>8</v>
      </c>
      <c r="CZ22" s="650">
        <f t="shared" si="26"/>
        <v>2018</v>
      </c>
      <c r="DA22" s="651">
        <f t="shared" si="27"/>
        <v>5</v>
      </c>
      <c r="DB22" s="652">
        <f t="shared" si="28"/>
        <v>2018</v>
      </c>
      <c r="DC22" s="653" t="str">
        <f t="shared" si="29"/>
        <v>- - -</v>
      </c>
      <c r="DD22" s="653" t="str">
        <f t="shared" si="30"/>
        <v>. .</v>
      </c>
      <c r="DE22" s="595"/>
      <c r="DF22" s="595">
        <f t="shared" si="31"/>
        <v>720</v>
      </c>
      <c r="DG22" s="595">
        <f t="shared" si="32"/>
        <v>-23494</v>
      </c>
      <c r="DH22" s="595">
        <f t="shared" si="33"/>
        <v>-1958</v>
      </c>
      <c r="DI22" s="595" t="str">
        <f t="shared" si="34"/>
        <v>Nam dưới 35</v>
      </c>
      <c r="DJ22" s="595"/>
      <c r="DK22" s="621"/>
      <c r="DL22" s="645" t="str">
        <f t="shared" si="35"/>
        <v>Đến 30</v>
      </c>
      <c r="DM22" s="654" t="str">
        <f t="shared" si="36"/>
        <v>--</v>
      </c>
      <c r="DN22" s="574"/>
      <c r="DO22" s="655"/>
      <c r="DP22" s="654"/>
      <c r="DQ22" s="647"/>
      <c r="DR22" s="656"/>
      <c r="DS22" s="657"/>
      <c r="DT22" s="658"/>
      <c r="DU22" s="635"/>
      <c r="DV22" s="659"/>
      <c r="DW22" s="612"/>
      <c r="DX22" s="614" t="s">
        <v>132</v>
      </c>
      <c r="DY22" s="614"/>
      <c r="DZ22" s="614" t="s">
        <v>37</v>
      </c>
      <c r="EA22" s="660" t="s">
        <v>46</v>
      </c>
      <c r="EB22" s="614" t="s">
        <v>45</v>
      </c>
      <c r="EC22" s="661" t="s">
        <v>46</v>
      </c>
      <c r="ED22" s="612">
        <v>2013</v>
      </c>
      <c r="EE22" s="614">
        <f t="shared" si="37"/>
        <v>0</v>
      </c>
      <c r="EF22" s="614" t="str">
        <f t="shared" si="38"/>
        <v>- - -</v>
      </c>
      <c r="EG22" s="614" t="s">
        <v>37</v>
      </c>
      <c r="EH22" s="660" t="s">
        <v>46</v>
      </c>
      <c r="EI22" s="574" t="s">
        <v>45</v>
      </c>
      <c r="EJ22" s="644" t="s">
        <v>46</v>
      </c>
      <c r="EK22" s="662">
        <v>2013</v>
      </c>
      <c r="EL22" s="635"/>
      <c r="EM22" s="663" t="str">
        <f t="shared" si="45"/>
        <v>- - -</v>
      </c>
      <c r="EN22" s="663" t="str">
        <f t="shared" si="39"/>
        <v>---</v>
      </c>
      <c r="EO22" s="663"/>
      <c r="EP22" s="663"/>
      <c r="EQ22" s="663"/>
      <c r="ER22" s="663"/>
      <c r="ES22" s="663"/>
      <c r="ET22" s="663"/>
      <c r="EU22" s="663"/>
      <c r="EV22" s="663"/>
      <c r="EW22" s="663"/>
      <c r="EX22" s="663"/>
      <c r="EY22" s="663"/>
      <c r="EZ22" s="663"/>
      <c r="FA22" s="663"/>
      <c r="FB22" s="663"/>
      <c r="FC22" s="663"/>
      <c r="FD22" s="663"/>
      <c r="FE22" s="663"/>
      <c r="FF22" s="663"/>
      <c r="FG22" s="663"/>
      <c r="FH22" s="663"/>
      <c r="FI22" s="663"/>
      <c r="FJ22" s="663"/>
      <c r="FK22" s="664"/>
      <c r="FL22" s="664"/>
      <c r="FM22" s="664"/>
      <c r="FN22" s="664"/>
      <c r="FO22" s="664"/>
    </row>
    <row r="23" spans="1:171" s="665" customFormat="1" ht="30.75" customHeight="1" x14ac:dyDescent="0.2">
      <c r="A23" s="574">
        <v>246</v>
      </c>
      <c r="B23" s="575">
        <v>7</v>
      </c>
      <c r="C23" s="574"/>
      <c r="D23" s="574" t="str">
        <f t="shared" si="0"/>
        <v>Bà</v>
      </c>
      <c r="E23" s="576" t="s">
        <v>225</v>
      </c>
      <c r="F23" s="574" t="s">
        <v>56</v>
      </c>
      <c r="G23" s="577" t="s">
        <v>30</v>
      </c>
      <c r="H23" s="578" t="s">
        <v>46</v>
      </c>
      <c r="I23" s="579">
        <v>5</v>
      </c>
      <c r="J23" s="578" t="s">
        <v>46</v>
      </c>
      <c r="K23" s="580">
        <v>1981</v>
      </c>
      <c r="L23" s="581" t="s">
        <v>73</v>
      </c>
      <c r="M23" s="582" t="str">
        <f t="shared" si="1"/>
        <v>VC</v>
      </c>
      <c r="N23" s="583"/>
      <c r="O23" s="584" t="e">
        <f t="shared" si="2"/>
        <v>#N/A</v>
      </c>
      <c r="P23" s="585"/>
      <c r="Q23" s="586" t="e">
        <f>VLOOKUP(P23,'[2]- DLiêu Gốc -'!$C$2:$H$115,2,0)</f>
        <v>#N/A</v>
      </c>
      <c r="R23" s="587" t="s">
        <v>226</v>
      </c>
      <c r="S23" s="588" t="s">
        <v>128</v>
      </c>
      <c r="T23" s="589" t="str">
        <f>VLOOKUP(Y23,'[2]- DLiêu Gốc -'!$C$2:$H$60,5,0)</f>
        <v>A1</v>
      </c>
      <c r="U23" s="590" t="str">
        <f>VLOOKUP(Y23,'[2]- DLiêu Gốc -'!$C$2:$H$60,6,0)</f>
        <v>- - -</v>
      </c>
      <c r="V23" s="591" t="s">
        <v>64</v>
      </c>
      <c r="W23" s="592" t="str">
        <f t="shared" si="3"/>
        <v>Giảng viên (hạng III)</v>
      </c>
      <c r="X23" s="593" t="str">
        <f t="shared" si="4"/>
        <v>V.07.01.03</v>
      </c>
      <c r="Y23" s="594" t="s">
        <v>67</v>
      </c>
      <c r="Z23" s="594" t="str">
        <f>VLOOKUP(Y23,'[2]- DLiêu Gốc -'!$C$1:$H$133,2,0)</f>
        <v>V.07.01.03</v>
      </c>
      <c r="AA23" s="595" t="str">
        <f t="shared" si="5"/>
        <v>Lương</v>
      </c>
      <c r="AB23" s="596">
        <v>5</v>
      </c>
      <c r="AC23" s="597" t="str">
        <f t="shared" si="6"/>
        <v>/</v>
      </c>
      <c r="AD23" s="598">
        <f t="shared" si="7"/>
        <v>9</v>
      </c>
      <c r="AE23" s="599">
        <f t="shared" si="8"/>
        <v>3.66</v>
      </c>
      <c r="AF23" s="600"/>
      <c r="AG23" s="600"/>
      <c r="AH23" s="601" t="s">
        <v>37</v>
      </c>
      <c r="AI23" s="602" t="s">
        <v>46</v>
      </c>
      <c r="AJ23" s="603" t="s">
        <v>51</v>
      </c>
      <c r="AK23" s="602" t="s">
        <v>46</v>
      </c>
      <c r="AL23" s="604">
        <v>2015</v>
      </c>
      <c r="AM23" s="605"/>
      <c r="AN23" s="606"/>
      <c r="AO23" s="607">
        <f t="shared" si="40"/>
        <v>6</v>
      </c>
      <c r="AP23" s="608" t="str">
        <f t="shared" si="41"/>
        <v>/</v>
      </c>
      <c r="AQ23" s="609">
        <f t="shared" si="42"/>
        <v>9</v>
      </c>
      <c r="AR23" s="610">
        <f t="shared" si="43"/>
        <v>3.99</v>
      </c>
      <c r="AS23" s="611"/>
      <c r="AT23" s="612" t="s">
        <v>37</v>
      </c>
      <c r="AU23" s="613" t="s">
        <v>46</v>
      </c>
      <c r="AV23" s="614" t="s">
        <v>51</v>
      </c>
      <c r="AW23" s="613" t="s">
        <v>46</v>
      </c>
      <c r="AX23" s="615">
        <v>2018</v>
      </c>
      <c r="AY23" s="616"/>
      <c r="AZ23" s="617" t="s">
        <v>188</v>
      </c>
      <c r="BA23" s="618"/>
      <c r="BB23" s="619">
        <f t="shared" si="9"/>
        <v>3</v>
      </c>
      <c r="BC23" s="620">
        <f t="shared" si="10"/>
        <v>-24227</v>
      </c>
      <c r="BD23" s="620">
        <f>VLOOKUP(Y23,'[2]- DLiêu Gốc -'!$C$1:$F$60,3,0)</f>
        <v>2.34</v>
      </c>
      <c r="BE23" s="621">
        <f>VLOOKUP(Y23,'[2]- DLiêu Gốc -'!$C$1:$F$60,4,0)</f>
        <v>0.33</v>
      </c>
      <c r="BF23" s="622">
        <v>13</v>
      </c>
      <c r="BG23" s="623" t="s">
        <v>35</v>
      </c>
      <c r="BH23" s="624" t="s">
        <v>37</v>
      </c>
      <c r="BI23" s="625" t="s">
        <v>46</v>
      </c>
      <c r="BJ23" s="626">
        <v>11</v>
      </c>
      <c r="BK23" s="627" t="s">
        <v>46</v>
      </c>
      <c r="BL23" s="628">
        <v>2017</v>
      </c>
      <c r="BM23" s="629"/>
      <c r="BN23" s="630"/>
      <c r="BO23" s="631">
        <f t="shared" si="11"/>
        <v>14</v>
      </c>
      <c r="BP23" s="632" t="s">
        <v>35</v>
      </c>
      <c r="BQ23" s="633" t="s">
        <v>37</v>
      </c>
      <c r="BR23" s="613" t="s">
        <v>46</v>
      </c>
      <c r="BS23" s="626">
        <v>11</v>
      </c>
      <c r="BT23" s="634" t="s">
        <v>46</v>
      </c>
      <c r="BU23" s="635">
        <v>2018</v>
      </c>
      <c r="BV23" s="636"/>
      <c r="BW23" s="637"/>
      <c r="BX23" s="638"/>
      <c r="BY23" s="621" t="e">
        <f t="shared" si="12"/>
        <v>#VALUE!</v>
      </c>
      <c r="BZ23" s="639" t="str">
        <f t="shared" si="13"/>
        <v>- - -</v>
      </c>
      <c r="CA23" s="640" t="str">
        <f t="shared" si="14"/>
        <v>Chánh Văn phòng Học viện, Trưởng Ban Tổ chức - Cán bộ, Trưởng Khoa Quản lý nhà nước về Kinh tế và Tài chính công</v>
      </c>
      <c r="CB23" s="641" t="str">
        <f t="shared" si="15"/>
        <v>A</v>
      </c>
      <c r="CC23" s="595" t="str">
        <f t="shared" si="44"/>
        <v>=&gt; s</v>
      </c>
      <c r="CD23" s="574">
        <f t="shared" si="16"/>
        <v>24251</v>
      </c>
      <c r="CE23" s="574" t="str">
        <f t="shared" si="17"/>
        <v>S</v>
      </c>
      <c r="CF23" s="642">
        <v>2012</v>
      </c>
      <c r="CG23" s="574" t="s">
        <v>174</v>
      </c>
      <c r="CH23" s="643"/>
      <c r="CI23" s="574"/>
      <c r="CJ23" s="644" t="str">
        <f t="shared" si="18"/>
        <v>Cùg Ng</v>
      </c>
      <c r="CK23" s="645" t="str">
        <f t="shared" si="19"/>
        <v>- - -</v>
      </c>
      <c r="CL23" s="646"/>
      <c r="CM23" s="645"/>
      <c r="CN23" s="647"/>
      <c r="CO23" s="644"/>
      <c r="CP23" s="645" t="str">
        <f t="shared" si="20"/>
        <v>- - -</v>
      </c>
      <c r="CQ23" s="646"/>
      <c r="CR23" s="645"/>
      <c r="CS23" s="647"/>
      <c r="CT23" s="648"/>
      <c r="CU23" s="649" t="str">
        <f t="shared" si="21"/>
        <v>---</v>
      </c>
      <c r="CV23" s="650" t="str">
        <f t="shared" si="22"/>
        <v>/-/ /-/</v>
      </c>
      <c r="CW23" s="651">
        <f t="shared" si="23"/>
        <v>6</v>
      </c>
      <c r="CX23" s="650">
        <f t="shared" si="24"/>
        <v>2036</v>
      </c>
      <c r="CY23" s="651">
        <f t="shared" si="25"/>
        <v>3</v>
      </c>
      <c r="CZ23" s="650">
        <f t="shared" si="26"/>
        <v>2036</v>
      </c>
      <c r="DA23" s="651">
        <f t="shared" si="27"/>
        <v>12</v>
      </c>
      <c r="DB23" s="652">
        <f t="shared" si="28"/>
        <v>2035</v>
      </c>
      <c r="DC23" s="653" t="str">
        <f t="shared" si="29"/>
        <v>- - -</v>
      </c>
      <c r="DD23" s="653" t="str">
        <f t="shared" si="30"/>
        <v>. .</v>
      </c>
      <c r="DE23" s="595"/>
      <c r="DF23" s="595">
        <f t="shared" si="31"/>
        <v>660</v>
      </c>
      <c r="DG23" s="595">
        <f t="shared" si="32"/>
        <v>-23765</v>
      </c>
      <c r="DH23" s="595">
        <f t="shared" si="33"/>
        <v>-1981</v>
      </c>
      <c r="DI23" s="595" t="str">
        <f t="shared" si="34"/>
        <v>Nữ dưới 30</v>
      </c>
      <c r="DJ23" s="595"/>
      <c r="DK23" s="621"/>
      <c r="DL23" s="645" t="str">
        <f t="shared" si="35"/>
        <v>Đến 30</v>
      </c>
      <c r="DM23" s="654" t="str">
        <f t="shared" si="36"/>
        <v>--</v>
      </c>
      <c r="DN23" s="574"/>
      <c r="DO23" s="655"/>
      <c r="DP23" s="654"/>
      <c r="DQ23" s="647"/>
      <c r="DR23" s="656"/>
      <c r="DS23" s="657"/>
      <c r="DT23" s="658"/>
      <c r="DU23" s="635"/>
      <c r="DV23" s="659"/>
      <c r="DW23" s="612" t="s">
        <v>226</v>
      </c>
      <c r="DX23" s="614" t="s">
        <v>132</v>
      </c>
      <c r="DY23" s="614" t="s">
        <v>226</v>
      </c>
      <c r="DZ23" s="614" t="s">
        <v>37</v>
      </c>
      <c r="EA23" s="660" t="s">
        <v>46</v>
      </c>
      <c r="EB23" s="614" t="s">
        <v>51</v>
      </c>
      <c r="EC23" s="661" t="s">
        <v>46</v>
      </c>
      <c r="ED23" s="612">
        <v>2012</v>
      </c>
      <c r="EE23" s="614">
        <f t="shared" si="37"/>
        <v>0</v>
      </c>
      <c r="EF23" s="614" t="str">
        <f t="shared" si="38"/>
        <v>- - -</v>
      </c>
      <c r="EG23" s="614" t="s">
        <v>37</v>
      </c>
      <c r="EH23" s="660" t="s">
        <v>46</v>
      </c>
      <c r="EI23" s="574" t="s">
        <v>51</v>
      </c>
      <c r="EJ23" s="644" t="s">
        <v>46</v>
      </c>
      <c r="EK23" s="662">
        <v>2012</v>
      </c>
      <c r="EL23" s="635"/>
      <c r="EM23" s="663" t="str">
        <f t="shared" si="45"/>
        <v>- - -</v>
      </c>
      <c r="EN23" s="663" t="str">
        <f t="shared" si="39"/>
        <v>---</v>
      </c>
      <c r="EO23" s="663"/>
      <c r="EP23" s="663"/>
      <c r="EQ23" s="663"/>
      <c r="ER23" s="663"/>
      <c r="ES23" s="663"/>
      <c r="ET23" s="663"/>
      <c r="EU23" s="663"/>
      <c r="EV23" s="663"/>
      <c r="EW23" s="663"/>
      <c r="EX23" s="663"/>
      <c r="EY23" s="663"/>
      <c r="EZ23" s="663"/>
      <c r="FA23" s="663"/>
      <c r="FB23" s="663"/>
      <c r="FC23" s="663"/>
      <c r="FD23" s="663"/>
      <c r="FE23" s="663"/>
      <c r="FF23" s="663"/>
      <c r="FG23" s="663"/>
      <c r="FH23" s="663"/>
      <c r="FI23" s="663"/>
      <c r="FJ23" s="663"/>
      <c r="FK23" s="664"/>
      <c r="FL23" s="664"/>
      <c r="FM23" s="664"/>
      <c r="FN23" s="664"/>
      <c r="FO23" s="664"/>
    </row>
    <row r="24" spans="1:171" s="665" customFormat="1" ht="30.75" customHeight="1" x14ac:dyDescent="0.2">
      <c r="A24" s="574">
        <v>259</v>
      </c>
      <c r="B24" s="575">
        <v>8</v>
      </c>
      <c r="C24" s="574"/>
      <c r="D24" s="574" t="str">
        <f t="shared" si="0"/>
        <v>Bà</v>
      </c>
      <c r="E24" s="576" t="s">
        <v>288</v>
      </c>
      <c r="F24" s="574" t="s">
        <v>56</v>
      </c>
      <c r="G24" s="577" t="s">
        <v>263</v>
      </c>
      <c r="H24" s="578" t="s">
        <v>46</v>
      </c>
      <c r="I24" s="579" t="s">
        <v>39</v>
      </c>
      <c r="J24" s="578" t="s">
        <v>46</v>
      </c>
      <c r="K24" s="580">
        <v>1981</v>
      </c>
      <c r="L24" s="581" t="s">
        <v>73</v>
      </c>
      <c r="M24" s="582" t="str">
        <f t="shared" si="1"/>
        <v>VC</v>
      </c>
      <c r="N24" s="583"/>
      <c r="O24" s="584" t="e">
        <f t="shared" si="2"/>
        <v>#N/A</v>
      </c>
      <c r="P24" s="585"/>
      <c r="Q24" s="586" t="e">
        <f>VLOOKUP(P24,'[2]- DLiêu Gốc -'!$C$2:$H$115,2,0)</f>
        <v>#N/A</v>
      </c>
      <c r="R24" s="587" t="s">
        <v>176</v>
      </c>
      <c r="S24" s="588" t="s">
        <v>128</v>
      </c>
      <c r="T24" s="589" t="str">
        <f>VLOOKUP(Y24,'[2]- DLiêu Gốc -'!$C$2:$H$60,5,0)</f>
        <v>A1</v>
      </c>
      <c r="U24" s="590" t="str">
        <f>VLOOKUP(Y24,'[2]- DLiêu Gốc -'!$C$2:$H$60,6,0)</f>
        <v>- - -</v>
      </c>
      <c r="V24" s="591" t="s">
        <v>64</v>
      </c>
      <c r="W24" s="592" t="str">
        <f t="shared" si="3"/>
        <v>Giảng viên (hạng III)</v>
      </c>
      <c r="X24" s="593" t="str">
        <f t="shared" si="4"/>
        <v>V.07.01.03</v>
      </c>
      <c r="Y24" s="594" t="s">
        <v>67</v>
      </c>
      <c r="Z24" s="594" t="str">
        <f>VLOOKUP(Y24,'[2]- DLiêu Gốc -'!$C$1:$H$133,2,0)</f>
        <v>V.07.01.03</v>
      </c>
      <c r="AA24" s="595" t="str">
        <f t="shared" si="5"/>
        <v>Lương</v>
      </c>
      <c r="AB24" s="596">
        <v>4</v>
      </c>
      <c r="AC24" s="597" t="str">
        <f t="shared" si="6"/>
        <v>/</v>
      </c>
      <c r="AD24" s="598">
        <f t="shared" si="7"/>
        <v>9</v>
      </c>
      <c r="AE24" s="599">
        <f t="shared" si="8"/>
        <v>3.33</v>
      </c>
      <c r="AF24" s="600"/>
      <c r="AG24" s="600"/>
      <c r="AH24" s="601"/>
      <c r="AI24" s="602" t="s">
        <v>46</v>
      </c>
      <c r="AJ24" s="603"/>
      <c r="AK24" s="602" t="s">
        <v>46</v>
      </c>
      <c r="AL24" s="604"/>
      <c r="AM24" s="605"/>
      <c r="AN24" s="606"/>
      <c r="AO24" s="607">
        <f t="shared" si="40"/>
        <v>5</v>
      </c>
      <c r="AP24" s="608" t="str">
        <f t="shared" si="41"/>
        <v>/</v>
      </c>
      <c r="AQ24" s="609">
        <f t="shared" si="42"/>
        <v>9</v>
      </c>
      <c r="AR24" s="610">
        <f t="shared" si="43"/>
        <v>3.66</v>
      </c>
      <c r="AS24" s="611"/>
      <c r="AT24" s="612" t="s">
        <v>37</v>
      </c>
      <c r="AU24" s="613" t="s">
        <v>46</v>
      </c>
      <c r="AV24" s="614">
        <v>12</v>
      </c>
      <c r="AW24" s="613" t="s">
        <v>46</v>
      </c>
      <c r="AX24" s="615">
        <v>2016</v>
      </c>
      <c r="AY24" s="616"/>
      <c r="AZ24" s="617"/>
      <c r="BA24" s="618"/>
      <c r="BB24" s="619">
        <f t="shared" si="9"/>
        <v>3</v>
      </c>
      <c r="BC24" s="620">
        <f t="shared" si="10"/>
        <v>-24204</v>
      </c>
      <c r="BD24" s="620">
        <f>VLOOKUP(Y24,'[2]- DLiêu Gốc -'!$C$1:$F$60,3,0)</f>
        <v>2.34</v>
      </c>
      <c r="BE24" s="621">
        <f>VLOOKUP(Y24,'[2]- DLiêu Gốc -'!$C$1:$F$60,4,0)</f>
        <v>0.33</v>
      </c>
      <c r="BF24" s="622">
        <v>12</v>
      </c>
      <c r="BG24" s="623" t="s">
        <v>35</v>
      </c>
      <c r="BH24" s="624" t="s">
        <v>37</v>
      </c>
      <c r="BI24" s="625" t="s">
        <v>46</v>
      </c>
      <c r="BJ24" s="626">
        <v>11</v>
      </c>
      <c r="BK24" s="627" t="s">
        <v>46</v>
      </c>
      <c r="BL24" s="628">
        <v>2017</v>
      </c>
      <c r="BM24" s="629"/>
      <c r="BN24" s="630"/>
      <c r="BO24" s="631">
        <f t="shared" si="11"/>
        <v>13</v>
      </c>
      <c r="BP24" s="632" t="s">
        <v>35</v>
      </c>
      <c r="BQ24" s="633" t="s">
        <v>37</v>
      </c>
      <c r="BR24" s="613" t="s">
        <v>46</v>
      </c>
      <c r="BS24" s="626">
        <v>11</v>
      </c>
      <c r="BT24" s="634" t="s">
        <v>46</v>
      </c>
      <c r="BU24" s="635">
        <v>2018</v>
      </c>
      <c r="BV24" s="636"/>
      <c r="BW24" s="637"/>
      <c r="BX24" s="638"/>
      <c r="BY24" s="621" t="e">
        <f t="shared" si="12"/>
        <v>#VALUE!</v>
      </c>
      <c r="BZ24" s="639" t="str">
        <f t="shared" si="13"/>
        <v>- - -</v>
      </c>
      <c r="CA24" s="640" t="str">
        <f t="shared" si="14"/>
        <v>Chánh Văn phòng Học viện, Trưởng Ban Tổ chức - Cán bộ, Trưởng Khoa Quản lý nhà nước về Kinh tế và Tài chính công</v>
      </c>
      <c r="CB24" s="641" t="str">
        <f t="shared" si="15"/>
        <v>A</v>
      </c>
      <c r="CC24" s="595" t="str">
        <f t="shared" si="44"/>
        <v>=&gt; s</v>
      </c>
      <c r="CD24" s="574">
        <f t="shared" si="16"/>
        <v>24228</v>
      </c>
      <c r="CE24" s="574" t="str">
        <f t="shared" si="17"/>
        <v>S</v>
      </c>
      <c r="CF24" s="642">
        <v>2013</v>
      </c>
      <c r="CG24" s="574" t="s">
        <v>174</v>
      </c>
      <c r="CH24" s="643"/>
      <c r="CI24" s="574"/>
      <c r="CJ24" s="644" t="str">
        <f t="shared" si="18"/>
        <v>Cùg Ng</v>
      </c>
      <c r="CK24" s="645" t="str">
        <f t="shared" si="19"/>
        <v>- - -</v>
      </c>
      <c r="CL24" s="646"/>
      <c r="CM24" s="645"/>
      <c r="CN24" s="647"/>
      <c r="CO24" s="644"/>
      <c r="CP24" s="645" t="str">
        <f t="shared" si="20"/>
        <v>- - -</v>
      </c>
      <c r="CQ24" s="646"/>
      <c r="CR24" s="645"/>
      <c r="CS24" s="647"/>
      <c r="CT24" s="648"/>
      <c r="CU24" s="649" t="str">
        <f t="shared" si="21"/>
        <v>---</v>
      </c>
      <c r="CV24" s="650" t="str">
        <f t="shared" si="22"/>
        <v>/-/ /-/</v>
      </c>
      <c r="CW24" s="651">
        <f t="shared" si="23"/>
        <v>6</v>
      </c>
      <c r="CX24" s="650">
        <f t="shared" si="24"/>
        <v>2036</v>
      </c>
      <c r="CY24" s="651">
        <f t="shared" si="25"/>
        <v>3</v>
      </c>
      <c r="CZ24" s="650">
        <f t="shared" si="26"/>
        <v>2036</v>
      </c>
      <c r="DA24" s="651">
        <f t="shared" si="27"/>
        <v>12</v>
      </c>
      <c r="DB24" s="652">
        <f t="shared" si="28"/>
        <v>2035</v>
      </c>
      <c r="DC24" s="653" t="str">
        <f t="shared" si="29"/>
        <v>- - -</v>
      </c>
      <c r="DD24" s="653" t="str">
        <f t="shared" si="30"/>
        <v>. .</v>
      </c>
      <c r="DE24" s="595"/>
      <c r="DF24" s="595">
        <f t="shared" si="31"/>
        <v>660</v>
      </c>
      <c r="DG24" s="595">
        <f t="shared" si="32"/>
        <v>-23765</v>
      </c>
      <c r="DH24" s="595">
        <f t="shared" si="33"/>
        <v>-1981</v>
      </c>
      <c r="DI24" s="595" t="str">
        <f t="shared" si="34"/>
        <v>Nữ dưới 30</v>
      </c>
      <c r="DJ24" s="595"/>
      <c r="DK24" s="621"/>
      <c r="DL24" s="645" t="str">
        <f t="shared" si="35"/>
        <v>Đến 30</v>
      </c>
      <c r="DM24" s="654" t="str">
        <f t="shared" si="36"/>
        <v>TD</v>
      </c>
      <c r="DN24" s="574">
        <v>2012</v>
      </c>
      <c r="DO24" s="655"/>
      <c r="DP24" s="654"/>
      <c r="DQ24" s="647"/>
      <c r="DR24" s="656"/>
      <c r="DS24" s="657"/>
      <c r="DT24" s="658"/>
      <c r="DU24" s="635"/>
      <c r="DV24" s="659"/>
      <c r="DW24" s="612" t="s">
        <v>176</v>
      </c>
      <c r="DX24" s="614" t="s">
        <v>132</v>
      </c>
      <c r="DY24" s="614" t="s">
        <v>176</v>
      </c>
      <c r="DZ24" s="614" t="s">
        <v>37</v>
      </c>
      <c r="EA24" s="660" t="s">
        <v>46</v>
      </c>
      <c r="EB24" s="614">
        <v>12</v>
      </c>
      <c r="EC24" s="661" t="s">
        <v>46</v>
      </c>
      <c r="ED24" s="612">
        <v>2013</v>
      </c>
      <c r="EE24" s="614">
        <f t="shared" si="37"/>
        <v>0</v>
      </c>
      <c r="EF24" s="614" t="str">
        <f t="shared" si="38"/>
        <v>- - -</v>
      </c>
      <c r="EG24" s="614" t="s">
        <v>37</v>
      </c>
      <c r="EH24" s="660" t="s">
        <v>46</v>
      </c>
      <c r="EI24" s="574">
        <v>12</v>
      </c>
      <c r="EJ24" s="644" t="s">
        <v>46</v>
      </c>
      <c r="EK24" s="662">
        <v>2013</v>
      </c>
      <c r="EL24" s="635"/>
      <c r="EM24" s="663" t="str">
        <f t="shared" si="45"/>
        <v>- - -</v>
      </c>
      <c r="EN24" s="663" t="str">
        <f t="shared" si="39"/>
        <v>---</v>
      </c>
      <c r="EO24" s="663"/>
      <c r="EP24" s="663"/>
      <c r="EQ24" s="663"/>
      <c r="ER24" s="663"/>
      <c r="ES24" s="663"/>
      <c r="ET24" s="663"/>
      <c r="EU24" s="663"/>
      <c r="EV24" s="663"/>
      <c r="EW24" s="663"/>
      <c r="EX24" s="663"/>
      <c r="EY24" s="663"/>
      <c r="EZ24" s="663"/>
      <c r="FA24" s="663"/>
      <c r="FB24" s="663"/>
      <c r="FC24" s="663"/>
      <c r="FD24" s="663"/>
      <c r="FE24" s="663"/>
      <c r="FF24" s="663"/>
      <c r="FG24" s="663"/>
      <c r="FH24" s="663"/>
      <c r="FI24" s="663"/>
      <c r="FJ24" s="663"/>
      <c r="FK24" s="664"/>
      <c r="FL24" s="664"/>
      <c r="FM24" s="664"/>
      <c r="FN24" s="664"/>
      <c r="FO24" s="664"/>
    </row>
    <row r="25" spans="1:171" s="665" customFormat="1" ht="30.75" customHeight="1" x14ac:dyDescent="0.2">
      <c r="A25" s="574">
        <v>291</v>
      </c>
      <c r="B25" s="575">
        <v>9</v>
      </c>
      <c r="C25" s="574"/>
      <c r="D25" s="574" t="str">
        <f t="shared" si="0"/>
        <v>Bà</v>
      </c>
      <c r="E25" s="576" t="s">
        <v>289</v>
      </c>
      <c r="F25" s="574" t="s">
        <v>56</v>
      </c>
      <c r="G25" s="577" t="s">
        <v>203</v>
      </c>
      <c r="H25" s="578" t="s">
        <v>46</v>
      </c>
      <c r="I25" s="579" t="s">
        <v>41</v>
      </c>
      <c r="J25" s="578" t="s">
        <v>46</v>
      </c>
      <c r="K25" s="580" t="s">
        <v>275</v>
      </c>
      <c r="L25" s="581" t="s">
        <v>73</v>
      </c>
      <c r="M25" s="582" t="str">
        <f t="shared" si="1"/>
        <v>VC</v>
      </c>
      <c r="N25" s="583"/>
      <c r="O25" s="584" t="str">
        <f t="shared" si="2"/>
        <v>CVụ</v>
      </c>
      <c r="P25" s="585" t="s">
        <v>126</v>
      </c>
      <c r="Q25" s="586">
        <f>VLOOKUP(P25,'[2]- DLiêu Gốc -'!$C$2:$H$115,2,0)</f>
        <v>0.6</v>
      </c>
      <c r="R25" s="587" t="s">
        <v>290</v>
      </c>
      <c r="S25" s="588" t="s">
        <v>121</v>
      </c>
      <c r="T25" s="589" t="str">
        <f>VLOOKUP(Y25,'[2]- DLiêu Gốc -'!$C$2:$H$60,5,0)</f>
        <v>A2</v>
      </c>
      <c r="U25" s="590" t="str">
        <f>VLOOKUP(Y25,'[2]- DLiêu Gốc -'!$C$2:$H$60,6,0)</f>
        <v>A2.1</v>
      </c>
      <c r="V25" s="591" t="s">
        <v>64</v>
      </c>
      <c r="W25" s="592" t="str">
        <f t="shared" si="3"/>
        <v>Giảng viên chính (hạng II)</v>
      </c>
      <c r="X25" s="593" t="str">
        <f t="shared" si="4"/>
        <v>V.07.01.02</v>
      </c>
      <c r="Y25" s="594" t="s">
        <v>68</v>
      </c>
      <c r="Z25" s="594" t="str">
        <f>VLOOKUP(Y25,'[2]- DLiêu Gốc -'!$C$1:$H$133,2,0)</f>
        <v>V.07.01.02</v>
      </c>
      <c r="AA25" s="595" t="str">
        <f t="shared" si="5"/>
        <v>Lương</v>
      </c>
      <c r="AB25" s="596">
        <v>2</v>
      </c>
      <c r="AC25" s="597" t="str">
        <f t="shared" si="6"/>
        <v>/</v>
      </c>
      <c r="AD25" s="598">
        <f t="shared" si="7"/>
        <v>8</v>
      </c>
      <c r="AE25" s="599">
        <f t="shared" si="8"/>
        <v>4.74</v>
      </c>
      <c r="AF25" s="600"/>
      <c r="AG25" s="600"/>
      <c r="AH25" s="601"/>
      <c r="AI25" s="602" t="s">
        <v>46</v>
      </c>
      <c r="AJ25" s="603"/>
      <c r="AK25" s="602" t="s">
        <v>46</v>
      </c>
      <c r="AL25" s="604"/>
      <c r="AM25" s="605"/>
      <c r="AN25" s="606"/>
      <c r="AO25" s="607">
        <f t="shared" si="40"/>
        <v>3</v>
      </c>
      <c r="AP25" s="608" t="str">
        <f t="shared" si="41"/>
        <v>/</v>
      </c>
      <c r="AQ25" s="609">
        <f t="shared" si="42"/>
        <v>8</v>
      </c>
      <c r="AR25" s="610">
        <f t="shared" si="43"/>
        <v>5.08</v>
      </c>
      <c r="AS25" s="611"/>
      <c r="AT25" s="612" t="s">
        <v>37</v>
      </c>
      <c r="AU25" s="613" t="s">
        <v>46</v>
      </c>
      <c r="AV25" s="614">
        <v>5</v>
      </c>
      <c r="AW25" s="613" t="s">
        <v>46</v>
      </c>
      <c r="AX25" s="615">
        <v>2016</v>
      </c>
      <c r="AY25" s="616"/>
      <c r="AZ25" s="617"/>
      <c r="BA25" s="618"/>
      <c r="BB25" s="619">
        <f t="shared" si="9"/>
        <v>3</v>
      </c>
      <c r="BC25" s="620">
        <f t="shared" si="10"/>
        <v>-24197</v>
      </c>
      <c r="BD25" s="620">
        <f>VLOOKUP(Y25,'[2]- DLiêu Gốc -'!$C$1:$F$60,3,0)</f>
        <v>4.4000000000000004</v>
      </c>
      <c r="BE25" s="621">
        <f>VLOOKUP(Y25,'[2]- DLiêu Gốc -'!$C$1:$F$60,4,0)</f>
        <v>0.34</v>
      </c>
      <c r="BF25" s="622">
        <v>21</v>
      </c>
      <c r="BG25" s="623" t="s">
        <v>35</v>
      </c>
      <c r="BH25" s="624" t="s">
        <v>37</v>
      </c>
      <c r="BI25" s="625" t="s">
        <v>46</v>
      </c>
      <c r="BJ25" s="626">
        <v>11</v>
      </c>
      <c r="BK25" s="627" t="s">
        <v>46</v>
      </c>
      <c r="BL25" s="628">
        <v>2017</v>
      </c>
      <c r="BM25" s="629"/>
      <c r="BN25" s="630"/>
      <c r="BO25" s="631">
        <f t="shared" si="11"/>
        <v>22</v>
      </c>
      <c r="BP25" s="632" t="s">
        <v>35</v>
      </c>
      <c r="BQ25" s="633" t="s">
        <v>37</v>
      </c>
      <c r="BR25" s="613" t="s">
        <v>46</v>
      </c>
      <c r="BS25" s="626">
        <v>11</v>
      </c>
      <c r="BT25" s="634" t="s">
        <v>46</v>
      </c>
      <c r="BU25" s="635">
        <v>2018</v>
      </c>
      <c r="BV25" s="636"/>
      <c r="BW25" s="637"/>
      <c r="BX25" s="638"/>
      <c r="BY25" s="621" t="e">
        <f t="shared" si="12"/>
        <v>#VALUE!</v>
      </c>
      <c r="BZ25" s="639" t="str">
        <f t="shared" si="13"/>
        <v>- - -</v>
      </c>
      <c r="CA25" s="640" t="str">
        <f t="shared" si="14"/>
        <v>Chánh Văn phòng Học viện, Trưởng Ban Tổ chức - Cán bộ, Trưởng Khoa Quản lý nhà nước về Xã hội</v>
      </c>
      <c r="CB25" s="641" t="str">
        <f t="shared" si="15"/>
        <v>A</v>
      </c>
      <c r="CC25" s="595" t="str">
        <f t="shared" si="44"/>
        <v>=&gt; s</v>
      </c>
      <c r="CD25" s="574">
        <f t="shared" si="16"/>
        <v>24221</v>
      </c>
      <c r="CE25" s="574" t="str">
        <f t="shared" si="17"/>
        <v>S</v>
      </c>
      <c r="CF25" s="642">
        <v>2013</v>
      </c>
      <c r="CG25" s="574" t="s">
        <v>143</v>
      </c>
      <c r="CH25" s="643"/>
      <c r="CI25" s="574"/>
      <c r="CJ25" s="644" t="str">
        <f t="shared" si="18"/>
        <v>Cùg Ng</v>
      </c>
      <c r="CK25" s="645" t="str">
        <f t="shared" si="19"/>
        <v>NN</v>
      </c>
      <c r="CL25" s="646">
        <v>1</v>
      </c>
      <c r="CM25" s="645" t="s">
        <v>48</v>
      </c>
      <c r="CN25" s="647"/>
      <c r="CO25" s="644"/>
      <c r="CP25" s="645" t="str">
        <f t="shared" si="20"/>
        <v>- - -</v>
      </c>
      <c r="CQ25" s="646"/>
      <c r="CR25" s="645"/>
      <c r="CS25" s="647"/>
      <c r="CT25" s="648"/>
      <c r="CU25" s="649" t="str">
        <f t="shared" si="21"/>
        <v>---</v>
      </c>
      <c r="CV25" s="650" t="str">
        <f t="shared" si="22"/>
        <v>/-/ /-/</v>
      </c>
      <c r="CW25" s="651">
        <f t="shared" si="23"/>
        <v>9</v>
      </c>
      <c r="CX25" s="650">
        <f t="shared" si="24"/>
        <v>2027</v>
      </c>
      <c r="CY25" s="651">
        <f t="shared" si="25"/>
        <v>6</v>
      </c>
      <c r="CZ25" s="650">
        <f t="shared" si="26"/>
        <v>2027</v>
      </c>
      <c r="DA25" s="651">
        <f t="shared" si="27"/>
        <v>3</v>
      </c>
      <c r="DB25" s="652">
        <f t="shared" si="28"/>
        <v>2027</v>
      </c>
      <c r="DC25" s="653" t="str">
        <f t="shared" si="29"/>
        <v>- - -</v>
      </c>
      <c r="DD25" s="653" t="str">
        <f t="shared" si="30"/>
        <v>. .</v>
      </c>
      <c r="DE25" s="595"/>
      <c r="DF25" s="595">
        <f t="shared" si="31"/>
        <v>660</v>
      </c>
      <c r="DG25" s="595">
        <f t="shared" si="32"/>
        <v>-23660</v>
      </c>
      <c r="DH25" s="595">
        <f t="shared" si="33"/>
        <v>-1972</v>
      </c>
      <c r="DI25" s="595" t="str">
        <f t="shared" si="34"/>
        <v>Nữ dưới 30</v>
      </c>
      <c r="DJ25" s="595"/>
      <c r="DK25" s="621"/>
      <c r="DL25" s="645" t="str">
        <f t="shared" si="35"/>
        <v>Đến 30</v>
      </c>
      <c r="DM25" s="654" t="str">
        <f t="shared" si="36"/>
        <v>--</v>
      </c>
      <c r="DN25" s="574"/>
      <c r="DO25" s="655"/>
      <c r="DP25" s="654"/>
      <c r="DQ25" s="647"/>
      <c r="DR25" s="656"/>
      <c r="DS25" s="657"/>
      <c r="DT25" s="658"/>
      <c r="DU25" s="635"/>
      <c r="DV25" s="659"/>
      <c r="DW25" s="612" t="s">
        <v>290</v>
      </c>
      <c r="DX25" s="614" t="s">
        <v>121</v>
      </c>
      <c r="DY25" s="614" t="s">
        <v>290</v>
      </c>
      <c r="DZ25" s="614" t="s">
        <v>37</v>
      </c>
      <c r="EA25" s="660" t="s">
        <v>46</v>
      </c>
      <c r="EB25" s="614">
        <v>5</v>
      </c>
      <c r="EC25" s="661" t="s">
        <v>46</v>
      </c>
      <c r="ED25" s="612">
        <v>2013</v>
      </c>
      <c r="EE25" s="614">
        <f t="shared" si="37"/>
        <v>0</v>
      </c>
      <c r="EF25" s="614" t="str">
        <f t="shared" si="38"/>
        <v>- - -</v>
      </c>
      <c r="EG25" s="614" t="s">
        <v>37</v>
      </c>
      <c r="EH25" s="660" t="s">
        <v>46</v>
      </c>
      <c r="EI25" s="574">
        <v>5</v>
      </c>
      <c r="EJ25" s="644" t="s">
        <v>46</v>
      </c>
      <c r="EK25" s="662">
        <v>2013</v>
      </c>
      <c r="EL25" s="635">
        <v>3.66</v>
      </c>
      <c r="EM25" s="663" t="str">
        <f t="shared" si="45"/>
        <v>- - -</v>
      </c>
      <c r="EN25" s="663" t="str">
        <f t="shared" si="39"/>
        <v>---</v>
      </c>
      <c r="EO25" s="663"/>
      <c r="EP25" s="663"/>
      <c r="EQ25" s="663"/>
      <c r="ER25" s="663"/>
      <c r="ES25" s="663"/>
      <c r="ET25" s="663"/>
      <c r="EU25" s="663"/>
      <c r="EV25" s="663"/>
      <c r="EW25" s="663"/>
      <c r="EX25" s="663"/>
      <c r="EY25" s="663"/>
      <c r="EZ25" s="663"/>
      <c r="FA25" s="663"/>
      <c r="FB25" s="663"/>
      <c r="FC25" s="663"/>
      <c r="FD25" s="663"/>
      <c r="FE25" s="663"/>
      <c r="FF25" s="663"/>
      <c r="FG25" s="663"/>
      <c r="FH25" s="663"/>
      <c r="FI25" s="663"/>
      <c r="FJ25" s="663"/>
      <c r="FK25" s="664"/>
      <c r="FL25" s="664"/>
      <c r="FM25" s="664"/>
      <c r="FN25" s="664"/>
      <c r="FO25" s="664"/>
    </row>
    <row r="26" spans="1:171" s="665" customFormat="1" ht="30.75" customHeight="1" x14ac:dyDescent="0.2">
      <c r="A26" s="574">
        <v>300</v>
      </c>
      <c r="B26" s="575">
        <v>10</v>
      </c>
      <c r="C26" s="574" t="s">
        <v>149</v>
      </c>
      <c r="D26" s="574" t="str">
        <f t="shared" si="0"/>
        <v>Bà</v>
      </c>
      <c r="E26" s="576" t="s">
        <v>291</v>
      </c>
      <c r="F26" s="574" t="s">
        <v>56</v>
      </c>
      <c r="G26" s="577" t="s">
        <v>194</v>
      </c>
      <c r="H26" s="578" t="s">
        <v>46</v>
      </c>
      <c r="I26" s="579" t="s">
        <v>43</v>
      </c>
      <c r="J26" s="578" t="s">
        <v>46</v>
      </c>
      <c r="K26" s="580">
        <v>1965</v>
      </c>
      <c r="L26" s="581" t="s">
        <v>73</v>
      </c>
      <c r="M26" s="582" t="str">
        <f t="shared" si="1"/>
        <v>VC</v>
      </c>
      <c r="N26" s="583"/>
      <c r="O26" s="584" t="e">
        <f t="shared" si="2"/>
        <v>#N/A</v>
      </c>
      <c r="P26" s="585"/>
      <c r="Q26" s="586" t="e">
        <f>VLOOKUP(P26,'[2]- DLiêu Gốc -'!$C$2:$H$115,2,0)</f>
        <v>#N/A</v>
      </c>
      <c r="R26" s="587" t="s">
        <v>292</v>
      </c>
      <c r="S26" s="588" t="s">
        <v>121</v>
      </c>
      <c r="T26" s="589" t="str">
        <f>VLOOKUP(Y26,'[2]- DLiêu Gốc -'!$C$2:$H$60,5,0)</f>
        <v>A1</v>
      </c>
      <c r="U26" s="590" t="str">
        <f>VLOOKUP(Y26,'[2]- DLiêu Gốc -'!$C$2:$H$60,6,0)</f>
        <v>- - -</v>
      </c>
      <c r="V26" s="591" t="s">
        <v>64</v>
      </c>
      <c r="W26" s="592" t="str">
        <f t="shared" si="3"/>
        <v>Giảng viên (hạng III)</v>
      </c>
      <c r="X26" s="593" t="str">
        <f t="shared" si="4"/>
        <v>V.07.01.03</v>
      </c>
      <c r="Y26" s="594" t="s">
        <v>67</v>
      </c>
      <c r="Z26" s="594" t="str">
        <f>VLOOKUP(Y26,'[2]- DLiêu Gốc -'!$C$1:$H$133,2,0)</f>
        <v>V.07.01.03</v>
      </c>
      <c r="AA26" s="595" t="str">
        <f t="shared" si="5"/>
        <v>Lương</v>
      </c>
      <c r="AB26" s="596">
        <v>2</v>
      </c>
      <c r="AC26" s="597" t="str">
        <f t="shared" si="6"/>
        <v>/</v>
      </c>
      <c r="AD26" s="598">
        <f t="shared" si="7"/>
        <v>9</v>
      </c>
      <c r="AE26" s="599">
        <f t="shared" si="8"/>
        <v>2.67</v>
      </c>
      <c r="AF26" s="600"/>
      <c r="AG26" s="600"/>
      <c r="AH26" s="601"/>
      <c r="AI26" s="602" t="s">
        <v>46</v>
      </c>
      <c r="AJ26" s="603"/>
      <c r="AK26" s="602" t="s">
        <v>46</v>
      </c>
      <c r="AL26" s="604"/>
      <c r="AM26" s="605"/>
      <c r="AN26" s="606"/>
      <c r="AO26" s="607">
        <f t="shared" si="40"/>
        <v>3</v>
      </c>
      <c r="AP26" s="608" t="str">
        <f t="shared" si="41"/>
        <v>/</v>
      </c>
      <c r="AQ26" s="609">
        <f t="shared" si="42"/>
        <v>9</v>
      </c>
      <c r="AR26" s="610">
        <f t="shared" si="43"/>
        <v>3</v>
      </c>
      <c r="AS26" s="611"/>
      <c r="AT26" s="612" t="s">
        <v>37</v>
      </c>
      <c r="AU26" s="613" t="s">
        <v>46</v>
      </c>
      <c r="AV26" s="614" t="s">
        <v>51</v>
      </c>
      <c r="AW26" s="613" t="s">
        <v>46</v>
      </c>
      <c r="AX26" s="615">
        <v>2016</v>
      </c>
      <c r="AY26" s="616"/>
      <c r="AZ26" s="617"/>
      <c r="BA26" s="618"/>
      <c r="BB26" s="619">
        <f t="shared" si="9"/>
        <v>3</v>
      </c>
      <c r="BC26" s="620">
        <f t="shared" si="10"/>
        <v>-24203</v>
      </c>
      <c r="BD26" s="620">
        <f>VLOOKUP(Y26,'[2]- DLiêu Gốc -'!$C$1:$F$60,3,0)</f>
        <v>2.34</v>
      </c>
      <c r="BE26" s="621">
        <f>VLOOKUP(Y26,'[2]- DLiêu Gốc -'!$C$1:$F$60,4,0)</f>
        <v>0.33</v>
      </c>
      <c r="BF26" s="622">
        <v>8</v>
      </c>
      <c r="BG26" s="623" t="s">
        <v>35</v>
      </c>
      <c r="BH26" s="624" t="s">
        <v>37</v>
      </c>
      <c r="BI26" s="625" t="s">
        <v>46</v>
      </c>
      <c r="BJ26" s="626" t="s">
        <v>51</v>
      </c>
      <c r="BK26" s="627" t="s">
        <v>46</v>
      </c>
      <c r="BL26" s="628">
        <v>2017</v>
      </c>
      <c r="BM26" s="629"/>
      <c r="BN26" s="630"/>
      <c r="BO26" s="631">
        <f t="shared" si="11"/>
        <v>9</v>
      </c>
      <c r="BP26" s="632" t="s">
        <v>35</v>
      </c>
      <c r="BQ26" s="633" t="s">
        <v>37</v>
      </c>
      <c r="BR26" s="613" t="s">
        <v>46</v>
      </c>
      <c r="BS26" s="626" t="s">
        <v>51</v>
      </c>
      <c r="BT26" s="634" t="s">
        <v>46</v>
      </c>
      <c r="BU26" s="635">
        <v>2018</v>
      </c>
      <c r="BV26" s="636"/>
      <c r="BW26" s="637"/>
      <c r="BX26" s="638"/>
      <c r="BY26" s="621" t="e">
        <f t="shared" si="12"/>
        <v>#VALUE!</v>
      </c>
      <c r="BZ26" s="639" t="str">
        <f t="shared" si="13"/>
        <v>- - -</v>
      </c>
      <c r="CA26" s="640" t="str">
        <f t="shared" si="14"/>
        <v>Chánh Văn phòng Học viện, Trưởng Ban Tổ chức - Cán bộ, Trưởng Khoa Quản lý nhà nước về Xã hội</v>
      </c>
      <c r="CB26" s="641" t="str">
        <f t="shared" si="15"/>
        <v>A</v>
      </c>
      <c r="CC26" s="595" t="str">
        <f t="shared" si="44"/>
        <v>=&gt; s</v>
      </c>
      <c r="CD26" s="574">
        <f t="shared" si="16"/>
        <v>24227</v>
      </c>
      <c r="CE26" s="574" t="str">
        <f t="shared" si="17"/>
        <v>---</v>
      </c>
      <c r="CF26" s="642"/>
      <c r="CG26" s="574"/>
      <c r="CH26" s="643"/>
      <c r="CI26" s="574"/>
      <c r="CJ26" s="644" t="str">
        <f t="shared" si="18"/>
        <v>- - -</v>
      </c>
      <c r="CK26" s="645" t="str">
        <f t="shared" si="19"/>
        <v>- - -</v>
      </c>
      <c r="CL26" s="646"/>
      <c r="CM26" s="645"/>
      <c r="CN26" s="647"/>
      <c r="CO26" s="644"/>
      <c r="CP26" s="645" t="str">
        <f t="shared" si="20"/>
        <v>- - -</v>
      </c>
      <c r="CQ26" s="646"/>
      <c r="CR26" s="645"/>
      <c r="CS26" s="647"/>
      <c r="CT26" s="648"/>
      <c r="CU26" s="649" t="str">
        <f t="shared" si="21"/>
        <v>---</v>
      </c>
      <c r="CV26" s="650" t="str">
        <f t="shared" si="22"/>
        <v>/-/ /-/</v>
      </c>
      <c r="CW26" s="651">
        <f t="shared" si="23"/>
        <v>8</v>
      </c>
      <c r="CX26" s="650">
        <f t="shared" si="24"/>
        <v>2020</v>
      </c>
      <c r="CY26" s="651">
        <f t="shared" si="25"/>
        <v>5</v>
      </c>
      <c r="CZ26" s="650">
        <f t="shared" si="26"/>
        <v>2020</v>
      </c>
      <c r="DA26" s="651">
        <f t="shared" si="27"/>
        <v>2</v>
      </c>
      <c r="DB26" s="652">
        <f t="shared" si="28"/>
        <v>2020</v>
      </c>
      <c r="DC26" s="653" t="str">
        <f t="shared" si="29"/>
        <v>- - -</v>
      </c>
      <c r="DD26" s="653" t="str">
        <f t="shared" si="30"/>
        <v>. .</v>
      </c>
      <c r="DE26" s="595"/>
      <c r="DF26" s="595">
        <f t="shared" si="31"/>
        <v>660</v>
      </c>
      <c r="DG26" s="595">
        <f t="shared" si="32"/>
        <v>-23575</v>
      </c>
      <c r="DH26" s="595">
        <f t="shared" si="33"/>
        <v>-1965</v>
      </c>
      <c r="DI26" s="595" t="str">
        <f t="shared" si="34"/>
        <v>Nữ dưới 30</v>
      </c>
      <c r="DJ26" s="595"/>
      <c r="DK26" s="621"/>
      <c r="DL26" s="645" t="str">
        <f t="shared" si="35"/>
        <v>Đến 30</v>
      </c>
      <c r="DM26" s="654" t="str">
        <f t="shared" si="36"/>
        <v>--</v>
      </c>
      <c r="DN26" s="574"/>
      <c r="DO26" s="655"/>
      <c r="DP26" s="654"/>
      <c r="DQ26" s="647"/>
      <c r="DR26" s="656"/>
      <c r="DS26" s="657"/>
      <c r="DT26" s="658"/>
      <c r="DU26" s="635"/>
      <c r="DV26" s="659"/>
      <c r="DW26" s="612" t="s">
        <v>292</v>
      </c>
      <c r="DX26" s="614" t="s">
        <v>121</v>
      </c>
      <c r="DY26" s="614" t="s">
        <v>292</v>
      </c>
      <c r="DZ26" s="614" t="s">
        <v>37</v>
      </c>
      <c r="EA26" s="660" t="s">
        <v>46</v>
      </c>
      <c r="EB26" s="614">
        <v>5</v>
      </c>
      <c r="EC26" s="661" t="s">
        <v>46</v>
      </c>
      <c r="ED26" s="612">
        <v>2014</v>
      </c>
      <c r="EE26" s="614">
        <f t="shared" si="37"/>
        <v>0</v>
      </c>
      <c r="EF26" s="614" t="str">
        <f t="shared" si="38"/>
        <v>- - -</v>
      </c>
      <c r="EG26" s="614" t="s">
        <v>37</v>
      </c>
      <c r="EH26" s="660" t="s">
        <v>46</v>
      </c>
      <c r="EI26" s="574">
        <v>5</v>
      </c>
      <c r="EJ26" s="644" t="s">
        <v>46</v>
      </c>
      <c r="EK26" s="662">
        <v>2014</v>
      </c>
      <c r="EL26" s="635"/>
      <c r="EM26" s="663" t="str">
        <f t="shared" si="45"/>
        <v>- - -</v>
      </c>
      <c r="EN26" s="663" t="str">
        <f t="shared" si="39"/>
        <v>---</v>
      </c>
      <c r="EO26" s="663"/>
      <c r="EP26" s="663"/>
      <c r="EQ26" s="663"/>
      <c r="ER26" s="663"/>
      <c r="ES26" s="663"/>
      <c r="ET26" s="663"/>
      <c r="EU26" s="663"/>
      <c r="EV26" s="663"/>
      <c r="EW26" s="663"/>
      <c r="EX26" s="663"/>
      <c r="EY26" s="663"/>
      <c r="EZ26" s="663"/>
      <c r="FA26" s="663"/>
      <c r="FB26" s="663"/>
      <c r="FC26" s="663"/>
      <c r="FD26" s="663"/>
      <c r="FE26" s="663"/>
      <c r="FF26" s="663"/>
      <c r="FG26" s="663"/>
      <c r="FH26" s="663"/>
      <c r="FI26" s="663"/>
      <c r="FJ26" s="663"/>
      <c r="FK26" s="664"/>
      <c r="FL26" s="664"/>
      <c r="FM26" s="664"/>
      <c r="FN26" s="664"/>
      <c r="FO26" s="664"/>
    </row>
    <row r="27" spans="1:171" s="665" customFormat="1" ht="30.75" customHeight="1" x14ac:dyDescent="0.2">
      <c r="A27" s="574">
        <v>349</v>
      </c>
      <c r="B27" s="575">
        <v>11</v>
      </c>
      <c r="C27" s="574"/>
      <c r="D27" s="574" t="str">
        <f t="shared" si="0"/>
        <v>Bà</v>
      </c>
      <c r="E27" s="576" t="s">
        <v>293</v>
      </c>
      <c r="F27" s="574" t="s">
        <v>56</v>
      </c>
      <c r="G27" s="577" t="s">
        <v>216</v>
      </c>
      <c r="H27" s="578" t="s">
        <v>46</v>
      </c>
      <c r="I27" s="579" t="s">
        <v>42</v>
      </c>
      <c r="J27" s="578" t="s">
        <v>46</v>
      </c>
      <c r="K27" s="580" t="s">
        <v>294</v>
      </c>
      <c r="L27" s="581" t="s">
        <v>73</v>
      </c>
      <c r="M27" s="582" t="str">
        <f t="shared" si="1"/>
        <v>VC</v>
      </c>
      <c r="N27" s="583"/>
      <c r="O27" s="584" t="e">
        <f t="shared" si="2"/>
        <v>#N/A</v>
      </c>
      <c r="P27" s="585"/>
      <c r="Q27" s="586" t="e">
        <f>VLOOKUP(P27,'[2]- DLiêu Gốc -'!$C$2:$H$115,2,0)</f>
        <v>#N/A</v>
      </c>
      <c r="R27" s="587" t="s">
        <v>189</v>
      </c>
      <c r="S27" s="588" t="s">
        <v>6</v>
      </c>
      <c r="T27" s="589" t="str">
        <f>VLOOKUP(Y27,'[2]- DLiêu Gốc -'!$C$2:$H$60,5,0)</f>
        <v>A1</v>
      </c>
      <c r="U27" s="590" t="str">
        <f>VLOOKUP(Y27,'[2]- DLiêu Gốc -'!$C$2:$H$60,6,0)</f>
        <v>- - -</v>
      </c>
      <c r="V27" s="591" t="s">
        <v>64</v>
      </c>
      <c r="W27" s="592" t="str">
        <f t="shared" si="3"/>
        <v>Giảng viên (hạng III)</v>
      </c>
      <c r="X27" s="593" t="str">
        <f t="shared" si="4"/>
        <v>V.07.01.03</v>
      </c>
      <c r="Y27" s="594" t="s">
        <v>67</v>
      </c>
      <c r="Z27" s="594" t="str">
        <f>VLOOKUP(Y27,'[2]- DLiêu Gốc -'!$C$1:$H$133,2,0)</f>
        <v>V.07.01.03</v>
      </c>
      <c r="AA27" s="595" t="str">
        <f t="shared" si="5"/>
        <v>Lương</v>
      </c>
      <c r="AB27" s="596">
        <v>5</v>
      </c>
      <c r="AC27" s="597" t="str">
        <f t="shared" si="6"/>
        <v>/</v>
      </c>
      <c r="AD27" s="598">
        <f t="shared" si="7"/>
        <v>9</v>
      </c>
      <c r="AE27" s="599">
        <f t="shared" si="8"/>
        <v>3.66</v>
      </c>
      <c r="AF27" s="600"/>
      <c r="AG27" s="600"/>
      <c r="AH27" s="601"/>
      <c r="AI27" s="602" t="s">
        <v>46</v>
      </c>
      <c r="AJ27" s="603"/>
      <c r="AK27" s="602" t="s">
        <v>46</v>
      </c>
      <c r="AL27" s="604"/>
      <c r="AM27" s="605"/>
      <c r="AN27" s="606"/>
      <c r="AO27" s="607">
        <f t="shared" si="40"/>
        <v>6</v>
      </c>
      <c r="AP27" s="608" t="str">
        <f t="shared" si="41"/>
        <v>/</v>
      </c>
      <c r="AQ27" s="609">
        <f t="shared" si="42"/>
        <v>9</v>
      </c>
      <c r="AR27" s="610">
        <f t="shared" si="43"/>
        <v>3.99</v>
      </c>
      <c r="AS27" s="611"/>
      <c r="AT27" s="612" t="s">
        <v>37</v>
      </c>
      <c r="AU27" s="613" t="s">
        <v>46</v>
      </c>
      <c r="AV27" s="614" t="s">
        <v>51</v>
      </c>
      <c r="AW27" s="613" t="s">
        <v>46</v>
      </c>
      <c r="AX27" s="615">
        <v>2017</v>
      </c>
      <c r="AY27" s="616"/>
      <c r="AZ27" s="617" t="s">
        <v>295</v>
      </c>
      <c r="BA27" s="618"/>
      <c r="BB27" s="619">
        <f t="shared" si="9"/>
        <v>3</v>
      </c>
      <c r="BC27" s="620">
        <f t="shared" si="10"/>
        <v>-24215</v>
      </c>
      <c r="BD27" s="620">
        <f>VLOOKUP(Y27,'[2]- DLiêu Gốc -'!$C$1:$F$60,3,0)</f>
        <v>2.34</v>
      </c>
      <c r="BE27" s="621">
        <f>VLOOKUP(Y27,'[2]- DLiêu Gốc -'!$C$1:$F$60,4,0)</f>
        <v>0.33</v>
      </c>
      <c r="BF27" s="622">
        <v>12</v>
      </c>
      <c r="BG27" s="623" t="s">
        <v>35</v>
      </c>
      <c r="BH27" s="624" t="s">
        <v>37</v>
      </c>
      <c r="BI27" s="625" t="s">
        <v>46</v>
      </c>
      <c r="BJ27" s="626">
        <v>11</v>
      </c>
      <c r="BK27" s="627" t="s">
        <v>46</v>
      </c>
      <c r="BL27" s="628">
        <v>2017</v>
      </c>
      <c r="BM27" s="629"/>
      <c r="BN27" s="630"/>
      <c r="BO27" s="631">
        <f t="shared" si="11"/>
        <v>13</v>
      </c>
      <c r="BP27" s="632" t="s">
        <v>35</v>
      </c>
      <c r="BQ27" s="633" t="s">
        <v>37</v>
      </c>
      <c r="BR27" s="613" t="s">
        <v>46</v>
      </c>
      <c r="BS27" s="626">
        <v>11</v>
      </c>
      <c r="BT27" s="634" t="s">
        <v>46</v>
      </c>
      <c r="BU27" s="635">
        <v>2018</v>
      </c>
      <c r="BV27" s="636"/>
      <c r="BW27" s="637"/>
      <c r="BX27" s="638"/>
      <c r="BY27" s="621" t="e">
        <f t="shared" si="12"/>
        <v>#VALUE!</v>
      </c>
      <c r="BZ27" s="639" t="str">
        <f t="shared" si="13"/>
        <v>- - -</v>
      </c>
      <c r="CA27" s="640" t="str">
        <f t="shared" si="14"/>
        <v>Chánh Văn phòng Học viện, Trưởng Ban Tổ chức - Cán bộ, Trưởng Khoa Văn bản và Công nghệ hành chính</v>
      </c>
      <c r="CB27" s="641" t="str">
        <f t="shared" si="15"/>
        <v>A</v>
      </c>
      <c r="CC27" s="595" t="str">
        <f t="shared" si="44"/>
        <v>=&gt; s</v>
      </c>
      <c r="CD27" s="574">
        <f t="shared" si="16"/>
        <v>24239</v>
      </c>
      <c r="CE27" s="574" t="str">
        <f t="shared" si="17"/>
        <v>---</v>
      </c>
      <c r="CF27" s="642"/>
      <c r="CG27" s="574"/>
      <c r="CH27" s="643"/>
      <c r="CI27" s="574"/>
      <c r="CJ27" s="644" t="str">
        <f t="shared" si="18"/>
        <v>- - -</v>
      </c>
      <c r="CK27" s="645" t="str">
        <f t="shared" si="19"/>
        <v>- - -</v>
      </c>
      <c r="CL27" s="646"/>
      <c r="CM27" s="645"/>
      <c r="CN27" s="647"/>
      <c r="CO27" s="644"/>
      <c r="CP27" s="645" t="str">
        <f t="shared" si="20"/>
        <v>CN</v>
      </c>
      <c r="CQ27" s="646">
        <v>6</v>
      </c>
      <c r="CR27" s="645">
        <v>2013</v>
      </c>
      <c r="CS27" s="647"/>
      <c r="CT27" s="648"/>
      <c r="CU27" s="649" t="str">
        <f t="shared" si="21"/>
        <v>---</v>
      </c>
      <c r="CV27" s="650" t="str">
        <f t="shared" si="22"/>
        <v>/-/ /-/</v>
      </c>
      <c r="CW27" s="651">
        <f t="shared" si="23"/>
        <v>4</v>
      </c>
      <c r="CX27" s="650">
        <f t="shared" si="24"/>
        <v>2029</v>
      </c>
      <c r="CY27" s="651">
        <f t="shared" si="25"/>
        <v>1</v>
      </c>
      <c r="CZ27" s="650">
        <f t="shared" si="26"/>
        <v>2029</v>
      </c>
      <c r="DA27" s="651">
        <f t="shared" si="27"/>
        <v>10</v>
      </c>
      <c r="DB27" s="652">
        <f t="shared" si="28"/>
        <v>2028</v>
      </c>
      <c r="DC27" s="653" t="str">
        <f t="shared" si="29"/>
        <v>- - -</v>
      </c>
      <c r="DD27" s="653" t="str">
        <f t="shared" si="30"/>
        <v>. .</v>
      </c>
      <c r="DE27" s="595"/>
      <c r="DF27" s="595">
        <f t="shared" si="31"/>
        <v>660</v>
      </c>
      <c r="DG27" s="595">
        <f t="shared" si="32"/>
        <v>-23679</v>
      </c>
      <c r="DH27" s="595">
        <f t="shared" si="33"/>
        <v>-1974</v>
      </c>
      <c r="DI27" s="595" t="str">
        <f t="shared" si="34"/>
        <v>Nữ dưới 30</v>
      </c>
      <c r="DJ27" s="595"/>
      <c r="DK27" s="621"/>
      <c r="DL27" s="645" t="str">
        <f t="shared" si="35"/>
        <v>Đến 30</v>
      </c>
      <c r="DM27" s="654" t="str">
        <f t="shared" si="36"/>
        <v>--</v>
      </c>
      <c r="DN27" s="574"/>
      <c r="DO27" s="655" t="s">
        <v>245</v>
      </c>
      <c r="DP27" s="654">
        <v>6</v>
      </c>
      <c r="DQ27" s="647">
        <v>2013</v>
      </c>
      <c r="DR27" s="656"/>
      <c r="DS27" s="657"/>
      <c r="DT27" s="658"/>
      <c r="DU27" s="635"/>
      <c r="DV27" s="659"/>
      <c r="DW27" s="612" t="s">
        <v>189</v>
      </c>
      <c r="DX27" s="614" t="s">
        <v>6</v>
      </c>
      <c r="DY27" s="614" t="s">
        <v>189</v>
      </c>
      <c r="DZ27" s="614" t="s">
        <v>37</v>
      </c>
      <c r="EA27" s="660" t="s">
        <v>46</v>
      </c>
      <c r="EB27" s="614" t="s">
        <v>51</v>
      </c>
      <c r="EC27" s="661" t="s">
        <v>46</v>
      </c>
      <c r="ED27" s="612">
        <v>2011</v>
      </c>
      <c r="EE27" s="614">
        <f t="shared" si="37"/>
        <v>0</v>
      </c>
      <c r="EF27" s="614" t="str">
        <f t="shared" si="38"/>
        <v>- - -</v>
      </c>
      <c r="EG27" s="614" t="s">
        <v>37</v>
      </c>
      <c r="EH27" s="660" t="s">
        <v>46</v>
      </c>
      <c r="EI27" s="574" t="s">
        <v>51</v>
      </c>
      <c r="EJ27" s="644" t="s">
        <v>46</v>
      </c>
      <c r="EK27" s="662">
        <v>2011</v>
      </c>
      <c r="EL27" s="635"/>
      <c r="EM27" s="663" t="str">
        <f t="shared" si="45"/>
        <v>- - -</v>
      </c>
      <c r="EN27" s="663" t="str">
        <f t="shared" si="39"/>
        <v>---</v>
      </c>
      <c r="EO27" s="663"/>
      <c r="EP27" s="663"/>
      <c r="EQ27" s="663"/>
      <c r="ER27" s="663"/>
      <c r="ES27" s="663"/>
      <c r="ET27" s="663"/>
      <c r="EU27" s="663"/>
      <c r="EV27" s="663"/>
      <c r="EW27" s="663"/>
      <c r="EX27" s="663"/>
      <c r="EY27" s="663"/>
      <c r="EZ27" s="663"/>
      <c r="FA27" s="663"/>
      <c r="FB27" s="663"/>
      <c r="FC27" s="663"/>
      <c r="FD27" s="663"/>
      <c r="FE27" s="663"/>
      <c r="FF27" s="663"/>
      <c r="FG27" s="663"/>
      <c r="FH27" s="663"/>
      <c r="FI27" s="663"/>
      <c r="FJ27" s="663"/>
      <c r="FK27" s="664"/>
      <c r="FL27" s="664"/>
      <c r="FM27" s="664"/>
      <c r="FN27" s="664"/>
      <c r="FO27" s="664"/>
    </row>
    <row r="28" spans="1:171" s="665" customFormat="1" ht="30.75" customHeight="1" x14ac:dyDescent="0.2">
      <c r="A28" s="574">
        <v>356</v>
      </c>
      <c r="B28" s="575">
        <v>12</v>
      </c>
      <c r="C28" s="574" t="s">
        <v>149</v>
      </c>
      <c r="D28" s="574" t="str">
        <f t="shared" si="0"/>
        <v>Bà</v>
      </c>
      <c r="E28" s="576" t="s">
        <v>296</v>
      </c>
      <c r="F28" s="574" t="s">
        <v>56</v>
      </c>
      <c r="G28" s="577" t="s">
        <v>168</v>
      </c>
      <c r="H28" s="578" t="s">
        <v>46</v>
      </c>
      <c r="I28" s="579" t="s">
        <v>45</v>
      </c>
      <c r="J28" s="578" t="s">
        <v>46</v>
      </c>
      <c r="K28" s="580">
        <v>1970</v>
      </c>
      <c r="L28" s="581" t="s">
        <v>73</v>
      </c>
      <c r="M28" s="582" t="str">
        <f t="shared" si="1"/>
        <v>VC</v>
      </c>
      <c r="N28" s="583"/>
      <c r="O28" s="584" t="str">
        <f t="shared" si="2"/>
        <v>- -</v>
      </c>
      <c r="P28" s="585"/>
      <c r="Q28" s="586"/>
      <c r="R28" s="587"/>
      <c r="S28" s="588" t="s">
        <v>297</v>
      </c>
      <c r="T28" s="589" t="str">
        <f>VLOOKUP(Y28,'[2]- DLiêu Gốc -'!$C$2:$H$60,5,0)</f>
        <v>A2</v>
      </c>
      <c r="U28" s="590" t="str">
        <f>VLOOKUP(Y28,'[2]- DLiêu Gốc -'!$C$2:$H$60,6,0)</f>
        <v>A2.1</v>
      </c>
      <c r="V28" s="591" t="s">
        <v>65</v>
      </c>
      <c r="W28" s="592" t="str">
        <f t="shared" si="3"/>
        <v>Giảng viên chính</v>
      </c>
      <c r="X28" s="593" t="str">
        <f t="shared" si="4"/>
        <v>15.110</v>
      </c>
      <c r="Y28" s="594" t="s">
        <v>197</v>
      </c>
      <c r="Z28" s="594" t="str">
        <f>VLOOKUP(Y28,'[2]- DLiêu Gốc -'!$C$1:$H$133,2,0)</f>
        <v>15.110</v>
      </c>
      <c r="AA28" s="595" t="str">
        <f t="shared" si="5"/>
        <v>Lương</v>
      </c>
      <c r="AB28" s="596">
        <v>2</v>
      </c>
      <c r="AC28" s="597" t="str">
        <f t="shared" si="6"/>
        <v>/</v>
      </c>
      <c r="AD28" s="598">
        <f t="shared" si="7"/>
        <v>8</v>
      </c>
      <c r="AE28" s="599">
        <f t="shared" si="8"/>
        <v>4.74</v>
      </c>
      <c r="AF28" s="600"/>
      <c r="AG28" s="600"/>
      <c r="AH28" s="601"/>
      <c r="AI28" s="602" t="s">
        <v>46</v>
      </c>
      <c r="AJ28" s="603"/>
      <c r="AK28" s="602" t="s">
        <v>46</v>
      </c>
      <c r="AL28" s="604"/>
      <c r="AM28" s="605"/>
      <c r="AN28" s="606"/>
      <c r="AO28" s="607">
        <f t="shared" si="40"/>
        <v>3</v>
      </c>
      <c r="AP28" s="608" t="str">
        <f t="shared" si="41"/>
        <v>/</v>
      </c>
      <c r="AQ28" s="609">
        <f t="shared" si="42"/>
        <v>8</v>
      </c>
      <c r="AR28" s="610">
        <f t="shared" si="43"/>
        <v>5.08</v>
      </c>
      <c r="AS28" s="611"/>
      <c r="AT28" s="612" t="s">
        <v>37</v>
      </c>
      <c r="AU28" s="613" t="s">
        <v>46</v>
      </c>
      <c r="AV28" s="614" t="s">
        <v>41</v>
      </c>
      <c r="AW28" s="613" t="s">
        <v>46</v>
      </c>
      <c r="AX28" s="615">
        <v>2017</v>
      </c>
      <c r="AY28" s="616"/>
      <c r="AZ28" s="617"/>
      <c r="BA28" s="618"/>
      <c r="BB28" s="619">
        <f t="shared" si="9"/>
        <v>3</v>
      </c>
      <c r="BC28" s="620">
        <f t="shared" si="10"/>
        <v>-24212</v>
      </c>
      <c r="BD28" s="620">
        <f>VLOOKUP(Y28,'[2]- DLiêu Gốc -'!$C$1:$F$60,3,0)</f>
        <v>4.4000000000000004</v>
      </c>
      <c r="BE28" s="621">
        <f>VLOOKUP(Y28,'[2]- DLiêu Gốc -'!$C$1:$F$60,4,0)</f>
        <v>0.34</v>
      </c>
      <c r="BF28" s="622">
        <v>16</v>
      </c>
      <c r="BG28" s="623" t="s">
        <v>35</v>
      </c>
      <c r="BH28" s="624" t="s">
        <v>37</v>
      </c>
      <c r="BI28" s="625" t="s">
        <v>46</v>
      </c>
      <c r="BJ28" s="626" t="s">
        <v>51</v>
      </c>
      <c r="BK28" s="627" t="s">
        <v>46</v>
      </c>
      <c r="BL28" s="628">
        <v>2017</v>
      </c>
      <c r="BM28" s="629"/>
      <c r="BN28" s="630"/>
      <c r="BO28" s="631">
        <f t="shared" si="11"/>
        <v>17</v>
      </c>
      <c r="BP28" s="632" t="s">
        <v>35</v>
      </c>
      <c r="BQ28" s="633" t="s">
        <v>37</v>
      </c>
      <c r="BR28" s="613" t="s">
        <v>46</v>
      </c>
      <c r="BS28" s="626" t="s">
        <v>51</v>
      </c>
      <c r="BT28" s="634" t="s">
        <v>46</v>
      </c>
      <c r="BU28" s="635">
        <v>2018</v>
      </c>
      <c r="BV28" s="636"/>
      <c r="BW28" s="637"/>
      <c r="BX28" s="638"/>
      <c r="BY28" s="621" t="e">
        <f t="shared" si="12"/>
        <v>#VALUE!</v>
      </c>
      <c r="BZ28" s="639" t="str">
        <f t="shared" si="13"/>
        <v>- - -</v>
      </c>
      <c r="CA28" s="640" t="str">
        <f t="shared" si="14"/>
        <v>Chánh Văn phòng Học viện, Trưởng Ban Tổ chức - Cán bộ, Trưởng Phòng Khảo thí và Đảm bảo chất lượng đào tạo, bồi dưỡng</v>
      </c>
      <c r="CB28" s="641" t="str">
        <f t="shared" si="15"/>
        <v>A</v>
      </c>
      <c r="CC28" s="595" t="str">
        <f t="shared" si="44"/>
        <v>=&gt; s</v>
      </c>
      <c r="CD28" s="574">
        <f t="shared" si="16"/>
        <v>24236</v>
      </c>
      <c r="CE28" s="574" t="str">
        <f t="shared" si="17"/>
        <v>---</v>
      </c>
      <c r="CF28" s="642"/>
      <c r="CG28" s="574"/>
      <c r="CH28" s="643"/>
      <c r="CI28" s="574"/>
      <c r="CJ28" s="644" t="str">
        <f t="shared" si="18"/>
        <v>- - -</v>
      </c>
      <c r="CK28" s="645" t="str">
        <f t="shared" si="19"/>
        <v>- - -</v>
      </c>
      <c r="CL28" s="646"/>
      <c r="CM28" s="645"/>
      <c r="CN28" s="647"/>
      <c r="CO28" s="644"/>
      <c r="CP28" s="645" t="str">
        <f t="shared" si="20"/>
        <v>- - -</v>
      </c>
      <c r="CQ28" s="646"/>
      <c r="CR28" s="645"/>
      <c r="CS28" s="647"/>
      <c r="CT28" s="648"/>
      <c r="CU28" s="649" t="str">
        <f t="shared" si="21"/>
        <v>---</v>
      </c>
      <c r="CV28" s="650" t="str">
        <f t="shared" si="22"/>
        <v>/-/ /-/</v>
      </c>
      <c r="CW28" s="651">
        <f t="shared" si="23"/>
        <v>1</v>
      </c>
      <c r="CX28" s="650">
        <f t="shared" si="24"/>
        <v>2026</v>
      </c>
      <c r="CY28" s="651">
        <f t="shared" si="25"/>
        <v>10</v>
      </c>
      <c r="CZ28" s="650">
        <f t="shared" si="26"/>
        <v>2025</v>
      </c>
      <c r="DA28" s="651">
        <f t="shared" si="27"/>
        <v>7</v>
      </c>
      <c r="DB28" s="652">
        <f t="shared" si="28"/>
        <v>2025</v>
      </c>
      <c r="DC28" s="653" t="str">
        <f t="shared" si="29"/>
        <v>- - -</v>
      </c>
      <c r="DD28" s="653" t="str">
        <f t="shared" si="30"/>
        <v>. .</v>
      </c>
      <c r="DE28" s="595"/>
      <c r="DF28" s="595">
        <f t="shared" si="31"/>
        <v>660</v>
      </c>
      <c r="DG28" s="595">
        <f t="shared" si="32"/>
        <v>-23640</v>
      </c>
      <c r="DH28" s="595">
        <f t="shared" si="33"/>
        <v>-1970</v>
      </c>
      <c r="DI28" s="595" t="str">
        <f t="shared" si="34"/>
        <v>Nữ dưới 30</v>
      </c>
      <c r="DJ28" s="595"/>
      <c r="DK28" s="621"/>
      <c r="DL28" s="645" t="str">
        <f t="shared" si="35"/>
        <v>Đến 30</v>
      </c>
      <c r="DM28" s="654" t="str">
        <f t="shared" si="36"/>
        <v>--</v>
      </c>
      <c r="DN28" s="574"/>
      <c r="DO28" s="655"/>
      <c r="DP28" s="654"/>
      <c r="DQ28" s="647"/>
      <c r="DR28" s="656"/>
      <c r="DS28" s="657"/>
      <c r="DT28" s="658"/>
      <c r="DU28" s="635"/>
      <c r="DV28" s="659"/>
      <c r="DW28" s="612"/>
      <c r="DX28" s="614" t="s">
        <v>298</v>
      </c>
      <c r="DY28" s="614"/>
      <c r="DZ28" s="614" t="s">
        <v>37</v>
      </c>
      <c r="EA28" s="660" t="s">
        <v>46</v>
      </c>
      <c r="EB28" s="614">
        <v>10</v>
      </c>
      <c r="EC28" s="661" t="s">
        <v>46</v>
      </c>
      <c r="ED28" s="612">
        <v>2013</v>
      </c>
      <c r="EE28" s="614">
        <f t="shared" si="37"/>
        <v>0</v>
      </c>
      <c r="EF28" s="614" t="str">
        <f t="shared" si="38"/>
        <v>- - -</v>
      </c>
      <c r="EG28" s="614" t="s">
        <v>37</v>
      </c>
      <c r="EH28" s="660" t="s">
        <v>46</v>
      </c>
      <c r="EI28" s="574">
        <v>10</v>
      </c>
      <c r="EJ28" s="644" t="s">
        <v>46</v>
      </c>
      <c r="EK28" s="662">
        <v>2013</v>
      </c>
      <c r="EL28" s="635"/>
      <c r="EM28" s="663" t="str">
        <f t="shared" si="45"/>
        <v>- - -</v>
      </c>
      <c r="EN28" s="663" t="str">
        <f t="shared" si="39"/>
        <v>---</v>
      </c>
      <c r="EO28" s="663"/>
      <c r="EP28" s="663"/>
      <c r="EQ28" s="663"/>
      <c r="ER28" s="663"/>
      <c r="ES28" s="663"/>
      <c r="ET28" s="663"/>
      <c r="EU28" s="663"/>
      <c r="EV28" s="663"/>
      <c r="EW28" s="663"/>
      <c r="EX28" s="663"/>
      <c r="EY28" s="663"/>
      <c r="EZ28" s="663"/>
      <c r="FA28" s="663"/>
      <c r="FB28" s="663"/>
      <c r="FC28" s="663"/>
      <c r="FD28" s="663"/>
      <c r="FE28" s="663"/>
      <c r="FF28" s="663"/>
      <c r="FG28" s="663"/>
      <c r="FH28" s="663"/>
      <c r="FI28" s="663"/>
      <c r="FJ28" s="663"/>
      <c r="FK28" s="664"/>
      <c r="FL28" s="664"/>
      <c r="FM28" s="664"/>
      <c r="FN28" s="664"/>
      <c r="FO28" s="664"/>
    </row>
    <row r="29" spans="1:171" s="58" customFormat="1" ht="18.75" customHeight="1" x14ac:dyDescent="0.3">
      <c r="A29" s="59"/>
      <c r="B29" s="54"/>
      <c r="C29" s="66"/>
      <c r="D29" s="784"/>
      <c r="E29" s="784"/>
      <c r="F29" s="784"/>
      <c r="G29" s="784"/>
      <c r="H29" s="784"/>
      <c r="I29" s="784"/>
      <c r="J29" s="784"/>
      <c r="K29" s="784"/>
      <c r="L29" s="784"/>
      <c r="M29" s="784"/>
      <c r="N29" s="784"/>
      <c r="O29" s="784"/>
      <c r="P29" s="784"/>
      <c r="Q29" s="784"/>
      <c r="R29" s="784"/>
      <c r="S29" s="56"/>
      <c r="T29" s="56"/>
      <c r="U29" s="56"/>
      <c r="V29" s="57"/>
      <c r="W29" s="549"/>
      <c r="X29" s="785" t="s">
        <v>10</v>
      </c>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785"/>
      <c r="BQ29" s="785"/>
      <c r="BR29" s="785"/>
      <c r="BS29" s="785"/>
      <c r="BT29" s="785"/>
      <c r="BU29" s="785"/>
      <c r="BV29" s="175"/>
      <c r="BW29" s="175"/>
      <c r="BX29" s="175"/>
      <c r="BY29" s="175"/>
      <c r="BZ29" s="175"/>
      <c r="CA29" s="175"/>
      <c r="CB29" s="175"/>
      <c r="CC29" s="175"/>
      <c r="CE29" s="551"/>
      <c r="CF29" s="552"/>
      <c r="CH29" s="553"/>
    </row>
    <row r="30" spans="1:171" s="55" customFormat="1" ht="17.25" customHeight="1" x14ac:dyDescent="0.3">
      <c r="A30" s="53"/>
      <c r="B30" s="60"/>
      <c r="C30" s="61"/>
      <c r="D30" s="159"/>
      <c r="E30" s="160"/>
      <c r="F30" s="161"/>
      <c r="G30" s="162"/>
      <c r="H30" s="159"/>
      <c r="I30" s="163"/>
      <c r="J30" s="163"/>
      <c r="K30" s="163"/>
      <c r="L30" s="163"/>
      <c r="M30" s="163"/>
      <c r="N30" s="163"/>
      <c r="O30" s="163"/>
      <c r="P30" s="163"/>
      <c r="Q30" s="164"/>
      <c r="R30" s="164"/>
      <c r="S30" s="63"/>
      <c r="T30" s="63"/>
      <c r="U30" s="63"/>
      <c r="V30" s="64"/>
      <c r="W30" s="62"/>
      <c r="X30" s="786" t="s">
        <v>129</v>
      </c>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174"/>
      <c r="BW30" s="174"/>
      <c r="BX30" s="174"/>
      <c r="BY30" s="174"/>
      <c r="BZ30" s="174"/>
      <c r="CA30" s="174"/>
      <c r="CB30" s="174"/>
      <c r="CC30" s="174"/>
      <c r="CE30" s="554"/>
      <c r="CF30" s="555"/>
      <c r="CH30" s="556"/>
      <c r="CI30" s="143"/>
    </row>
    <row r="31" spans="1:171" s="443" customFormat="1" ht="4.5" customHeight="1" x14ac:dyDescent="0.2">
      <c r="R31" s="135"/>
      <c r="S31" s="144"/>
      <c r="W31" s="407"/>
      <c r="X31" s="359"/>
      <c r="AE31" s="359"/>
      <c r="AF31" s="359"/>
      <c r="AG31" s="359"/>
      <c r="AH31" s="359"/>
      <c r="AI31" s="359"/>
      <c r="AJ31" s="359"/>
      <c r="AK31" s="359"/>
      <c r="AL31" s="359"/>
      <c r="AM31" s="359"/>
      <c r="AN31" s="359"/>
      <c r="BE31" s="359"/>
      <c r="BI31" s="134"/>
      <c r="BJ31" s="75"/>
      <c r="BK31" s="134"/>
      <c r="BL31" s="134"/>
      <c r="BM31" s="337"/>
      <c r="BN31" s="134"/>
      <c r="BQ31" s="75"/>
      <c r="BR31" s="134"/>
      <c r="BS31" s="359"/>
      <c r="BT31" s="134"/>
      <c r="BU31" s="134"/>
      <c r="BX31" s="338"/>
      <c r="BY31" s="338"/>
      <c r="CE31" s="134"/>
      <c r="CF31" s="134"/>
    </row>
    <row r="32" spans="1:171" s="52" customFormat="1" ht="6" customHeight="1" x14ac:dyDescent="0.25">
      <c r="A32" s="10">
        <v>721</v>
      </c>
      <c r="B32" s="60"/>
      <c r="C32" s="61"/>
      <c r="D32" s="159"/>
      <c r="E32" s="160"/>
      <c r="F32" s="161"/>
      <c r="G32" s="162"/>
      <c r="H32" s="159"/>
      <c r="I32" s="165"/>
      <c r="J32" s="165"/>
      <c r="K32" s="165"/>
      <c r="L32" s="165"/>
      <c r="M32" s="165"/>
      <c r="N32" s="165"/>
      <c r="O32" s="165"/>
      <c r="P32" s="165"/>
      <c r="Q32" s="166"/>
      <c r="R32" s="166"/>
      <c r="S32" s="67"/>
      <c r="T32" s="67"/>
      <c r="U32" s="67"/>
      <c r="V32" s="68"/>
      <c r="W32" s="77"/>
      <c r="X32" s="77"/>
      <c r="Y32" s="65"/>
      <c r="Z32" s="65"/>
      <c r="AA32" s="787" t="s">
        <v>32</v>
      </c>
      <c r="AB32" s="787"/>
      <c r="AC32" s="787"/>
      <c r="AD32" s="787"/>
      <c r="AE32" s="787"/>
      <c r="AF32" s="787"/>
      <c r="AG32" s="787"/>
      <c r="AH32" s="787"/>
      <c r="AI32" s="787"/>
      <c r="AJ32" s="787"/>
      <c r="AK32" s="787"/>
      <c r="AL32" s="787"/>
      <c r="AM32" s="787"/>
      <c r="AN32" s="787"/>
      <c r="AO32" s="787"/>
      <c r="AP32" s="787"/>
      <c r="AQ32" s="787"/>
      <c r="AR32" s="787"/>
      <c r="AS32" s="787"/>
      <c r="AT32" s="787"/>
      <c r="AU32" s="787"/>
      <c r="AV32" s="787"/>
      <c r="AW32" s="787"/>
      <c r="AX32" s="787"/>
      <c r="AY32" s="787"/>
      <c r="AZ32" s="787"/>
      <c r="BA32" s="787"/>
      <c r="BB32" s="787"/>
      <c r="BC32" s="787"/>
      <c r="BD32" s="787"/>
      <c r="BE32" s="787"/>
      <c r="BF32" s="787"/>
      <c r="BG32" s="787"/>
      <c r="BH32" s="787"/>
      <c r="BI32" s="787"/>
      <c r="BJ32" s="787"/>
      <c r="BK32" s="787"/>
      <c r="BL32" s="787"/>
      <c r="BM32" s="787"/>
      <c r="BN32" s="787"/>
      <c r="BO32" s="787"/>
      <c r="BP32" s="787"/>
      <c r="BQ32" s="787"/>
      <c r="BR32" s="787"/>
      <c r="BS32" s="787"/>
      <c r="BT32" s="787"/>
      <c r="BU32" s="787"/>
      <c r="BV32" s="787"/>
      <c r="BW32" s="787"/>
      <c r="BX32" s="787"/>
      <c r="BY32" s="787"/>
      <c r="BZ32" s="787"/>
      <c r="CA32" s="787"/>
      <c r="CB32" s="787"/>
      <c r="CC32" s="787"/>
      <c r="CD32" s="557"/>
      <c r="CE32" s="558"/>
      <c r="CF32" s="559"/>
      <c r="CG32" s="10"/>
      <c r="CH32" s="560"/>
      <c r="CI32" s="561"/>
      <c r="CJ32" s="562"/>
      <c r="CK32" s="563"/>
      <c r="CL32" s="564"/>
      <c r="CM32" s="565"/>
      <c r="CN32" s="566"/>
      <c r="CO32" s="566"/>
      <c r="CP32" s="564"/>
      <c r="CQ32" s="567"/>
      <c r="CR32" s="568"/>
      <c r="CS32" s="568"/>
      <c r="CT32" s="8"/>
      <c r="CU32" s="8"/>
      <c r="CV32" s="8"/>
      <c r="CW32" s="8"/>
      <c r="CX32" s="8"/>
      <c r="CY32" s="8"/>
      <c r="CZ32" s="8"/>
      <c r="DA32" s="8"/>
      <c r="DB32" s="8"/>
      <c r="DC32" s="8"/>
      <c r="DD32" s="8"/>
      <c r="DE32" s="8"/>
      <c r="DF32" s="8"/>
      <c r="DG32" s="8"/>
      <c r="DH32" s="8"/>
      <c r="DI32" s="8"/>
      <c r="DJ32" s="46"/>
      <c r="DK32" s="47"/>
      <c r="DL32" s="11"/>
      <c r="DM32" s="6"/>
      <c r="DN32" s="48"/>
      <c r="DO32" s="12"/>
      <c r="DP32" s="49"/>
      <c r="DQ32" s="50"/>
      <c r="DR32" s="51"/>
      <c r="DS32" s="15"/>
      <c r="DT32" s="15"/>
      <c r="DU32" s="49"/>
      <c r="DV32" s="13"/>
      <c r="DW32" s="4"/>
      <c r="DX32" s="14"/>
      <c r="DY32" s="14"/>
    </row>
    <row r="33" spans="1:129" s="52" customFormat="1" ht="93.75" customHeight="1" x14ac:dyDescent="0.25">
      <c r="A33" s="10">
        <v>746</v>
      </c>
      <c r="C33" s="61"/>
      <c r="D33" s="159"/>
      <c r="E33" s="160"/>
      <c r="F33" s="161"/>
      <c r="G33" s="162"/>
      <c r="H33" s="159"/>
      <c r="I33" s="165"/>
      <c r="J33" s="165"/>
      <c r="K33" s="165"/>
      <c r="L33" s="165"/>
      <c r="M33" s="165"/>
      <c r="N33" s="165"/>
      <c r="O33" s="165"/>
      <c r="P33" s="165"/>
      <c r="Q33" s="166"/>
      <c r="R33" s="166"/>
      <c r="S33" s="67"/>
      <c r="T33" s="67"/>
      <c r="U33" s="67"/>
      <c r="V33" s="68"/>
      <c r="W33" s="77"/>
      <c r="X33" s="788" t="s">
        <v>130</v>
      </c>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88"/>
      <c r="BJ33" s="788"/>
      <c r="BK33" s="788"/>
      <c r="BL33" s="788"/>
      <c r="BM33" s="788"/>
      <c r="BN33" s="788"/>
      <c r="BO33" s="788"/>
      <c r="BP33" s="788"/>
      <c r="BQ33" s="788"/>
      <c r="BR33" s="788"/>
      <c r="BS33" s="788"/>
      <c r="BT33" s="788"/>
      <c r="BU33" s="788"/>
      <c r="BV33" s="548"/>
      <c r="BW33" s="548"/>
      <c r="BX33" s="548"/>
      <c r="BY33" s="548"/>
      <c r="BZ33" s="548"/>
      <c r="CA33" s="548"/>
      <c r="CB33" s="548"/>
      <c r="CC33" s="548"/>
      <c r="CD33" s="557"/>
      <c r="CE33" s="569"/>
      <c r="CF33" s="570"/>
      <c r="CG33" s="571"/>
      <c r="CH33" s="560"/>
      <c r="CI33" s="561"/>
      <c r="CJ33" s="562"/>
      <c r="CK33" s="563"/>
      <c r="CL33" s="564"/>
      <c r="CM33" s="565"/>
      <c r="CN33" s="566"/>
      <c r="CO33" s="566"/>
      <c r="CP33" s="564"/>
      <c r="CQ33" s="567"/>
      <c r="CR33" s="568"/>
      <c r="CS33" s="568"/>
      <c r="CT33" s="8"/>
      <c r="CU33" s="8"/>
      <c r="CV33" s="8"/>
      <c r="CW33" s="8"/>
      <c r="CX33" s="8"/>
      <c r="CY33" s="8"/>
      <c r="CZ33" s="8"/>
      <c r="DA33" s="8"/>
      <c r="DB33" s="8"/>
      <c r="DC33" s="8"/>
      <c r="DD33" s="8"/>
      <c r="DE33" s="8"/>
      <c r="DF33" s="8"/>
      <c r="DG33" s="8"/>
      <c r="DH33" s="8"/>
      <c r="DI33" s="8"/>
      <c r="DJ33" s="46"/>
      <c r="DK33" s="47"/>
      <c r="DL33" s="11"/>
      <c r="DM33" s="6"/>
      <c r="DN33" s="48"/>
      <c r="DO33" s="12"/>
      <c r="DP33" s="49"/>
      <c r="DQ33" s="50"/>
      <c r="DR33" s="51"/>
      <c r="DS33" s="15"/>
      <c r="DT33" s="15"/>
      <c r="DU33" s="49"/>
      <c r="DV33" s="13"/>
      <c r="DW33" s="4"/>
      <c r="DX33" s="14"/>
      <c r="DY33" s="14"/>
    </row>
    <row r="34" spans="1:129" s="52" customFormat="1" ht="17.25" x14ac:dyDescent="0.3">
      <c r="A34" s="10">
        <v>749</v>
      </c>
      <c r="B34" s="69"/>
      <c r="C34" s="61"/>
      <c r="D34" s="789"/>
      <c r="E34" s="789"/>
      <c r="F34" s="789"/>
      <c r="G34" s="789"/>
      <c r="H34" s="789"/>
      <c r="I34" s="789"/>
      <c r="J34" s="789"/>
      <c r="K34" s="789"/>
      <c r="L34" s="789"/>
      <c r="M34" s="789"/>
      <c r="N34" s="789"/>
      <c r="O34" s="789"/>
      <c r="P34" s="789"/>
      <c r="Q34" s="789"/>
      <c r="R34" s="789"/>
      <c r="S34" s="67"/>
      <c r="T34" s="67"/>
      <c r="U34" s="67"/>
      <c r="V34" s="68"/>
      <c r="W34" s="77"/>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c r="BI34" s="788"/>
      <c r="BJ34" s="788"/>
      <c r="BK34" s="788"/>
      <c r="BL34" s="788"/>
      <c r="BM34" s="788"/>
      <c r="BN34" s="788"/>
      <c r="BO34" s="788"/>
      <c r="BP34" s="788"/>
      <c r="BQ34" s="788"/>
      <c r="BR34" s="788"/>
      <c r="BS34" s="788"/>
      <c r="BT34" s="788"/>
      <c r="BU34" s="788"/>
      <c r="BV34" s="173"/>
      <c r="BW34" s="173"/>
      <c r="BX34" s="173"/>
      <c r="BY34" s="173"/>
      <c r="BZ34" s="173"/>
      <c r="CA34" s="173"/>
      <c r="CB34" s="173"/>
      <c r="CC34" s="173"/>
      <c r="CD34" s="572"/>
      <c r="CE34" s="18"/>
      <c r="CF34" s="573"/>
      <c r="CG34" s="561"/>
      <c r="CH34" s="560"/>
      <c r="CI34" s="561"/>
      <c r="CJ34" s="562"/>
      <c r="CK34" s="563"/>
      <c r="CL34" s="564"/>
      <c r="CM34" s="565"/>
      <c r="CN34" s="566"/>
      <c r="CO34" s="566"/>
      <c r="CP34" s="564"/>
      <c r="CQ34" s="567"/>
      <c r="CR34" s="568"/>
      <c r="CS34" s="568"/>
      <c r="CT34" s="8"/>
      <c r="CU34" s="8"/>
      <c r="CV34" s="8"/>
      <c r="CW34" s="8"/>
      <c r="CX34" s="8"/>
      <c r="CY34" s="8"/>
      <c r="CZ34" s="8"/>
      <c r="DA34" s="8"/>
      <c r="DB34" s="8"/>
      <c r="DC34" s="8"/>
      <c r="DD34" s="8"/>
      <c r="DE34" s="8"/>
      <c r="DF34" s="8"/>
      <c r="DG34" s="8"/>
      <c r="DH34" s="8"/>
      <c r="DI34" s="8"/>
      <c r="DJ34" s="46"/>
      <c r="DK34" s="47"/>
      <c r="DL34" s="11"/>
      <c r="DM34" s="6"/>
      <c r="DN34" s="48"/>
      <c r="DO34" s="12"/>
      <c r="DP34" s="49"/>
      <c r="DQ34" s="50"/>
      <c r="DR34" s="51"/>
      <c r="DS34" s="15"/>
      <c r="DT34" s="15"/>
      <c r="DU34" s="49"/>
      <c r="DV34" s="13"/>
      <c r="DW34" s="4"/>
      <c r="DX34" s="14"/>
      <c r="DY34" s="14"/>
    </row>
  </sheetData>
  <autoFilter ref="A16:ER34">
    <filterColumn colId="17" showButton="0"/>
    <filterColumn colId="21" showButton="0"/>
    <filterColumn colId="22" showButton="0"/>
    <filterColumn colId="57" showButton="0"/>
    <filterColumn colId="66" showButton="0"/>
    <filterColumn colId="70" showButton="0"/>
    <filterColumn colId="71" showButton="0"/>
  </autoFilter>
  <mergeCells count="37">
    <mergeCell ref="D29:R29"/>
    <mergeCell ref="X29:BU29"/>
    <mergeCell ref="X30:BU30"/>
    <mergeCell ref="AA32:CC32"/>
    <mergeCell ref="X33:BU34"/>
    <mergeCell ref="D34:R3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 ref="BJ13:BL14"/>
    <mergeCell ref="BX12:BX14"/>
    <mergeCell ref="CA12:CA14"/>
    <mergeCell ref="CB12:CB14"/>
    <mergeCell ref="BV12:BV14"/>
    <mergeCell ref="R16:S16"/>
    <mergeCell ref="V16:X16"/>
    <mergeCell ref="BF16:BG16"/>
    <mergeCell ref="BJ16:BL16"/>
    <mergeCell ref="BO16:BP16"/>
    <mergeCell ref="BM16:BN16"/>
    <mergeCell ref="BS16:BU16"/>
    <mergeCell ref="BO12:BU12"/>
    <mergeCell ref="BS13:BU14"/>
    <mergeCell ref="BO13:BP14"/>
    <mergeCell ref="BM12:BN13"/>
    <mergeCell ref="BF13:BG14"/>
  </mergeCells>
  <conditionalFormatting sqref="BX11">
    <cfRule type="cellIs" dxfId="45" priority="1209" stopIfTrue="1" operator="between">
      <formula>"720"</formula>
      <formula>"720"</formula>
    </cfRule>
    <cfRule type="cellIs" dxfId="44" priority="1210" stopIfTrue="1" operator="between">
      <formula>"660"</formula>
      <formula>"660"</formula>
    </cfRule>
  </conditionalFormatting>
  <conditionalFormatting sqref="DQ32:DQ34">
    <cfRule type="expression" dxfId="43" priority="43" stopIfTrue="1">
      <formula>IF(DR32&gt;0,1,0)</formula>
    </cfRule>
    <cfRule type="expression" dxfId="42" priority="44" stopIfTrue="1">
      <formula>IF(DR32=0,1,0)</formula>
    </cfRule>
  </conditionalFormatting>
  <conditionalFormatting sqref="DW32:DW34">
    <cfRule type="cellIs" dxfId="41" priority="40" stopIfTrue="1" operator="between">
      <formula>"Hưu"</formula>
      <formula>"Hưu"</formula>
    </cfRule>
    <cfRule type="cellIs" dxfId="40" priority="41" stopIfTrue="1" operator="between">
      <formula>"---"</formula>
      <formula>"---"</formula>
    </cfRule>
    <cfRule type="cellIs" dxfId="39" priority="42" stopIfTrue="1" operator="between">
      <formula>"Quá"</formula>
      <formula>"Quá"</formula>
    </cfRule>
  </conditionalFormatting>
  <conditionalFormatting sqref="DN32:DN34">
    <cfRule type="cellIs" dxfId="38" priority="37" stopIfTrue="1" operator="between">
      <formula>"Đến"</formula>
      <formula>"Đến"</formula>
    </cfRule>
    <cfRule type="cellIs" dxfId="37" priority="38" stopIfTrue="1" operator="between">
      <formula>"Quá"</formula>
      <formula>"Quá"</formula>
    </cfRule>
    <cfRule type="expression" dxfId="36" priority="39" stopIfTrue="1">
      <formula>IF(OR(DN32="Lương Sớm Hưu",DN32="Nâng Ngạch Hưu"),1,0)</formula>
    </cfRule>
  </conditionalFormatting>
  <conditionalFormatting sqref="DV32:DV34">
    <cfRule type="expression" dxfId="35" priority="34" stopIfTrue="1">
      <formula>IF(DV32="Nâg Ngạch sau TB",1,0)</formula>
    </cfRule>
    <cfRule type="expression" dxfId="34" priority="35" stopIfTrue="1">
      <formula>IF(DV32="Nâg Lươg Sớm sau TB",1,0)</formula>
    </cfRule>
    <cfRule type="expression" dxfId="33" priority="36" stopIfTrue="1">
      <formula>IF(DV32="Nâg PC TNVK cùng QĐ",1,0)</formula>
    </cfRule>
  </conditionalFormatting>
  <conditionalFormatting sqref="A32:A34">
    <cfRule type="expression" dxfId="32" priority="32" stopIfTrue="1">
      <formula>IF(#REF!="Hưu",1,0)</formula>
    </cfRule>
    <cfRule type="expression" dxfId="31" priority="33" stopIfTrue="1">
      <formula>IF(#REF!="Quá",1,0)</formula>
    </cfRule>
  </conditionalFormatting>
  <conditionalFormatting sqref="AV17:AV28 AJ17:AJ28">
    <cfRule type="expression" dxfId="30" priority="31" stopIfTrue="1">
      <formula>IF(AND(AP17=0,OR($AA$4-AJ17&gt;0,O$4-AJ17&lt;0)),1,0)</formula>
    </cfRule>
  </conditionalFormatting>
  <conditionalFormatting sqref="AA17:AA28">
    <cfRule type="cellIs" dxfId="29" priority="16" stopIfTrue="1" operator="between">
      <formula>"Đến $"</formula>
      <formula>"Đến $"</formula>
    </cfRule>
    <cfRule type="cellIs" dxfId="28" priority="17" stopIfTrue="1" operator="between">
      <formula>"Dừng $"</formula>
      <formula>"Dừng $"</formula>
    </cfRule>
  </conditionalFormatting>
  <conditionalFormatting sqref="AP17:AP28">
    <cfRule type="cellIs" dxfId="27" priority="29" stopIfTrue="1" operator="between">
      <formula>"%"</formula>
      <formula>"%"</formula>
    </cfRule>
    <cfRule type="expression" dxfId="26" priority="30" stopIfTrue="1">
      <formula>IF(AO17=AQ17,1,0)</formula>
    </cfRule>
  </conditionalFormatting>
  <conditionalFormatting sqref="O17:O28">
    <cfRule type="expression" dxfId="25" priority="28" stopIfTrue="1">
      <formula>IF(P17=0,1,0)</formula>
    </cfRule>
  </conditionalFormatting>
  <conditionalFormatting sqref="DN17:DN28">
    <cfRule type="expression" dxfId="24" priority="25" stopIfTrue="1">
      <formula>IF(FF17="Hưu",1,0)</formula>
    </cfRule>
    <cfRule type="expression" dxfId="23" priority="26" stopIfTrue="1">
      <formula>IF(FF17="Quá",1,0)</formula>
    </cfRule>
    <cfRule type="expression" dxfId="22" priority="27" stopIfTrue="1">
      <formula>IF(EN17="Lùi",1,0)</formula>
    </cfRule>
  </conditionalFormatting>
  <conditionalFormatting sqref="DU17:DU28">
    <cfRule type="expression" dxfId="21" priority="23" stopIfTrue="1">
      <formula>IF(FK17="Hưu",1,0)</formula>
    </cfRule>
    <cfRule type="expression" dxfId="20" priority="24" stopIfTrue="1">
      <formula>IF(FK17="Quá",1,0)</formula>
    </cfRule>
  </conditionalFormatting>
  <conditionalFormatting sqref="CU17:CU28">
    <cfRule type="cellIs" dxfId="19" priority="20" stopIfTrue="1" operator="between">
      <formula>"Hưu"</formula>
      <formula>"Hưu"</formula>
    </cfRule>
    <cfRule type="cellIs" dxfId="18" priority="21" stopIfTrue="1" operator="between">
      <formula>"---"</formula>
      <formula>"---"</formula>
    </cfRule>
    <cfRule type="cellIs" dxfId="17" priority="22" stopIfTrue="1" operator="between">
      <formula>"Quá"</formula>
      <formula>"Quá"</formula>
    </cfRule>
  </conditionalFormatting>
  <conditionalFormatting sqref="BE17:BE28">
    <cfRule type="expression" dxfId="16" priority="18" stopIfTrue="1">
      <formula>IF(BE17="Đến %",1,0)</formula>
    </cfRule>
    <cfRule type="expression" dxfId="15" priority="19" stopIfTrue="1">
      <formula>IF(BE17="Dừng %",1,0)</formula>
    </cfRule>
  </conditionalFormatting>
  <conditionalFormatting sqref="BW17:BW28">
    <cfRule type="cellIs" dxfId="14" priority="15" stopIfTrue="1" operator="between">
      <formula>0</formula>
      <formula>13</formula>
    </cfRule>
  </conditionalFormatting>
  <conditionalFormatting sqref="EC17:EC28">
    <cfRule type="expression" dxfId="13" priority="14" stopIfTrue="1">
      <formula>IF(EC17="Sửa",1,0)</formula>
    </cfRule>
  </conditionalFormatting>
  <conditionalFormatting sqref="N17:N28">
    <cfRule type="cellIs" dxfId="12" priority="13" stopIfTrue="1" operator="between">
      <formula>"Ko hạn"</formula>
      <formula>"Ko hạn"</formula>
    </cfRule>
  </conditionalFormatting>
  <conditionalFormatting sqref="Q17:Q28">
    <cfRule type="expression" dxfId="11" priority="12">
      <formula>IF(P17=0,1,0)</formula>
    </cfRule>
  </conditionalFormatting>
  <conditionalFormatting sqref="BJ17:BJ28">
    <cfRule type="expression" dxfId="10" priority="11" stopIfTrue="1">
      <formula>IF(AND(BS17=0,OR($AA$4-BJ17&gt;BS17,$AA$4-BJ17&lt;BS17)),1,0)</formula>
    </cfRule>
  </conditionalFormatting>
  <conditionalFormatting sqref="E17:E28">
    <cfRule type="expression" dxfId="9" priority="9" stopIfTrue="1">
      <formula>IF(CV17="Hưu",1,0)</formula>
    </cfRule>
    <cfRule type="expression" dxfId="8" priority="10" stopIfTrue="1">
      <formula>IF(CV17="Quá",1,0)</formula>
    </cfRule>
  </conditionalFormatting>
  <conditionalFormatting sqref="AM17:AM28">
    <cfRule type="expression" dxfId="7" priority="8" stopIfTrue="1">
      <formula>IF(AND(BB17=0,AM17&gt;0),1,0)</formula>
    </cfRule>
  </conditionalFormatting>
  <conditionalFormatting sqref="C17:C28">
    <cfRule type="expression" dxfId="6" priority="5" stopIfTrue="1">
      <formula>IF(CX17="Hưu",1,0)</formula>
    </cfRule>
    <cfRule type="expression" dxfId="5" priority="6" stopIfTrue="1">
      <formula>IF(CX17="Quá",1,0)</formula>
    </cfRule>
    <cfRule type="expression" dxfId="4" priority="7" stopIfTrue="1">
      <formula>IF(BC17="Lùi",1,0)</formula>
    </cfRule>
  </conditionalFormatting>
  <conditionalFormatting sqref="A17:A28">
    <cfRule type="expression" dxfId="3" priority="2" stopIfTrue="1">
      <formula>IF(CV17="Hưu",1,0)</formula>
    </cfRule>
    <cfRule type="expression" dxfId="2" priority="3" stopIfTrue="1">
      <formula>IF(CV17="Quá",1,0)</formula>
    </cfRule>
    <cfRule type="expression" dxfId="1" priority="4" stopIfTrue="1">
      <formula>IF(AM17="Lùi",1,0)</formula>
    </cfRule>
  </conditionalFormatting>
  <conditionalFormatting sqref="BS17:BS28">
    <cfRule type="expression" dxfId="0" priority="1" stopIfTrue="1">
      <formula>IF(AND(CB17=0,OR($AA$4-BS17&gt;CB17,$AA$4-BS17&lt;CB17)),1,0)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2018-03-14T09:35:48Z</cp:lastPrinted>
  <dcterms:created xsi:type="dcterms:W3CDTF">1996-10-14T23:33:28Z</dcterms:created>
  <dcterms:modified xsi:type="dcterms:W3CDTF">2018-11-07T03:48:38Z</dcterms:modified>
</cp:coreProperties>
</file>