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BẢNG LƯƠNG\$$$$$ - %%%%\@@@@. Luong + PCTN NG\1. Nâng (Lg + PC NG)\Luong, PCTN 2019\Lương+PC tháng 7.2019\"/>
    </mc:Choice>
  </mc:AlternateContent>
  <bookViews>
    <workbookView xWindow="0" yWindow="0" windowWidth="20460" windowHeight="7680" tabRatio="584" activeTab="1"/>
  </bookViews>
  <sheets>
    <sheet name="$-TBao1" sheetId="88" r:id="rId1"/>
    <sheet name="%-TBao2" sheetId="89" r:id="rId2"/>
  </sheets>
  <externalReferences>
    <externalReference r:id="rId3"/>
    <externalReference r:id="rId4"/>
    <externalReference r:id="rId5"/>
  </externalReferences>
  <definedNames>
    <definedName name="_xlnm._FilterDatabase" localSheetId="0" hidden="1">'$-TBao1'!$A$16:$ED$54</definedName>
    <definedName name="_xlnm._FilterDatabase" localSheetId="1" hidden="1">'%-TBao2'!$A$16:$ES$28</definedName>
    <definedName name="_xlnm.Print_Area" localSheetId="0">'$-TBao1'!$B$1:$FM$62</definedName>
    <definedName name="_xlnm.Print_Area" localSheetId="1">'%-TBao2'!$B$1:$BW$30</definedName>
    <definedName name="_xlnm.Print_Titles" localSheetId="0">'$-TBao1'!$11:$14</definedName>
    <definedName name="_xlnm.Print_Titles" localSheetId="1">'%-TBao2'!$12:$16</definedName>
  </definedNames>
  <calcPr calcId="152511"/>
</workbook>
</file>

<file path=xl/calcChain.xml><?xml version="1.0" encoding="utf-8"?>
<calcChain xmlns="http://schemas.openxmlformats.org/spreadsheetml/2006/main">
  <c r="U41" i="88" l="1"/>
  <c r="T41" i="88"/>
  <c r="Q41" i="88"/>
  <c r="O41" i="88" s="1"/>
  <c r="M41" i="88"/>
  <c r="Z41" i="88"/>
  <c r="AQ41" i="88"/>
  <c r="AR41" i="88" l="1"/>
  <c r="AS41" i="88"/>
  <c r="D17" i="88"/>
  <c r="Z17" i="88"/>
  <c r="D18" i="88"/>
  <c r="Z18" i="88"/>
  <c r="D19" i="88"/>
  <c r="Z19" i="88"/>
  <c r="D20" i="88"/>
  <c r="Z20" i="88"/>
  <c r="D21" i="88"/>
  <c r="Z21" i="88"/>
  <c r="D22" i="88"/>
  <c r="Z22" i="88"/>
  <c r="D23" i="88"/>
  <c r="Z23" i="88"/>
  <c r="D24" i="88"/>
  <c r="Z24" i="88"/>
  <c r="D25" i="88"/>
  <c r="Z25" i="88"/>
  <c r="D26" i="88"/>
  <c r="Z26" i="88"/>
  <c r="D27" i="88"/>
  <c r="Z27" i="88"/>
  <c r="D28" i="88"/>
  <c r="Z28" i="88"/>
  <c r="D29" i="88"/>
  <c r="Z29" i="88"/>
  <c r="D30" i="88"/>
  <c r="Z30" i="88"/>
  <c r="D31" i="88"/>
  <c r="Z31" i="88"/>
  <c r="D32" i="88"/>
  <c r="Z32" i="88"/>
  <c r="D33" i="88"/>
  <c r="Z33" i="88"/>
  <c r="D34" i="88"/>
  <c r="Z34" i="88"/>
  <c r="D38" i="88"/>
  <c r="Z38" i="88"/>
  <c r="Z39" i="88"/>
  <c r="EF61" i="89" l="1"/>
  <c r="EE61" i="89"/>
  <c r="DM61" i="89"/>
  <c r="DH61" i="89"/>
  <c r="DL61" i="89" s="1"/>
  <c r="DG61" i="89"/>
  <c r="DF61" i="89"/>
  <c r="DD61" i="89"/>
  <c r="CX61" i="89"/>
  <c r="DB61" i="89" s="1"/>
  <c r="CW61" i="89"/>
  <c r="DA61" i="89" s="1"/>
  <c r="CV61" i="89"/>
  <c r="CP61" i="89"/>
  <c r="CK61" i="89"/>
  <c r="CE61" i="89"/>
  <c r="CB61" i="89"/>
  <c r="CA61" i="89"/>
  <c r="BZ61" i="89"/>
  <c r="BY61" i="89"/>
  <c r="BP61" i="89"/>
  <c r="BF61" i="89"/>
  <c r="BE61" i="89"/>
  <c r="BD61" i="89"/>
  <c r="BC61" i="89"/>
  <c r="AO61" i="89"/>
  <c r="AE61" i="89"/>
  <c r="Z61" i="89"/>
  <c r="W61" i="89"/>
  <c r="U61" i="89"/>
  <c r="T61" i="89"/>
  <c r="Q61" i="89"/>
  <c r="O61" i="89" s="1"/>
  <c r="M61" i="89"/>
  <c r="D61" i="89"/>
  <c r="EE60" i="89"/>
  <c r="EF60" i="89" s="1"/>
  <c r="DM60" i="89"/>
  <c r="DH60" i="89"/>
  <c r="DI60" i="89" s="1"/>
  <c r="DG60" i="89"/>
  <c r="DF60" i="89"/>
  <c r="DD60" i="89"/>
  <c r="CW60" i="89"/>
  <c r="CY60" i="89" s="1"/>
  <c r="CP60" i="89"/>
  <c r="CK60" i="89"/>
  <c r="CE60" i="89"/>
  <c r="CB60" i="89"/>
  <c r="CA60" i="89"/>
  <c r="BY60" i="89"/>
  <c r="BP60" i="89"/>
  <c r="BF60" i="89"/>
  <c r="BE60" i="89"/>
  <c r="BD60" i="89"/>
  <c r="AE60" i="89" s="1"/>
  <c r="BC60" i="89"/>
  <c r="AO60" i="89"/>
  <c r="EM60" i="89" s="1"/>
  <c r="AD60" i="89"/>
  <c r="Z60" i="89"/>
  <c r="W60" i="89"/>
  <c r="U60" i="89"/>
  <c r="T60" i="89"/>
  <c r="Q60" i="89"/>
  <c r="O60" i="89" s="1"/>
  <c r="M60" i="89"/>
  <c r="D60" i="89"/>
  <c r="EF59" i="89"/>
  <c r="EE59" i="89"/>
  <c r="DM59" i="89"/>
  <c r="DH59" i="89"/>
  <c r="DL59" i="89" s="1"/>
  <c r="DG59" i="89"/>
  <c r="DF59" i="89"/>
  <c r="DD59" i="89"/>
  <c r="CX59" i="89"/>
  <c r="DB59" i="89" s="1"/>
  <c r="CW59" i="89"/>
  <c r="DA59" i="89" s="1"/>
  <c r="CP59" i="89"/>
  <c r="CK59" i="89"/>
  <c r="CE59" i="89"/>
  <c r="CB59" i="89"/>
  <c r="CA59" i="89"/>
  <c r="BY59" i="89"/>
  <c r="BP59" i="89"/>
  <c r="BF59" i="89"/>
  <c r="BE59" i="89"/>
  <c r="BD59" i="89"/>
  <c r="BC59" i="89"/>
  <c r="AO59" i="89"/>
  <c r="AE59" i="89"/>
  <c r="Z59" i="89"/>
  <c r="W59" i="89"/>
  <c r="X59" i="89" s="1"/>
  <c r="CJ59" i="89" s="1"/>
  <c r="U59" i="89"/>
  <c r="T59" i="89"/>
  <c r="Q59" i="89"/>
  <c r="O59" i="89" s="1"/>
  <c r="M59" i="89"/>
  <c r="D59" i="89"/>
  <c r="EE58" i="89"/>
  <c r="EF58" i="89" s="1"/>
  <c r="DM58" i="89"/>
  <c r="DL58" i="89"/>
  <c r="DH58" i="89"/>
  <c r="DI58" i="89" s="1"/>
  <c r="DG58" i="89"/>
  <c r="DF58" i="89"/>
  <c r="DD58" i="89"/>
  <c r="CW58" i="89"/>
  <c r="CP58" i="89"/>
  <c r="CK58" i="89"/>
  <c r="CE58" i="89"/>
  <c r="CB58" i="89"/>
  <c r="CA58" i="89"/>
  <c r="BY58" i="89"/>
  <c r="BP58" i="89"/>
  <c r="BF58" i="89"/>
  <c r="BE58" i="89"/>
  <c r="AD58" i="89" s="1"/>
  <c r="BB58" i="89" s="1"/>
  <c r="BD58" i="89"/>
  <c r="BC58" i="89"/>
  <c r="AO58" i="89"/>
  <c r="Z58" i="89"/>
  <c r="X58" i="89" s="1"/>
  <c r="CJ58" i="89" s="1"/>
  <c r="W58" i="89"/>
  <c r="U58" i="89"/>
  <c r="T58" i="89"/>
  <c r="Q58" i="89"/>
  <c r="O58" i="89" s="1"/>
  <c r="M58" i="89"/>
  <c r="D58" i="89"/>
  <c r="EE57" i="89"/>
  <c r="EF57" i="89" s="1"/>
  <c r="DM57" i="89"/>
  <c r="DI57" i="89"/>
  <c r="DH57" i="89"/>
  <c r="DL57" i="89" s="1"/>
  <c r="DG57" i="89"/>
  <c r="CV57" i="89" s="1"/>
  <c r="BZ57" i="89" s="1"/>
  <c r="DF57" i="89"/>
  <c r="DD57" i="89"/>
  <c r="CX57" i="89"/>
  <c r="CW57" i="89"/>
  <c r="DA57" i="89" s="1"/>
  <c r="CP57" i="89"/>
  <c r="CK57" i="89"/>
  <c r="CE57" i="89"/>
  <c r="CB57" i="89"/>
  <c r="CA57" i="89"/>
  <c r="BY57" i="89"/>
  <c r="BP57" i="89"/>
  <c r="BF57" i="89"/>
  <c r="BE57" i="89"/>
  <c r="BD57" i="89"/>
  <c r="BC57" i="89"/>
  <c r="AP57" i="89"/>
  <c r="AO57" i="89"/>
  <c r="Z57" i="89"/>
  <c r="W57" i="89"/>
  <c r="U57" i="89"/>
  <c r="T57" i="89"/>
  <c r="Q57" i="89"/>
  <c r="O57" i="89" s="1"/>
  <c r="M57" i="89"/>
  <c r="D57" i="89"/>
  <c r="EF56" i="89"/>
  <c r="EE56" i="89"/>
  <c r="DM56" i="89"/>
  <c r="DH56" i="89"/>
  <c r="DL56" i="89" s="1"/>
  <c r="DG56" i="89"/>
  <c r="DF56" i="89"/>
  <c r="DD56" i="89"/>
  <c r="CX56" i="89"/>
  <c r="DB56" i="89" s="1"/>
  <c r="CW56" i="89"/>
  <c r="DA56" i="89" s="1"/>
  <c r="CV56" i="89"/>
  <c r="CP56" i="89"/>
  <c r="CK56" i="89"/>
  <c r="CE56" i="89"/>
  <c r="CB56" i="89"/>
  <c r="CA56" i="89"/>
  <c r="BZ56" i="89"/>
  <c r="BY56" i="89"/>
  <c r="BP56" i="89"/>
  <c r="BF56" i="89"/>
  <c r="BE56" i="89"/>
  <c r="AE56" i="89" s="1"/>
  <c r="BD56" i="89"/>
  <c r="BC56" i="89"/>
  <c r="AO56" i="89"/>
  <c r="Z56" i="89"/>
  <c r="W56" i="89"/>
  <c r="U56" i="89"/>
  <c r="T56" i="89"/>
  <c r="Q56" i="89"/>
  <c r="O56" i="89" s="1"/>
  <c r="M56" i="89"/>
  <c r="D56" i="89"/>
  <c r="EE55" i="89"/>
  <c r="EF55" i="89" s="1"/>
  <c r="DM55" i="89"/>
  <c r="DH55" i="89"/>
  <c r="DI55" i="89" s="1"/>
  <c r="DG55" i="89"/>
  <c r="DF55" i="89"/>
  <c r="DD55" i="89"/>
  <c r="CY55" i="89"/>
  <c r="CW55" i="89"/>
  <c r="CP55" i="89"/>
  <c r="CK55" i="89"/>
  <c r="CE55" i="89"/>
  <c r="CB55" i="89"/>
  <c r="CA55" i="89"/>
  <c r="BY55" i="89"/>
  <c r="BP55" i="89"/>
  <c r="BF55" i="89"/>
  <c r="BE55" i="89"/>
  <c r="AD55" i="89" s="1"/>
  <c r="BD55" i="89"/>
  <c r="BC55" i="89"/>
  <c r="Z55" i="89"/>
  <c r="W55" i="89"/>
  <c r="U55" i="89"/>
  <c r="T55" i="89"/>
  <c r="Q55" i="89"/>
  <c r="O55" i="89" s="1"/>
  <c r="M55" i="89"/>
  <c r="D55" i="89"/>
  <c r="EE54" i="89"/>
  <c r="EF54" i="89" s="1"/>
  <c r="DM54" i="89"/>
  <c r="DH54" i="89"/>
  <c r="DI54" i="89" s="1"/>
  <c r="DG54" i="89"/>
  <c r="DF54" i="89"/>
  <c r="DD54" i="89"/>
  <c r="CW54" i="89"/>
  <c r="CY54" i="89" s="1"/>
  <c r="CP54" i="89"/>
  <c r="CK54" i="89"/>
  <c r="CE54" i="89"/>
  <c r="CB54" i="89"/>
  <c r="CA54" i="89"/>
  <c r="BY54" i="89"/>
  <c r="BP54" i="89"/>
  <c r="BF54" i="89"/>
  <c r="BE54" i="89"/>
  <c r="BD54" i="89"/>
  <c r="AE54" i="89" s="1"/>
  <c r="BC54" i="89"/>
  <c r="AO54" i="89"/>
  <c r="AD54" i="89"/>
  <c r="BB54" i="89" s="1"/>
  <c r="Z54" i="89"/>
  <c r="W54" i="89"/>
  <c r="U54" i="89"/>
  <c r="T54" i="89"/>
  <c r="Q54" i="89"/>
  <c r="O54" i="89" s="1"/>
  <c r="M54" i="89"/>
  <c r="D54" i="89"/>
  <c r="EF53" i="89"/>
  <c r="EE53" i="89"/>
  <c r="DM53" i="89"/>
  <c r="DH53" i="89"/>
  <c r="DL53" i="89" s="1"/>
  <c r="DG53" i="89"/>
  <c r="DF53" i="89"/>
  <c r="DD53" i="89"/>
  <c r="CX53" i="89"/>
  <c r="DB53" i="89" s="1"/>
  <c r="CW53" i="89"/>
  <c r="DA53" i="89" s="1"/>
  <c r="CV53" i="89"/>
  <c r="CP53" i="89"/>
  <c r="CK53" i="89"/>
  <c r="CE53" i="89"/>
  <c r="CB53" i="89"/>
  <c r="CA53" i="89"/>
  <c r="BZ53" i="89"/>
  <c r="BY53" i="89"/>
  <c r="BP53" i="89"/>
  <c r="BF53" i="89"/>
  <c r="BE53" i="89"/>
  <c r="BD53" i="89"/>
  <c r="BC53" i="89"/>
  <c r="AO53" i="89"/>
  <c r="Z53" i="89"/>
  <c r="W53" i="89"/>
  <c r="U53" i="89"/>
  <c r="T53" i="89"/>
  <c r="Q53" i="89"/>
  <c r="O53" i="89" s="1"/>
  <c r="M53" i="89"/>
  <c r="D53" i="89"/>
  <c r="X54" i="89" l="1"/>
  <c r="CJ54" i="89" s="1"/>
  <c r="X55" i="89"/>
  <c r="CJ55" i="89" s="1"/>
  <c r="CC55" i="89" s="1"/>
  <c r="X57" i="89"/>
  <c r="CJ57" i="89" s="1"/>
  <c r="EM58" i="89"/>
  <c r="X60" i="89"/>
  <c r="CJ60" i="89" s="1"/>
  <c r="CD58" i="89"/>
  <c r="AA58" i="89"/>
  <c r="CD54" i="89"/>
  <c r="CC54" i="89" s="1"/>
  <c r="AA54" i="89"/>
  <c r="AR55" i="89"/>
  <c r="BB55" i="89"/>
  <c r="CD55" i="89" s="1"/>
  <c r="AQ55" i="89"/>
  <c r="AC55" i="89"/>
  <c r="DI53" i="89"/>
  <c r="EM54" i="89"/>
  <c r="EM55" i="89"/>
  <c r="DI56" i="89"/>
  <c r="DB57" i="89"/>
  <c r="AE58" i="89"/>
  <c r="CV59" i="89"/>
  <c r="DI59" i="89"/>
  <c r="DI61" i="89"/>
  <c r="EM53" i="89"/>
  <c r="AD53" i="89"/>
  <c r="DA54" i="89"/>
  <c r="DL54" i="89"/>
  <c r="AE53" i="89"/>
  <c r="X53" i="89"/>
  <c r="CJ53" i="89" s="1"/>
  <c r="EN53" i="89"/>
  <c r="AR54" i="89"/>
  <c r="AP54" i="89"/>
  <c r="AC54" i="89"/>
  <c r="AQ54" i="89"/>
  <c r="CX54" i="89"/>
  <c r="DB54" i="89" s="1"/>
  <c r="CV54" i="89"/>
  <c r="BZ59" i="89"/>
  <c r="EN59" i="89"/>
  <c r="EM57" i="89"/>
  <c r="BB57" i="89"/>
  <c r="DC57" i="89"/>
  <c r="CU57" i="89" s="1"/>
  <c r="DA58" i="89"/>
  <c r="AR60" i="89"/>
  <c r="AP60" i="89"/>
  <c r="AC60" i="89"/>
  <c r="AQ60" i="89"/>
  <c r="CX60" i="89"/>
  <c r="CZ60" i="89" s="1"/>
  <c r="CV60" i="89"/>
  <c r="EM61" i="89"/>
  <c r="AD61" i="89"/>
  <c r="AE55" i="89"/>
  <c r="CX55" i="89"/>
  <c r="CZ55" i="89" s="1"/>
  <c r="CV55" i="89"/>
  <c r="EM56" i="89"/>
  <c r="AD56" i="89"/>
  <c r="CY53" i="89"/>
  <c r="CZ53" i="89" s="1"/>
  <c r="AA55" i="89"/>
  <c r="AP55" i="89"/>
  <c r="DA55" i="89"/>
  <c r="DL55" i="89"/>
  <c r="X56" i="89"/>
  <c r="CJ56" i="89" s="1"/>
  <c r="EN56" i="89"/>
  <c r="AR57" i="89"/>
  <c r="EN57" i="89"/>
  <c r="AR58" i="89"/>
  <c r="AP58" i="89"/>
  <c r="AC58" i="89"/>
  <c r="AQ58" i="89"/>
  <c r="CC58" i="89"/>
  <c r="CY58" i="89"/>
  <c r="CX58" i="89"/>
  <c r="DB58" i="89" s="1"/>
  <c r="CV58" i="89"/>
  <c r="EM59" i="89"/>
  <c r="AD59" i="89"/>
  <c r="BB60" i="89"/>
  <c r="DA60" i="89"/>
  <c r="DL60" i="89"/>
  <c r="X61" i="89"/>
  <c r="CJ61" i="89" s="1"/>
  <c r="EN61" i="89"/>
  <c r="CY56" i="89"/>
  <c r="CZ56" i="89" s="1"/>
  <c r="AQ57" i="89"/>
  <c r="CY57" i="89"/>
  <c r="CZ57" i="89" s="1"/>
  <c r="CY59" i="89"/>
  <c r="CZ59" i="89" s="1"/>
  <c r="CY61" i="89"/>
  <c r="CZ61" i="89" s="1"/>
  <c r="DB60" i="89" l="1"/>
  <c r="DB55" i="89"/>
  <c r="CZ54" i="89"/>
  <c r="CD60" i="89"/>
  <c r="CC60" i="89" s="1"/>
  <c r="AA60" i="89"/>
  <c r="EN58" i="89"/>
  <c r="BZ58" i="89"/>
  <c r="DC58" i="89"/>
  <c r="CU58" i="89" s="1"/>
  <c r="CZ58" i="89"/>
  <c r="EN60" i="89"/>
  <c r="BZ60" i="89"/>
  <c r="DC60" i="89"/>
  <c r="CU60" i="89" s="1"/>
  <c r="CD57" i="89"/>
  <c r="CC57" i="89" s="1"/>
  <c r="AA57" i="89"/>
  <c r="BB53" i="89"/>
  <c r="AQ53" i="89"/>
  <c r="AR53" i="89"/>
  <c r="AC53" i="89"/>
  <c r="AP53" i="89"/>
  <c r="BB59" i="89"/>
  <c r="AQ59" i="89"/>
  <c r="AP59" i="89"/>
  <c r="AR59" i="89"/>
  <c r="AC59" i="89"/>
  <c r="BB56" i="89"/>
  <c r="AQ56" i="89"/>
  <c r="AR56" i="89"/>
  <c r="AC56" i="89"/>
  <c r="AP56" i="89"/>
  <c r="EN55" i="89"/>
  <c r="BZ55" i="89"/>
  <c r="DC55" i="89"/>
  <c r="BB61" i="89"/>
  <c r="AQ61" i="89"/>
  <c r="AR61" i="89"/>
  <c r="AC61" i="89"/>
  <c r="AP61" i="89"/>
  <c r="EN54" i="89"/>
  <c r="BZ54" i="89"/>
  <c r="DC54" i="89"/>
  <c r="CU54" i="89" l="1"/>
  <c r="CU55" i="89"/>
  <c r="CD61" i="89"/>
  <c r="CC61" i="89" s="1"/>
  <c r="AA61" i="89"/>
  <c r="DC61" i="89"/>
  <c r="CU61" i="89" s="1"/>
  <c r="CD59" i="89"/>
  <c r="CC59" i="89" s="1"/>
  <c r="AA59" i="89"/>
  <c r="DC59" i="89"/>
  <c r="CU59" i="89" s="1"/>
  <c r="CD56" i="89"/>
  <c r="CC56" i="89" s="1"/>
  <c r="AA56" i="89"/>
  <c r="DC56" i="89"/>
  <c r="CU56" i="89" s="1"/>
  <c r="CD53" i="89"/>
  <c r="CC53" i="89" s="1"/>
  <c r="DC53" i="89"/>
  <c r="CU53" i="89" s="1"/>
  <c r="AA53" i="89"/>
  <c r="EE41" i="88" l="1"/>
  <c r="EF41" i="88" s="1"/>
  <c r="DM41" i="88"/>
  <c r="DH41" i="88"/>
  <c r="DL41" i="88" s="1"/>
  <c r="DG41" i="88"/>
  <c r="DF41" i="88"/>
  <c r="DD41" i="88"/>
  <c r="CX41" i="88"/>
  <c r="CW41" i="88"/>
  <c r="CP41" i="88"/>
  <c r="CK41" i="88"/>
  <c r="CE41" i="88"/>
  <c r="CB41" i="88"/>
  <c r="CA41" i="88"/>
  <c r="BY41" i="88"/>
  <c r="BP41" i="88"/>
  <c r="BF41" i="88"/>
  <c r="BE41" i="88"/>
  <c r="BD41" i="88"/>
  <c r="BC41" i="88"/>
  <c r="D41" i="88"/>
  <c r="BF39" i="88"/>
  <c r="BE39" i="88"/>
  <c r="BB39" i="88" s="1"/>
  <c r="BD39" i="88"/>
  <c r="BC39" i="88"/>
  <c r="AA39" i="88" s="1"/>
  <c r="EE38" i="88"/>
  <c r="EF38" i="88" s="1"/>
  <c r="DM38" i="88"/>
  <c r="DH38" i="88"/>
  <c r="DI38" i="88" s="1"/>
  <c r="DG38" i="88"/>
  <c r="DF38" i="88"/>
  <c r="DD38" i="88"/>
  <c r="CW38" i="88"/>
  <c r="CY38" i="88" s="1"/>
  <c r="CP38" i="88"/>
  <c r="CK38" i="88"/>
  <c r="CE38" i="88"/>
  <c r="CB38" i="88"/>
  <c r="CA38" i="88"/>
  <c r="BY38" i="88"/>
  <c r="BF38" i="88" s="1"/>
  <c r="BE38" i="88"/>
  <c r="BD38" i="88"/>
  <c r="BC38" i="88"/>
  <c r="CJ38" i="88"/>
  <c r="EE34" i="88"/>
  <c r="EF34" i="88" s="1"/>
  <c r="DM34" i="88"/>
  <c r="DH34" i="88"/>
  <c r="DL34" i="88" s="1"/>
  <c r="DG34" i="88"/>
  <c r="DF34" i="88"/>
  <c r="DD34" i="88"/>
  <c r="CX34" i="88"/>
  <c r="CW34" i="88"/>
  <c r="DA34" i="88" s="1"/>
  <c r="CP34" i="88"/>
  <c r="CK34" i="88"/>
  <c r="CE34" i="88"/>
  <c r="CB34" i="88"/>
  <c r="CA34" i="88"/>
  <c r="BY34" i="88"/>
  <c r="BF34" i="88" s="1"/>
  <c r="BE34" i="88"/>
  <c r="BD34" i="88"/>
  <c r="BC34" i="88"/>
  <c r="EE33" i="88"/>
  <c r="EF33" i="88" s="1"/>
  <c r="DM33" i="88"/>
  <c r="DH33" i="88"/>
  <c r="DI33" i="88" s="1"/>
  <c r="DG33" i="88"/>
  <c r="DF33" i="88"/>
  <c r="DD33" i="88"/>
  <c r="CW33" i="88"/>
  <c r="DA33" i="88" s="1"/>
  <c r="CP33" i="88"/>
  <c r="CK33" i="88"/>
  <c r="CE33" i="88"/>
  <c r="CB33" i="88"/>
  <c r="CA33" i="88"/>
  <c r="BY33" i="88"/>
  <c r="BF33" i="88" s="1"/>
  <c r="BE33" i="88"/>
  <c r="BD33" i="88"/>
  <c r="BC33" i="88"/>
  <c r="EE32" i="88"/>
  <c r="EF32" i="88" s="1"/>
  <c r="DM32" i="88"/>
  <c r="DH32" i="88"/>
  <c r="DL32" i="88" s="1"/>
  <c r="DG32" i="88"/>
  <c r="DF32" i="88"/>
  <c r="DD32" i="88"/>
  <c r="CX32" i="88"/>
  <c r="CW32" i="88"/>
  <c r="DA32" i="88" s="1"/>
  <c r="CP32" i="88"/>
  <c r="CK32" i="88"/>
  <c r="CE32" i="88"/>
  <c r="CB32" i="88"/>
  <c r="CA32" i="88"/>
  <c r="BY32" i="88"/>
  <c r="BF32" i="88" s="1"/>
  <c r="BE32" i="88"/>
  <c r="AR32" i="88" s="1"/>
  <c r="BD32" i="88"/>
  <c r="BC32" i="88"/>
  <c r="EE31" i="88"/>
  <c r="EF31" i="88" s="1"/>
  <c r="DM31" i="88"/>
  <c r="DH31" i="88"/>
  <c r="DG31" i="88"/>
  <c r="DF31" i="88"/>
  <c r="DD31" i="88"/>
  <c r="CW31" i="88"/>
  <c r="CY31" i="88" s="1"/>
  <c r="CP31" i="88"/>
  <c r="CK31" i="88"/>
  <c r="CE31" i="88"/>
  <c r="CB31" i="88"/>
  <c r="CA31" i="88"/>
  <c r="BY31" i="88"/>
  <c r="BF31" i="88" s="1"/>
  <c r="BE31" i="88"/>
  <c r="AR31" i="88" s="1"/>
  <c r="BD31" i="88"/>
  <c r="BC31" i="88"/>
  <c r="CJ31" i="88"/>
  <c r="EE30" i="88"/>
  <c r="EF30" i="88" s="1"/>
  <c r="DM30" i="88"/>
  <c r="DH30" i="88"/>
  <c r="DL30" i="88" s="1"/>
  <c r="DG30" i="88"/>
  <c r="DF30" i="88"/>
  <c r="CX30" i="88" s="1"/>
  <c r="DD30" i="88"/>
  <c r="CW30" i="88"/>
  <c r="DA30" i="88" s="1"/>
  <c r="CP30" i="88"/>
  <c r="CK30" i="88"/>
  <c r="CE30" i="88"/>
  <c r="CB30" i="88"/>
  <c r="CA30" i="88"/>
  <c r="BY30" i="88"/>
  <c r="BF30" i="88" s="1"/>
  <c r="BE30" i="88"/>
  <c r="BD30" i="88"/>
  <c r="BC30" i="88"/>
  <c r="CJ30" i="88"/>
  <c r="EE29" i="88"/>
  <c r="EF29" i="88" s="1"/>
  <c r="DM29" i="88"/>
  <c r="DH29" i="88"/>
  <c r="DI29" i="88" s="1"/>
  <c r="DG29" i="88"/>
  <c r="DF29" i="88"/>
  <c r="DD29" i="88"/>
  <c r="CW29" i="88"/>
  <c r="DA29" i="88" s="1"/>
  <c r="CP29" i="88"/>
  <c r="CK29" i="88"/>
  <c r="CE29" i="88"/>
  <c r="CB29" i="88"/>
  <c r="CA29" i="88"/>
  <c r="BY29" i="88"/>
  <c r="BF29" i="88" s="1"/>
  <c r="BE29" i="88"/>
  <c r="BD29" i="88"/>
  <c r="BC29" i="88"/>
  <c r="CJ29" i="88"/>
  <c r="EE28" i="88"/>
  <c r="EF28" i="88" s="1"/>
  <c r="DM28" i="88"/>
  <c r="DH28" i="88"/>
  <c r="DI28" i="88" s="1"/>
  <c r="DG28" i="88"/>
  <c r="DF28" i="88"/>
  <c r="DD28" i="88"/>
  <c r="CW28" i="88"/>
  <c r="CY28" i="88" s="1"/>
  <c r="CP28" i="88"/>
  <c r="CK28" i="88"/>
  <c r="CE28" i="88"/>
  <c r="CB28" i="88"/>
  <c r="CA28" i="88"/>
  <c r="BY28" i="88"/>
  <c r="BF28" i="88" s="1"/>
  <c r="BE28" i="88"/>
  <c r="AR28" i="88" s="1"/>
  <c r="BD28" i="88"/>
  <c r="BC28" i="88"/>
  <c r="CJ28" i="88"/>
  <c r="EE27" i="88"/>
  <c r="EF27" i="88" s="1"/>
  <c r="DM27" i="88"/>
  <c r="DH27" i="88"/>
  <c r="DL27" i="88" s="1"/>
  <c r="DG27" i="88"/>
  <c r="DF27" i="88"/>
  <c r="DD27" i="88"/>
  <c r="CX27" i="88"/>
  <c r="CW27" i="88"/>
  <c r="DA27" i="88" s="1"/>
  <c r="CP27" i="88"/>
  <c r="CK27" i="88"/>
  <c r="CE27" i="88"/>
  <c r="CB27" i="88"/>
  <c r="CA27" i="88"/>
  <c r="BY27" i="88"/>
  <c r="BF27" i="88" s="1"/>
  <c r="BE27" i="88"/>
  <c r="BD27" i="88"/>
  <c r="BC27" i="88"/>
  <c r="EE26" i="88"/>
  <c r="EF26" i="88" s="1"/>
  <c r="DM26" i="88"/>
  <c r="DH26" i="88"/>
  <c r="DI26" i="88" s="1"/>
  <c r="DG26" i="88"/>
  <c r="DF26" i="88"/>
  <c r="DD26" i="88"/>
  <c r="CW26" i="88"/>
  <c r="CP26" i="88"/>
  <c r="CK26" i="88"/>
  <c r="CE26" i="88"/>
  <c r="CB26" i="88"/>
  <c r="CA26" i="88"/>
  <c r="BY26" i="88"/>
  <c r="BF26" i="88" s="1"/>
  <c r="BE26" i="88"/>
  <c r="BD26" i="88"/>
  <c r="BC26" i="88"/>
  <c r="EE25" i="88"/>
  <c r="EF25" i="88" s="1"/>
  <c r="DM25" i="88"/>
  <c r="DH25" i="88"/>
  <c r="DL25" i="88" s="1"/>
  <c r="DG25" i="88"/>
  <c r="DF25" i="88"/>
  <c r="DD25" i="88"/>
  <c r="CX25" i="88"/>
  <c r="CW25" i="88"/>
  <c r="DA25" i="88" s="1"/>
  <c r="CP25" i="88"/>
  <c r="CK25" i="88"/>
  <c r="CE25" i="88"/>
  <c r="CB25" i="88"/>
  <c r="CA25" i="88"/>
  <c r="BY25" i="88"/>
  <c r="BF25" i="88" s="1"/>
  <c r="BE25" i="88"/>
  <c r="AR25" i="88" s="1"/>
  <c r="BD25" i="88"/>
  <c r="BC25" i="88"/>
  <c r="EE24" i="88"/>
  <c r="EF24" i="88" s="1"/>
  <c r="DM24" i="88"/>
  <c r="DH24" i="88"/>
  <c r="DG24" i="88"/>
  <c r="DF24" i="88"/>
  <c r="DD24" i="88"/>
  <c r="CW24" i="88"/>
  <c r="CY24" i="88" s="1"/>
  <c r="CP24" i="88"/>
  <c r="CK24" i="88"/>
  <c r="CE24" i="88"/>
  <c r="CB24" i="88"/>
  <c r="CA24" i="88"/>
  <c r="BY24" i="88"/>
  <c r="BF24" i="88" s="1"/>
  <c r="BE24" i="88"/>
  <c r="AR24" i="88" s="1"/>
  <c r="BD24" i="88"/>
  <c r="BC24" i="88"/>
  <c r="CJ24" i="88"/>
  <c r="EE23" i="88"/>
  <c r="EF23" i="88" s="1"/>
  <c r="DM23" i="88"/>
  <c r="DH23" i="88"/>
  <c r="DL23" i="88" s="1"/>
  <c r="DG23" i="88"/>
  <c r="DF23" i="88"/>
  <c r="CX23" i="88" s="1"/>
  <c r="DD23" i="88"/>
  <c r="CW23" i="88"/>
  <c r="DA23" i="88" s="1"/>
  <c r="CP23" i="88"/>
  <c r="CK23" i="88"/>
  <c r="CE23" i="88"/>
  <c r="CB23" i="88"/>
  <c r="CA23" i="88"/>
  <c r="BY23" i="88"/>
  <c r="BF23" i="88" s="1"/>
  <c r="BE23" i="88"/>
  <c r="BD23" i="88"/>
  <c r="BC23" i="88"/>
  <c r="EE22" i="88"/>
  <c r="EF22" i="88" s="1"/>
  <c r="DM22" i="88"/>
  <c r="DH22" i="88"/>
  <c r="DI22" i="88" s="1"/>
  <c r="DG22" i="88"/>
  <c r="DF22" i="88"/>
  <c r="DD22" i="88"/>
  <c r="CW22" i="88"/>
  <c r="CP22" i="88"/>
  <c r="CK22" i="88"/>
  <c r="CE22" i="88"/>
  <c r="CB22" i="88"/>
  <c r="CA22" i="88"/>
  <c r="BY22" i="88"/>
  <c r="BP22" i="88"/>
  <c r="BF22" i="88"/>
  <c r="BE22" i="88"/>
  <c r="BD22" i="88"/>
  <c r="BC22" i="88"/>
  <c r="EE21" i="88"/>
  <c r="EF21" i="88" s="1"/>
  <c r="DM21" i="88"/>
  <c r="DH21" i="88"/>
  <c r="DI21" i="88" s="1"/>
  <c r="DG21" i="88"/>
  <c r="DF21" i="88"/>
  <c r="DD21" i="88"/>
  <c r="CW21" i="88"/>
  <c r="CP21" i="88"/>
  <c r="CK21" i="88"/>
  <c r="CE21" i="88"/>
  <c r="CB21" i="88"/>
  <c r="CA21" i="88"/>
  <c r="BY21" i="88"/>
  <c r="BP21" i="88"/>
  <c r="BF21" i="88"/>
  <c r="BE21" i="88"/>
  <c r="BD21" i="88"/>
  <c r="BC21" i="88"/>
  <c r="EE20" i="88"/>
  <c r="EF20" i="88" s="1"/>
  <c r="DM20" i="88"/>
  <c r="DH20" i="88"/>
  <c r="DI20" i="88" s="1"/>
  <c r="DG20" i="88"/>
  <c r="DF20" i="88"/>
  <c r="DD20" i="88"/>
  <c r="CW20" i="88"/>
  <c r="DA20" i="88" s="1"/>
  <c r="CP20" i="88"/>
  <c r="CK20" i="88"/>
  <c r="CE20" i="88"/>
  <c r="CB20" i="88"/>
  <c r="CA20" i="88"/>
  <c r="BY20" i="88"/>
  <c r="BF20" i="88" s="1"/>
  <c r="BE20" i="88"/>
  <c r="BD20" i="88"/>
  <c r="BC20" i="88"/>
  <c r="EE19" i="88"/>
  <c r="EF19" i="88" s="1"/>
  <c r="DM19" i="88"/>
  <c r="DH19" i="88"/>
  <c r="DL19" i="88" s="1"/>
  <c r="DG19" i="88"/>
  <c r="DF19" i="88"/>
  <c r="DD19" i="88"/>
  <c r="CX19" i="88"/>
  <c r="CW19" i="88"/>
  <c r="DA19" i="88" s="1"/>
  <c r="CP19" i="88"/>
  <c r="CK19" i="88"/>
  <c r="CE19" i="88"/>
  <c r="CB19" i="88"/>
  <c r="CA19" i="88"/>
  <c r="BY19" i="88"/>
  <c r="BF19" i="88" s="1"/>
  <c r="BE19" i="88"/>
  <c r="AR19" i="88" s="1"/>
  <c r="BD19" i="88"/>
  <c r="BC19" i="88"/>
  <c r="EE18" i="88"/>
  <c r="EF18" i="88" s="1"/>
  <c r="DM18" i="88"/>
  <c r="DH18" i="88"/>
  <c r="DI18" i="88" s="1"/>
  <c r="DG18" i="88"/>
  <c r="DF18" i="88"/>
  <c r="DD18" i="88"/>
  <c r="CW18" i="88"/>
  <c r="CP18" i="88"/>
  <c r="CK18" i="88"/>
  <c r="CE18" i="88"/>
  <c r="CB18" i="88"/>
  <c r="CA18" i="88"/>
  <c r="BY18" i="88"/>
  <c r="BF18" i="88" s="1"/>
  <c r="BE18" i="88"/>
  <c r="BD18" i="88"/>
  <c r="BC18" i="88"/>
  <c r="EE17" i="88"/>
  <c r="EF17" i="88" s="1"/>
  <c r="DH17" i="88"/>
  <c r="DI17" i="88" s="1"/>
  <c r="DG17" i="88"/>
  <c r="DF17" i="88"/>
  <c r="CX17" i="88" s="1"/>
  <c r="DD17" i="88"/>
  <c r="CW17" i="88"/>
  <c r="DB17" i="88" s="1"/>
  <c r="CP17" i="88"/>
  <c r="CK17" i="88"/>
  <c r="CE17" i="88"/>
  <c r="CB17" i="88"/>
  <c r="CA17" i="88"/>
  <c r="BY17" i="88"/>
  <c r="BF17" i="88" s="1"/>
  <c r="BE17" i="88"/>
  <c r="AR17" i="88" s="1"/>
  <c r="BD17" i="88"/>
  <c r="BC17" i="88"/>
  <c r="BF85" i="88"/>
  <c r="BE85" i="88"/>
  <c r="BB85" i="88" s="1"/>
  <c r="BD85" i="88"/>
  <c r="BC85" i="88"/>
  <c r="AO85" i="88"/>
  <c r="AQ85" i="88" s="1"/>
  <c r="Z85" i="88"/>
  <c r="W85" i="88"/>
  <c r="U85" i="88"/>
  <c r="T85" i="88"/>
  <c r="M85" i="88"/>
  <c r="EE84" i="88"/>
  <c r="EF84" i="88" s="1"/>
  <c r="DM84" i="88"/>
  <c r="DH84" i="88"/>
  <c r="DL84" i="88" s="1"/>
  <c r="DG84" i="88"/>
  <c r="DF84" i="88"/>
  <c r="DD84" i="88"/>
  <c r="CX84" i="88"/>
  <c r="CW84" i="88"/>
  <c r="DA84" i="88" s="1"/>
  <c r="CP84" i="88"/>
  <c r="CK84" i="88"/>
  <c r="CE84" i="88"/>
  <c r="CB84" i="88"/>
  <c r="CA84" i="88"/>
  <c r="BY84" i="88"/>
  <c r="BF84" i="88" s="1"/>
  <c r="BE84" i="88"/>
  <c r="BB84" i="88" s="1"/>
  <c r="BD84" i="88"/>
  <c r="BC84" i="88"/>
  <c r="AP84" i="88"/>
  <c r="AO84" i="88"/>
  <c r="Z84" i="88"/>
  <c r="W84" i="88"/>
  <c r="X84" i="88" s="1"/>
  <c r="CJ84" i="88" s="1"/>
  <c r="U84" i="88"/>
  <c r="T84" i="88"/>
  <c r="Q84" i="88"/>
  <c r="O84" i="88" s="1"/>
  <c r="M84" i="88"/>
  <c r="D84" i="88"/>
  <c r="EE83" i="88"/>
  <c r="EF83" i="88" s="1"/>
  <c r="DM83" i="88"/>
  <c r="DH83" i="88"/>
  <c r="DG83" i="88"/>
  <c r="DF83" i="88"/>
  <c r="DD83" i="88"/>
  <c r="CW83" i="88"/>
  <c r="CY83" i="88" s="1"/>
  <c r="CP83" i="88"/>
  <c r="CK83" i="88"/>
  <c r="CE83" i="88"/>
  <c r="CB83" i="88"/>
  <c r="CA83" i="88"/>
  <c r="BY83" i="88"/>
  <c r="BF83" i="88" s="1"/>
  <c r="BE83" i="88"/>
  <c r="BD83" i="88"/>
  <c r="BC83" i="88"/>
  <c r="AP83" i="88"/>
  <c r="AO83" i="88"/>
  <c r="AQ83" i="88" s="1"/>
  <c r="Z83" i="88"/>
  <c r="W83" i="88"/>
  <c r="U83" i="88"/>
  <c r="T83" i="88"/>
  <c r="Q83" i="88"/>
  <c r="O83" i="88" s="1"/>
  <c r="M83" i="88"/>
  <c r="D83" i="88"/>
  <c r="EE82" i="88"/>
  <c r="EF82" i="88" s="1"/>
  <c r="DM82" i="88"/>
  <c r="DH82" i="88"/>
  <c r="DL82" i="88" s="1"/>
  <c r="DG82" i="88"/>
  <c r="DF82" i="88"/>
  <c r="DD82" i="88"/>
  <c r="CX82" i="88"/>
  <c r="CW82" i="88"/>
  <c r="DA82" i="88" s="1"/>
  <c r="CP82" i="88"/>
  <c r="CK82" i="88"/>
  <c r="CE82" i="88"/>
  <c r="CB82" i="88"/>
  <c r="CA82" i="88"/>
  <c r="BY82" i="88"/>
  <c r="BF82" i="88" s="1"/>
  <c r="BE82" i="88"/>
  <c r="BB82" i="88" s="1"/>
  <c r="BD82" i="88"/>
  <c r="BC82" i="88"/>
  <c r="AP82" i="88"/>
  <c r="AO82" i="88"/>
  <c r="Z82" i="88"/>
  <c r="W82" i="88"/>
  <c r="U82" i="88"/>
  <c r="T82" i="88"/>
  <c r="Q82" i="88"/>
  <c r="O82" i="88" s="1"/>
  <c r="M82" i="88"/>
  <c r="D82" i="88"/>
  <c r="EE81" i="88"/>
  <c r="EF81" i="88" s="1"/>
  <c r="DM81" i="88"/>
  <c r="DH81" i="88"/>
  <c r="DI81" i="88" s="1"/>
  <c r="DG81" i="88"/>
  <c r="DF81" i="88"/>
  <c r="DD81" i="88"/>
  <c r="CW81" i="88"/>
  <c r="DA81" i="88" s="1"/>
  <c r="CP81" i="88"/>
  <c r="CK81" i="88"/>
  <c r="CE81" i="88"/>
  <c r="CB81" i="88"/>
  <c r="CA81" i="88"/>
  <c r="BY81" i="88"/>
  <c r="BF81" i="88" s="1"/>
  <c r="BE81" i="88"/>
  <c r="BB81" i="88" s="1"/>
  <c r="CD81" i="88" s="1"/>
  <c r="BD81" i="88"/>
  <c r="BC81" i="88"/>
  <c r="AA81" i="88" s="1"/>
  <c r="AP81" i="88"/>
  <c r="AO81" i="88"/>
  <c r="AQ81" i="88" s="1"/>
  <c r="Z81" i="88"/>
  <c r="W81" i="88"/>
  <c r="U81" i="88"/>
  <c r="T81" i="88"/>
  <c r="Q81" i="88"/>
  <c r="O81" i="88" s="1"/>
  <c r="M81" i="88"/>
  <c r="D81" i="88"/>
  <c r="EE80" i="88"/>
  <c r="EF80" i="88" s="1"/>
  <c r="DM80" i="88"/>
  <c r="DH80" i="88"/>
  <c r="DL80" i="88" s="1"/>
  <c r="DG80" i="88"/>
  <c r="DF80" i="88"/>
  <c r="DD80" i="88"/>
  <c r="CX80" i="88"/>
  <c r="CW80" i="88"/>
  <c r="DA80" i="88" s="1"/>
  <c r="CP80" i="88"/>
  <c r="CK80" i="88"/>
  <c r="CE80" i="88"/>
  <c r="CB80" i="88"/>
  <c r="CA80" i="88"/>
  <c r="BY80" i="88"/>
  <c r="BF80" i="88" s="1"/>
  <c r="BE80" i="88"/>
  <c r="BB80" i="88" s="1"/>
  <c r="AA80" i="88" s="1"/>
  <c r="BD80" i="88"/>
  <c r="BC80" i="88"/>
  <c r="AP80" i="88"/>
  <c r="AO80" i="88"/>
  <c r="Z80" i="88"/>
  <c r="W80" i="88"/>
  <c r="X80" i="88" s="1"/>
  <c r="CJ80" i="88" s="1"/>
  <c r="U80" i="88"/>
  <c r="T80" i="88"/>
  <c r="Q80" i="88"/>
  <c r="O80" i="88" s="1"/>
  <c r="M80" i="88"/>
  <c r="D80" i="88"/>
  <c r="EE79" i="88"/>
  <c r="EF79" i="88" s="1"/>
  <c r="DM79" i="88"/>
  <c r="DH79" i="88"/>
  <c r="DG79" i="88"/>
  <c r="DF79" i="88"/>
  <c r="DD79" i="88"/>
  <c r="CW79" i="88"/>
  <c r="CY79" i="88" s="1"/>
  <c r="CP79" i="88"/>
  <c r="CK79" i="88"/>
  <c r="CE79" i="88"/>
  <c r="CB79" i="88"/>
  <c r="CA79" i="88"/>
  <c r="BY79" i="88"/>
  <c r="BF79" i="88" s="1"/>
  <c r="BE79" i="88"/>
  <c r="BD79" i="88"/>
  <c r="BC79" i="88"/>
  <c r="AP79" i="88"/>
  <c r="AO79" i="88"/>
  <c r="AQ79" i="88" s="1"/>
  <c r="Z79" i="88"/>
  <c r="W79" i="88"/>
  <c r="X79" i="88" s="1"/>
  <c r="CJ79" i="88" s="1"/>
  <c r="U79" i="88"/>
  <c r="T79" i="88"/>
  <c r="Q79" i="88"/>
  <c r="O79" i="88" s="1"/>
  <c r="M79" i="88"/>
  <c r="D79" i="88"/>
  <c r="EE78" i="88"/>
  <c r="EF78" i="88" s="1"/>
  <c r="DM78" i="88"/>
  <c r="DH78" i="88"/>
  <c r="DL78" i="88" s="1"/>
  <c r="DG78" i="88"/>
  <c r="DF78" i="88"/>
  <c r="DD78" i="88"/>
  <c r="CX78" i="88"/>
  <c r="CW78" i="88"/>
  <c r="DA78" i="88" s="1"/>
  <c r="CP78" i="88"/>
  <c r="CK78" i="88"/>
  <c r="CE78" i="88"/>
  <c r="CB78" i="88"/>
  <c r="CA78" i="88"/>
  <c r="BY78" i="88"/>
  <c r="BF78" i="88" s="1"/>
  <c r="BE78" i="88"/>
  <c r="BB78" i="88" s="1"/>
  <c r="BD78" i="88"/>
  <c r="BC78" i="88"/>
  <c r="AP78" i="88"/>
  <c r="AO78" i="88"/>
  <c r="Z78" i="88"/>
  <c r="W78" i="88"/>
  <c r="X78" i="88" s="1"/>
  <c r="CJ78" i="88" s="1"/>
  <c r="U78" i="88"/>
  <c r="T78" i="88"/>
  <c r="Q78" i="88"/>
  <c r="O78" i="88" s="1"/>
  <c r="M78" i="88"/>
  <c r="D78" i="88"/>
  <c r="EE77" i="88"/>
  <c r="EF77" i="88" s="1"/>
  <c r="DM77" i="88"/>
  <c r="DH77" i="88"/>
  <c r="DI77" i="88" s="1"/>
  <c r="DG77" i="88"/>
  <c r="DF77" i="88"/>
  <c r="CX77" i="88" s="1"/>
  <c r="DD77" i="88"/>
  <c r="CW77" i="88"/>
  <c r="CP77" i="88"/>
  <c r="CK77" i="88"/>
  <c r="CE77" i="88"/>
  <c r="CB77" i="88"/>
  <c r="CA77" i="88"/>
  <c r="BY77" i="88"/>
  <c r="BF77" i="88" s="1"/>
  <c r="BE77" i="88"/>
  <c r="AR77" i="88" s="1"/>
  <c r="BD77" i="88"/>
  <c r="BC77" i="88"/>
  <c r="AP77" i="88"/>
  <c r="AO77" i="88"/>
  <c r="AQ77" i="88" s="1"/>
  <c r="Z77" i="88"/>
  <c r="W77" i="88"/>
  <c r="X77" i="88" s="1"/>
  <c r="CJ77" i="88" s="1"/>
  <c r="U77" i="88"/>
  <c r="T77" i="88"/>
  <c r="Q77" i="88"/>
  <c r="O77" i="88" s="1"/>
  <c r="M77" i="88"/>
  <c r="D77" i="88"/>
  <c r="EE76" i="88"/>
  <c r="EF76" i="88" s="1"/>
  <c r="DM76" i="88"/>
  <c r="DH76" i="88"/>
  <c r="DL76" i="88" s="1"/>
  <c r="DG76" i="88"/>
  <c r="DF76" i="88"/>
  <c r="DD76" i="88"/>
  <c r="CX76" i="88"/>
  <c r="CW76" i="88"/>
  <c r="DA76" i="88" s="1"/>
  <c r="CP76" i="88"/>
  <c r="CK76" i="88"/>
  <c r="CE76" i="88"/>
  <c r="CB76" i="88"/>
  <c r="CA76" i="88"/>
  <c r="BY76" i="88"/>
  <c r="BF76" i="88" s="1"/>
  <c r="BE76" i="88"/>
  <c r="BB76" i="88" s="1"/>
  <c r="BD76" i="88"/>
  <c r="BC76" i="88"/>
  <c r="AP76" i="88"/>
  <c r="AO76" i="88"/>
  <c r="Z76" i="88"/>
  <c r="W76" i="88"/>
  <c r="U76" i="88"/>
  <c r="T76" i="88"/>
  <c r="Q76" i="88"/>
  <c r="O76" i="88" s="1"/>
  <c r="M76" i="88"/>
  <c r="D76" i="88"/>
  <c r="EE75" i="88"/>
  <c r="EF75" i="88" s="1"/>
  <c r="DM75" i="88"/>
  <c r="DH75" i="88"/>
  <c r="DI75" i="88" s="1"/>
  <c r="DG75" i="88"/>
  <c r="DF75" i="88"/>
  <c r="DD75" i="88"/>
  <c r="CW75" i="88"/>
  <c r="CY75" i="88" s="1"/>
  <c r="CP75" i="88"/>
  <c r="CK75" i="88"/>
  <c r="CE75" i="88"/>
  <c r="CB75" i="88"/>
  <c r="CA75" i="88"/>
  <c r="BY75" i="88"/>
  <c r="BF75" i="88" s="1"/>
  <c r="BE75" i="88"/>
  <c r="BB75" i="88" s="1"/>
  <c r="CD75" i="88" s="1"/>
  <c r="BD75" i="88"/>
  <c r="BC75" i="88"/>
  <c r="AP75" i="88"/>
  <c r="AO75" i="88"/>
  <c r="AQ75" i="88" s="1"/>
  <c r="Z75" i="88"/>
  <c r="W75" i="88"/>
  <c r="U75" i="88"/>
  <c r="T75" i="88"/>
  <c r="Q75" i="88"/>
  <c r="O75" i="88" s="1"/>
  <c r="M75" i="88"/>
  <c r="D75" i="88"/>
  <c r="EE74" i="88"/>
  <c r="EF74" i="88" s="1"/>
  <c r="DM74" i="88"/>
  <c r="DH74" i="88"/>
  <c r="DL74" i="88" s="1"/>
  <c r="DG74" i="88"/>
  <c r="DF74" i="88"/>
  <c r="DD74" i="88"/>
  <c r="CX74" i="88"/>
  <c r="CW74" i="88"/>
  <c r="DA74" i="88" s="1"/>
  <c r="CP74" i="88"/>
  <c r="CK74" i="88"/>
  <c r="CE74" i="88"/>
  <c r="CB74" i="88"/>
  <c r="CA74" i="88"/>
  <c r="BY74" i="88"/>
  <c r="BF74" i="88" s="1"/>
  <c r="BE74" i="88"/>
  <c r="BB74" i="88" s="1"/>
  <c r="BD74" i="88"/>
  <c r="BC74" i="88"/>
  <c r="AP74" i="88"/>
  <c r="AO74" i="88"/>
  <c r="Z74" i="88"/>
  <c r="W74" i="88"/>
  <c r="U74" i="88"/>
  <c r="T74" i="88"/>
  <c r="Q74" i="88"/>
  <c r="O74" i="88" s="1"/>
  <c r="M74" i="88"/>
  <c r="D74" i="88"/>
  <c r="EE73" i="88"/>
  <c r="EF73" i="88" s="1"/>
  <c r="DM73" i="88"/>
  <c r="DH73" i="88"/>
  <c r="DI73" i="88" s="1"/>
  <c r="DG73" i="88"/>
  <c r="DF73" i="88"/>
  <c r="DD73" i="88"/>
  <c r="CW73" i="88"/>
  <c r="CY73" i="88" s="1"/>
  <c r="CP73" i="88"/>
  <c r="CK73" i="88"/>
  <c r="CE73" i="88"/>
  <c r="CB73" i="88"/>
  <c r="CA73" i="88"/>
  <c r="BY73" i="88"/>
  <c r="BF73" i="88" s="1"/>
  <c r="BE73" i="88"/>
  <c r="BD73" i="88"/>
  <c r="BC73" i="88"/>
  <c r="AP73" i="88"/>
  <c r="AO73" i="88"/>
  <c r="AQ73" i="88" s="1"/>
  <c r="Z73" i="88"/>
  <c r="W73" i="88"/>
  <c r="X73" i="88" s="1"/>
  <c r="CJ73" i="88" s="1"/>
  <c r="U73" i="88"/>
  <c r="T73" i="88"/>
  <c r="Q73" i="88"/>
  <c r="O73" i="88" s="1"/>
  <c r="M73" i="88"/>
  <c r="D73" i="88"/>
  <c r="EE72" i="88"/>
  <c r="EF72" i="88" s="1"/>
  <c r="DM72" i="88"/>
  <c r="DH72" i="88"/>
  <c r="DL72" i="88" s="1"/>
  <c r="DG72" i="88"/>
  <c r="DF72" i="88"/>
  <c r="DD72" i="88"/>
  <c r="CX72" i="88"/>
  <c r="CW72" i="88"/>
  <c r="DA72" i="88" s="1"/>
  <c r="CP72" i="88"/>
  <c r="CK72" i="88"/>
  <c r="CE72" i="88"/>
  <c r="CB72" i="88"/>
  <c r="CA72" i="88"/>
  <c r="BY72" i="88"/>
  <c r="BF72" i="88" s="1"/>
  <c r="BE72" i="88"/>
  <c r="BB72" i="88" s="1"/>
  <c r="CD72" i="88" s="1"/>
  <c r="BD72" i="88"/>
  <c r="BC72" i="88"/>
  <c r="AP72" i="88"/>
  <c r="AO72" i="88"/>
  <c r="AQ72" i="88" s="1"/>
  <c r="Z72" i="88"/>
  <c r="W72" i="88"/>
  <c r="U72" i="88"/>
  <c r="T72" i="88"/>
  <c r="Q72" i="88"/>
  <c r="O72" i="88" s="1"/>
  <c r="M72" i="88"/>
  <c r="D72" i="88"/>
  <c r="EE71" i="88"/>
  <c r="EF71" i="88" s="1"/>
  <c r="DM71" i="88"/>
  <c r="DH71" i="88"/>
  <c r="DL71" i="88" s="1"/>
  <c r="DG71" i="88"/>
  <c r="DF71" i="88"/>
  <c r="CX71" i="88" s="1"/>
  <c r="DD71" i="88"/>
  <c r="CW71" i="88"/>
  <c r="DA71" i="88" s="1"/>
  <c r="CP71" i="88"/>
  <c r="CK71" i="88"/>
  <c r="CE71" i="88"/>
  <c r="CB71" i="88"/>
  <c r="CA71" i="88"/>
  <c r="BY71" i="88"/>
  <c r="BF71" i="88" s="1"/>
  <c r="BP71" i="88"/>
  <c r="BE71" i="88"/>
  <c r="BB71" i="88" s="1"/>
  <c r="CD71" i="88" s="1"/>
  <c r="BD71" i="88"/>
  <c r="BC71" i="88"/>
  <c r="AR71" i="88"/>
  <c r="AP71" i="88"/>
  <c r="AO71" i="88"/>
  <c r="Z71" i="88"/>
  <c r="W71" i="88"/>
  <c r="U71" i="88"/>
  <c r="T71" i="88"/>
  <c r="Q71" i="88"/>
  <c r="O71" i="88" s="1"/>
  <c r="M71" i="88"/>
  <c r="D71" i="88"/>
  <c r="EE70" i="88"/>
  <c r="EF70" i="88" s="1"/>
  <c r="DM70" i="88"/>
  <c r="DH70" i="88"/>
  <c r="DL70" i="88" s="1"/>
  <c r="DG70" i="88"/>
  <c r="DF70" i="88"/>
  <c r="CX70" i="88" s="1"/>
  <c r="DD70" i="88"/>
  <c r="CW70" i="88"/>
  <c r="DA70" i="88" s="1"/>
  <c r="CP70" i="88"/>
  <c r="CK70" i="88"/>
  <c r="CE70" i="88"/>
  <c r="CB70" i="88"/>
  <c r="CA70" i="88"/>
  <c r="BY70" i="88"/>
  <c r="BF70" i="88" s="1"/>
  <c r="BE70" i="88"/>
  <c r="BD70" i="88"/>
  <c r="BC70" i="88"/>
  <c r="AS70" i="88"/>
  <c r="AR70" i="88"/>
  <c r="AG70" i="88"/>
  <c r="Z70" i="88"/>
  <c r="W70" i="88"/>
  <c r="X70" i="88" s="1"/>
  <c r="CJ70" i="88" s="1"/>
  <c r="U70" i="88"/>
  <c r="T70" i="88"/>
  <c r="Q70" i="88"/>
  <c r="O70" i="88" s="1"/>
  <c r="M70" i="88"/>
  <c r="D70" i="88"/>
  <c r="EE69" i="88"/>
  <c r="EF69" i="88" s="1"/>
  <c r="DM69" i="88"/>
  <c r="DH69" i="88"/>
  <c r="DL69" i="88" s="1"/>
  <c r="DG69" i="88"/>
  <c r="DF69" i="88"/>
  <c r="CX69" i="88" s="1"/>
  <c r="DD69" i="88"/>
  <c r="CW69" i="88"/>
  <c r="DA69" i="88" s="1"/>
  <c r="CP69" i="88"/>
  <c r="CK69" i="88"/>
  <c r="CE69" i="88"/>
  <c r="CB69" i="88"/>
  <c r="CA69" i="88"/>
  <c r="BY69" i="88"/>
  <c r="BF69" i="88" s="1"/>
  <c r="BP69" i="88"/>
  <c r="BE69" i="88"/>
  <c r="BB69" i="88" s="1"/>
  <c r="CD69" i="88" s="1"/>
  <c r="BD69" i="88"/>
  <c r="BC69" i="88"/>
  <c r="AP69" i="88"/>
  <c r="AO69" i="88"/>
  <c r="Z69" i="88"/>
  <c r="W69" i="88"/>
  <c r="U69" i="88"/>
  <c r="T69" i="88"/>
  <c r="Q69" i="88"/>
  <c r="O69" i="88" s="1"/>
  <c r="M69" i="88"/>
  <c r="D69" i="88"/>
  <c r="EE68" i="88"/>
  <c r="EF68" i="88" s="1"/>
  <c r="DM68" i="88"/>
  <c r="DH68" i="88"/>
  <c r="DL68" i="88" s="1"/>
  <c r="DG68" i="88"/>
  <c r="DF68" i="88"/>
  <c r="CX68" i="88" s="1"/>
  <c r="DD68" i="88"/>
  <c r="CW68" i="88"/>
  <c r="DA68" i="88" s="1"/>
  <c r="CP68" i="88"/>
  <c r="CK68" i="88"/>
  <c r="CE68" i="88"/>
  <c r="CB68" i="88"/>
  <c r="CA68" i="88"/>
  <c r="BY68" i="88"/>
  <c r="BF68" i="88" s="1"/>
  <c r="BE68" i="88"/>
  <c r="BD68" i="88"/>
  <c r="BC68" i="88"/>
  <c r="AP68" i="88"/>
  <c r="AO68" i="88"/>
  <c r="AQ68" i="88" s="1"/>
  <c r="Z68" i="88"/>
  <c r="W68" i="88"/>
  <c r="U68" i="88"/>
  <c r="T68" i="88"/>
  <c r="Q68" i="88"/>
  <c r="O68" i="88" s="1"/>
  <c r="M68" i="88"/>
  <c r="D68" i="88"/>
  <c r="EE67" i="88"/>
  <c r="EF67" i="88" s="1"/>
  <c r="DM67" i="88"/>
  <c r="DH67" i="88"/>
  <c r="DG67" i="88"/>
  <c r="DF67" i="88"/>
  <c r="DD67" i="88"/>
  <c r="CX67" i="88"/>
  <c r="CW67" i="88"/>
  <c r="DA67" i="88" s="1"/>
  <c r="CP67" i="88"/>
  <c r="CK67" i="88"/>
  <c r="CE67" i="88"/>
  <c r="CB67" i="88"/>
  <c r="CA67" i="88"/>
  <c r="BY67" i="88"/>
  <c r="BF67" i="88" s="1"/>
  <c r="BE67" i="88"/>
  <c r="BB67" i="88" s="1"/>
  <c r="CD67" i="88" s="1"/>
  <c r="BD67" i="88"/>
  <c r="BC67" i="88"/>
  <c r="AP67" i="88"/>
  <c r="AO67" i="88"/>
  <c r="AQ67" i="88" s="1"/>
  <c r="Z67" i="88"/>
  <c r="W67" i="88"/>
  <c r="U67" i="88"/>
  <c r="T67" i="88"/>
  <c r="Q67" i="88"/>
  <c r="O67" i="88" s="1"/>
  <c r="M67" i="88"/>
  <c r="D67" i="88"/>
  <c r="EE66" i="88"/>
  <c r="EF66" i="88" s="1"/>
  <c r="DM66" i="88"/>
  <c r="DH66" i="88"/>
  <c r="DL66" i="88" s="1"/>
  <c r="DG66" i="88"/>
  <c r="DF66" i="88"/>
  <c r="CX66" i="88" s="1"/>
  <c r="DD66" i="88"/>
  <c r="CW66" i="88"/>
  <c r="DA66" i="88" s="1"/>
  <c r="CP66" i="88"/>
  <c r="CK66" i="88"/>
  <c r="CE66" i="88"/>
  <c r="CB66" i="88"/>
  <c r="CA66" i="88"/>
  <c r="BY66" i="88"/>
  <c r="BP66" i="88"/>
  <c r="BF66" i="88"/>
  <c r="BE66" i="88"/>
  <c r="BB66" i="88" s="1"/>
  <c r="CD66" i="88" s="1"/>
  <c r="BD66" i="88"/>
  <c r="BC66" i="88"/>
  <c r="AS66" i="88"/>
  <c r="AR66" i="88"/>
  <c r="AG66" i="88"/>
  <c r="Z66" i="88"/>
  <c r="W66" i="88"/>
  <c r="U66" i="88"/>
  <c r="T66" i="88"/>
  <c r="Q66" i="88"/>
  <c r="O66" i="88" s="1"/>
  <c r="M66" i="88"/>
  <c r="D66" i="88"/>
  <c r="EE65" i="88"/>
  <c r="EF65" i="88" s="1"/>
  <c r="DM65" i="88"/>
  <c r="DH65" i="88"/>
  <c r="DL65" i="88" s="1"/>
  <c r="DG65" i="88"/>
  <c r="DF65" i="88"/>
  <c r="DD65" i="88"/>
  <c r="CX65" i="88"/>
  <c r="CW65" i="88"/>
  <c r="DA65" i="88" s="1"/>
  <c r="CP65" i="88"/>
  <c r="CK65" i="88"/>
  <c r="CE65" i="88"/>
  <c r="CB65" i="88"/>
  <c r="CA65" i="88"/>
  <c r="BY65" i="88"/>
  <c r="BF65" i="88" s="1"/>
  <c r="BE65" i="88"/>
  <c r="BD65" i="88"/>
  <c r="BC65" i="88"/>
  <c r="AP65" i="88"/>
  <c r="AO65" i="88"/>
  <c r="AQ65" i="88" s="1"/>
  <c r="Z65" i="88"/>
  <c r="W65" i="88"/>
  <c r="U65" i="88"/>
  <c r="T65" i="88"/>
  <c r="Q65" i="88"/>
  <c r="O65" i="88" s="1"/>
  <c r="M65" i="88"/>
  <c r="D65" i="88"/>
  <c r="EE64" i="88"/>
  <c r="EF64" i="88" s="1"/>
  <c r="DH64" i="88"/>
  <c r="DL64" i="88" s="1"/>
  <c r="DG64" i="88"/>
  <c r="DF64" i="88"/>
  <c r="DD64" i="88"/>
  <c r="CX64" i="88"/>
  <c r="CW64" i="88"/>
  <c r="DA64" i="88" s="1"/>
  <c r="CP64" i="88"/>
  <c r="CK64" i="88"/>
  <c r="CE64" i="88"/>
  <c r="CB64" i="88"/>
  <c r="CA64" i="88"/>
  <c r="BY64" i="88"/>
  <c r="BF64" i="88" s="1"/>
  <c r="BE64" i="88"/>
  <c r="BB64" i="88" s="1"/>
  <c r="CD64" i="88" s="1"/>
  <c r="BD64" i="88"/>
  <c r="BC64" i="88"/>
  <c r="AP64" i="88"/>
  <c r="AO64" i="88"/>
  <c r="Z64" i="88"/>
  <c r="W64" i="88"/>
  <c r="U64" i="88"/>
  <c r="T64" i="88"/>
  <c r="Q64" i="88"/>
  <c r="O64" i="88" s="1"/>
  <c r="M64" i="88"/>
  <c r="D64" i="88"/>
  <c r="BB20" i="88" l="1"/>
  <c r="CD20" i="88" s="1"/>
  <c r="AR20" i="88"/>
  <c r="BB21" i="88"/>
  <c r="AA21" i="88" s="1"/>
  <c r="AR21" i="88"/>
  <c r="BB22" i="88"/>
  <c r="AA22" i="88" s="1"/>
  <c r="AR22" i="88"/>
  <c r="BB23" i="88"/>
  <c r="AA23" i="88" s="1"/>
  <c r="AR23" i="88"/>
  <c r="BB26" i="88"/>
  <c r="CD26" i="88" s="1"/>
  <c r="AR26" i="88"/>
  <c r="BB27" i="88"/>
  <c r="AA27" i="88" s="1"/>
  <c r="AR27" i="88"/>
  <c r="BB30" i="88"/>
  <c r="AA30" i="88" s="1"/>
  <c r="AR30" i="88"/>
  <c r="BB33" i="88"/>
  <c r="CD33" i="88" s="1"/>
  <c r="AR33" i="88"/>
  <c r="BB34" i="88"/>
  <c r="AA34" i="88" s="1"/>
  <c r="AR34" i="88"/>
  <c r="BB38" i="88"/>
  <c r="CD38" i="88" s="1"/>
  <c r="CC38" i="88" s="1"/>
  <c r="AR38" i="88"/>
  <c r="AA18" i="88"/>
  <c r="BB18" i="88"/>
  <c r="CD18" i="88" s="1"/>
  <c r="AR18" i="88"/>
  <c r="BB29" i="88"/>
  <c r="CD29" i="88" s="1"/>
  <c r="CC29" i="88" s="1"/>
  <c r="AR29" i="88"/>
  <c r="AA32" i="88"/>
  <c r="CV67" i="88"/>
  <c r="CJ41" i="88"/>
  <c r="AA66" i="88"/>
  <c r="AR80" i="88"/>
  <c r="AR72" i="88"/>
  <c r="CV72" i="88"/>
  <c r="AR74" i="88"/>
  <c r="CV74" i="88"/>
  <c r="DI74" i="88"/>
  <c r="X75" i="88"/>
  <c r="CJ75" i="88" s="1"/>
  <c r="DL75" i="88"/>
  <c r="AR76" i="88"/>
  <c r="CV76" i="88"/>
  <c r="AR78" i="88"/>
  <c r="CV78" i="88"/>
  <c r="BZ78" i="88" s="1"/>
  <c r="DI78" i="88"/>
  <c r="DL81" i="88"/>
  <c r="AR82" i="88"/>
  <c r="CV82" i="88"/>
  <c r="BZ82" i="88" s="1"/>
  <c r="X83" i="88"/>
  <c r="CJ83" i="88" s="1"/>
  <c r="AR84" i="88"/>
  <c r="CV84" i="88"/>
  <c r="DI84" i="88"/>
  <c r="CJ17" i="88"/>
  <c r="X64" i="88"/>
  <c r="CJ64" i="88" s="1"/>
  <c r="CV65" i="88"/>
  <c r="DI65" i="88"/>
  <c r="X66" i="88"/>
  <c r="CJ66" i="88" s="1"/>
  <c r="DB41" i="88"/>
  <c r="CV41" i="88"/>
  <c r="BZ41" i="88" s="1"/>
  <c r="DI41" i="88"/>
  <c r="EN67" i="88"/>
  <c r="BZ67" i="88"/>
  <c r="AR67" i="88"/>
  <c r="AA75" i="88"/>
  <c r="DB67" i="88"/>
  <c r="AA74" i="88"/>
  <c r="AA76" i="88"/>
  <c r="X81" i="88"/>
  <c r="CJ81" i="88" s="1"/>
  <c r="CC81" i="88" s="1"/>
  <c r="AA85" i="88"/>
  <c r="CJ18" i="88"/>
  <c r="DB19" i="88"/>
  <c r="CJ23" i="88"/>
  <c r="DB25" i="88"/>
  <c r="DB32" i="88"/>
  <c r="EM41" i="88"/>
  <c r="CY41" i="88"/>
  <c r="CZ41" i="88" s="1"/>
  <c r="DA41" i="88"/>
  <c r="EN72" i="88"/>
  <c r="BZ72" i="88"/>
  <c r="EN76" i="88"/>
  <c r="BZ76" i="88"/>
  <c r="CV64" i="88"/>
  <c r="BZ64" i="88" s="1"/>
  <c r="DI64" i="88"/>
  <c r="X65" i="88"/>
  <c r="CJ65" i="88" s="1"/>
  <c r="EM66" i="88"/>
  <c r="X69" i="88"/>
  <c r="CJ69" i="88" s="1"/>
  <c r="CC69" i="88" s="1"/>
  <c r="DB72" i="88"/>
  <c r="DB76" i="88"/>
  <c r="DB80" i="88"/>
  <c r="AR81" i="88"/>
  <c r="DB82" i="88"/>
  <c r="DL18" i="88"/>
  <c r="CJ20" i="88"/>
  <c r="DL20" i="88"/>
  <c r="CJ26" i="88"/>
  <c r="CJ27" i="88"/>
  <c r="CV27" i="88"/>
  <c r="EN27" i="88" s="1"/>
  <c r="DI27" i="88"/>
  <c r="CJ33" i="88"/>
  <c r="CJ34" i="88"/>
  <c r="CV34" i="88"/>
  <c r="BZ34" i="88" s="1"/>
  <c r="DI34" i="88"/>
  <c r="EM73" i="88"/>
  <c r="EM19" i="88"/>
  <c r="EM25" i="88"/>
  <c r="EM17" i="88"/>
  <c r="DB23" i="88"/>
  <c r="DB30" i="88"/>
  <c r="EM32" i="88"/>
  <c r="CC18" i="88"/>
  <c r="BB19" i="88"/>
  <c r="AA19" i="88" s="1"/>
  <c r="CV19" i="88"/>
  <c r="BZ19" i="88" s="1"/>
  <c r="DI19" i="88"/>
  <c r="CC20" i="88"/>
  <c r="CJ21" i="88"/>
  <c r="DL21" i="88"/>
  <c r="CJ22" i="88"/>
  <c r="DL22" i="88"/>
  <c r="CV23" i="88"/>
  <c r="BZ23" i="88" s="1"/>
  <c r="DI23" i="88"/>
  <c r="BB25" i="88"/>
  <c r="AA25" i="88" s="1"/>
  <c r="CV25" i="88"/>
  <c r="BZ25" i="88" s="1"/>
  <c r="DI25" i="88"/>
  <c r="CC26" i="88"/>
  <c r="DL26" i="88"/>
  <c r="DB27" i="88"/>
  <c r="DL29" i="88"/>
  <c r="CV30" i="88"/>
  <c r="BZ30" i="88" s="1"/>
  <c r="DI30" i="88"/>
  <c r="BB32" i="88"/>
  <c r="CV32" i="88"/>
  <c r="EN32" i="88" s="1"/>
  <c r="DI32" i="88"/>
  <c r="CC33" i="88"/>
  <c r="DL33" i="88"/>
  <c r="DB34" i="88"/>
  <c r="CY21" i="88"/>
  <c r="CY22" i="88"/>
  <c r="BB24" i="88"/>
  <c r="CD24" i="88" s="1"/>
  <c r="CC24" i="88" s="1"/>
  <c r="EM24" i="88"/>
  <c r="DC25" i="88"/>
  <c r="EN25" i="88"/>
  <c r="CY17" i="88"/>
  <c r="CZ17" i="88" s="1"/>
  <c r="DA17" i="88"/>
  <c r="DL17" i="88"/>
  <c r="DA18" i="88"/>
  <c r="EM21" i="88"/>
  <c r="CD21" i="88"/>
  <c r="EM22" i="88"/>
  <c r="CD22" i="88"/>
  <c r="BB17" i="88"/>
  <c r="AA17" i="88" s="1"/>
  <c r="CV17" i="88"/>
  <c r="CY18" i="88"/>
  <c r="CX18" i="88"/>
  <c r="DB18" i="88" s="1"/>
  <c r="CV18" i="88"/>
  <c r="EM18" i="88"/>
  <c r="CY20" i="88"/>
  <c r="DA21" i="88"/>
  <c r="DA22" i="88"/>
  <c r="CD23" i="88"/>
  <c r="CC23" i="88" s="1"/>
  <c r="EN23" i="88"/>
  <c r="CX24" i="88"/>
  <c r="CZ24" i="88" s="1"/>
  <c r="CV24" i="88"/>
  <c r="DI24" i="88"/>
  <c r="DL24" i="88"/>
  <c r="CJ19" i="88"/>
  <c r="CX20" i="88"/>
  <c r="DB20" i="88" s="1"/>
  <c r="CV20" i="88"/>
  <c r="EM20" i="88"/>
  <c r="CX21" i="88"/>
  <c r="DB21" i="88" s="1"/>
  <c r="CV21" i="88"/>
  <c r="CX22" i="88"/>
  <c r="DB22" i="88" s="1"/>
  <c r="CV22" i="88"/>
  <c r="EM23" i="88"/>
  <c r="DA24" i="88"/>
  <c r="CJ25" i="88"/>
  <c r="CY26" i="88"/>
  <c r="CX26" i="88"/>
  <c r="DB26" i="88" s="1"/>
  <c r="CV26" i="88"/>
  <c r="EM26" i="88"/>
  <c r="EM27" i="88"/>
  <c r="CD27" i="88"/>
  <c r="DA28" i="88"/>
  <c r="DL28" i="88"/>
  <c r="CD30" i="88"/>
  <c r="CC30" i="88" s="1"/>
  <c r="DC30" i="88"/>
  <c r="CU30" i="88" s="1"/>
  <c r="CX31" i="88"/>
  <c r="CZ31" i="88" s="1"/>
  <c r="CV31" i="88"/>
  <c r="DI31" i="88"/>
  <c r="DL31" i="88"/>
  <c r="DA26" i="88"/>
  <c r="EM28" i="88"/>
  <c r="BB28" i="88"/>
  <c r="AA28" i="88" s="1"/>
  <c r="CX28" i="88"/>
  <c r="CZ28" i="88" s="1"/>
  <c r="CV28" i="88"/>
  <c r="CY29" i="88"/>
  <c r="BB31" i="88"/>
  <c r="CD31" i="88" s="1"/>
  <c r="CC31" i="88" s="1"/>
  <c r="EM31" i="88"/>
  <c r="BZ32" i="88"/>
  <c r="CY33" i="88"/>
  <c r="DC34" i="88"/>
  <c r="CU34" i="88" s="1"/>
  <c r="CX38" i="88"/>
  <c r="CZ38" i="88" s="1"/>
  <c r="CV38" i="88"/>
  <c r="EM38" i="88"/>
  <c r="CY19" i="88"/>
  <c r="CZ19" i="88" s="1"/>
  <c r="CY23" i="88"/>
  <c r="CZ23" i="88" s="1"/>
  <c r="CY25" i="88"/>
  <c r="CZ25" i="88" s="1"/>
  <c r="CY27" i="88"/>
  <c r="CZ27" i="88" s="1"/>
  <c r="CX29" i="88"/>
  <c r="DB29" i="88" s="1"/>
  <c r="CV29" i="88"/>
  <c r="EM29" i="88"/>
  <c r="EM30" i="88"/>
  <c r="DA31" i="88"/>
  <c r="CJ32" i="88"/>
  <c r="CX33" i="88"/>
  <c r="DB33" i="88" s="1"/>
  <c r="CV33" i="88"/>
  <c r="EM33" i="88"/>
  <c r="EM34" i="88"/>
  <c r="CD34" i="88"/>
  <c r="CC34" i="88" s="1"/>
  <c r="DA38" i="88"/>
  <c r="DL38" i="88"/>
  <c r="CY30" i="88"/>
  <c r="CZ30" i="88" s="1"/>
  <c r="CY32" i="88"/>
  <c r="CZ32" i="88" s="1"/>
  <c r="CY34" i="88"/>
  <c r="CZ34" i="88" s="1"/>
  <c r="EM65" i="88"/>
  <c r="BB65" i="88"/>
  <c r="CD65" i="88" s="1"/>
  <c r="CC66" i="88"/>
  <c r="X68" i="88"/>
  <c r="CJ68" i="88" s="1"/>
  <c r="EM68" i="88"/>
  <c r="AR68" i="88"/>
  <c r="EM69" i="88"/>
  <c r="AR69" i="88"/>
  <c r="AR64" i="88"/>
  <c r="EN64" i="88"/>
  <c r="AR65" i="88"/>
  <c r="EN65" i="88"/>
  <c r="BZ65" i="88"/>
  <c r="DL67" i="88"/>
  <c r="DI67" i="88"/>
  <c r="AA84" i="88"/>
  <c r="CD84" i="88"/>
  <c r="CC84" i="88" s="1"/>
  <c r="DB64" i="88"/>
  <c r="DB65" i="88"/>
  <c r="X67" i="88"/>
  <c r="CJ67" i="88" s="1"/>
  <c r="EM67" i="88"/>
  <c r="EM70" i="88"/>
  <c r="X71" i="88"/>
  <c r="CJ71" i="88" s="1"/>
  <c r="CC71" i="88" s="1"/>
  <c r="EM71" i="88"/>
  <c r="X72" i="88"/>
  <c r="CJ72" i="88" s="1"/>
  <c r="CC72" i="88" s="1"/>
  <c r="EM72" i="88"/>
  <c r="DI72" i="88"/>
  <c r="AR73" i="88"/>
  <c r="EM74" i="88"/>
  <c r="DB74" i="88"/>
  <c r="AR75" i="88"/>
  <c r="X76" i="88"/>
  <c r="CJ76" i="88" s="1"/>
  <c r="DI76" i="88"/>
  <c r="CV77" i="88"/>
  <c r="DL77" i="88"/>
  <c r="DB78" i="88"/>
  <c r="EM80" i="88"/>
  <c r="CV80" i="88"/>
  <c r="DI80" i="88"/>
  <c r="X82" i="88"/>
  <c r="CJ82" i="88" s="1"/>
  <c r="DI82" i="88"/>
  <c r="DB84" i="88"/>
  <c r="X85" i="88"/>
  <c r="CD74" i="88"/>
  <c r="CC75" i="88"/>
  <c r="DB77" i="88"/>
  <c r="DA77" i="88"/>
  <c r="CD80" i="88"/>
  <c r="CC80" i="88" s="1"/>
  <c r="EM84" i="88"/>
  <c r="CC64" i="88"/>
  <c r="DC74" i="88"/>
  <c r="EN74" i="88"/>
  <c r="BZ74" i="88"/>
  <c r="AQ64" i="88"/>
  <c r="EM64" i="88"/>
  <c r="AA64" i="88"/>
  <c r="CY64" i="88"/>
  <c r="CZ64" i="88" s="1"/>
  <c r="DC64" i="88"/>
  <c r="CC65" i="88"/>
  <c r="CY65" i="88"/>
  <c r="CZ65" i="88" s="1"/>
  <c r="DC65" i="88"/>
  <c r="CU65" i="88" s="1"/>
  <c r="CV66" i="88"/>
  <c r="DB66" i="88"/>
  <c r="DI66" i="88"/>
  <c r="AA67" i="88"/>
  <c r="CC67" i="88"/>
  <c r="CY67" i="88"/>
  <c r="CZ67" i="88" s="1"/>
  <c r="DC67" i="88"/>
  <c r="BB68" i="88"/>
  <c r="CV68" i="88"/>
  <c r="DB68" i="88"/>
  <c r="DI68" i="88"/>
  <c r="AA69" i="88"/>
  <c r="CV69" i="88"/>
  <c r="DB69" i="88"/>
  <c r="DI69" i="88"/>
  <c r="BB70" i="88"/>
  <c r="CD70" i="88" s="1"/>
  <c r="CC70" i="88" s="1"/>
  <c r="CV70" i="88"/>
  <c r="DB70" i="88"/>
  <c r="DI70" i="88"/>
  <c r="AA71" i="88"/>
  <c r="CV71" i="88"/>
  <c r="DB71" i="88"/>
  <c r="DI71" i="88"/>
  <c r="AA72" i="88"/>
  <c r="CY72" i="88"/>
  <c r="CZ72" i="88" s="1"/>
  <c r="DC72" i="88"/>
  <c r="CU72" i="88" s="1"/>
  <c r="BB73" i="88"/>
  <c r="DA73" i="88"/>
  <c r="DL73" i="88"/>
  <c r="X74" i="88"/>
  <c r="CJ74" i="88" s="1"/>
  <c r="AQ74" i="88"/>
  <c r="CX75" i="88"/>
  <c r="CZ75" i="88" s="1"/>
  <c r="CV75" i="88"/>
  <c r="EM75" i="88"/>
  <c r="EM76" i="88"/>
  <c r="CD76" i="88"/>
  <c r="CY77" i="88"/>
  <c r="CZ77" i="88" s="1"/>
  <c r="BB79" i="88"/>
  <c r="AR79" i="88"/>
  <c r="EM79" i="88"/>
  <c r="DC80" i="88"/>
  <c r="BZ80" i="88"/>
  <c r="EN80" i="88"/>
  <c r="CY81" i="88"/>
  <c r="BB83" i="88"/>
  <c r="CD83" i="88" s="1"/>
  <c r="CC83" i="88" s="1"/>
  <c r="AR83" i="88"/>
  <c r="EM83" i="88"/>
  <c r="DC84" i="88"/>
  <c r="BZ84" i="88"/>
  <c r="EN84" i="88"/>
  <c r="CY66" i="88"/>
  <c r="CZ66" i="88" s="1"/>
  <c r="CY68" i="88"/>
  <c r="CZ68" i="88" s="1"/>
  <c r="AQ69" i="88"/>
  <c r="CY69" i="88"/>
  <c r="CZ69" i="88" s="1"/>
  <c r="CY70" i="88"/>
  <c r="CZ70" i="88" s="1"/>
  <c r="AQ71" i="88"/>
  <c r="CY71" i="88"/>
  <c r="CZ71" i="88" s="1"/>
  <c r="CX73" i="88"/>
  <c r="CZ73" i="88" s="1"/>
  <c r="CV73" i="88"/>
  <c r="DB75" i="88"/>
  <c r="DA75" i="88"/>
  <c r="CC76" i="88"/>
  <c r="AQ76" i="88"/>
  <c r="DC76" i="88"/>
  <c r="CU76" i="88" s="1"/>
  <c r="EM77" i="88"/>
  <c r="BB77" i="88"/>
  <c r="DC77" i="88" s="1"/>
  <c r="AQ78" i="88"/>
  <c r="AA78" i="88"/>
  <c r="CD78" i="88"/>
  <c r="CC78" i="88" s="1"/>
  <c r="DC78" i="88"/>
  <c r="CU78" i="88" s="1"/>
  <c r="EN78" i="88"/>
  <c r="CX79" i="88"/>
  <c r="CZ79" i="88" s="1"/>
  <c r="CV79" i="88"/>
  <c r="DI79" i="88"/>
  <c r="DL79" i="88"/>
  <c r="AQ82" i="88"/>
  <c r="AA82" i="88"/>
  <c r="CD82" i="88"/>
  <c r="DC82" i="88"/>
  <c r="CU82" i="88" s="1"/>
  <c r="EN82" i="88"/>
  <c r="CX83" i="88"/>
  <c r="CZ83" i="88" s="1"/>
  <c r="CV83" i="88"/>
  <c r="DI83" i="88"/>
  <c r="DL83" i="88"/>
  <c r="CY74" i="88"/>
  <c r="CZ74" i="88" s="1"/>
  <c r="CY76" i="88"/>
  <c r="CZ76" i="88" s="1"/>
  <c r="EM78" i="88"/>
  <c r="DB79" i="88"/>
  <c r="DA79" i="88"/>
  <c r="AQ80" i="88"/>
  <c r="CX81" i="88"/>
  <c r="DB81" i="88" s="1"/>
  <c r="CV81" i="88"/>
  <c r="EM81" i="88"/>
  <c r="EM82" i="88"/>
  <c r="DA83" i="88"/>
  <c r="AQ84" i="88"/>
  <c r="CY78" i="88"/>
  <c r="CZ78" i="88" s="1"/>
  <c r="CY80" i="88"/>
  <c r="CZ80" i="88" s="1"/>
  <c r="CY82" i="88"/>
  <c r="CZ82" i="88" s="1"/>
  <c r="CY84" i="88"/>
  <c r="CZ84" i="88" s="1"/>
  <c r="BB41" i="88" l="1"/>
  <c r="AA41" i="88" s="1"/>
  <c r="AA29" i="88"/>
  <c r="AA24" i="88"/>
  <c r="DB38" i="88"/>
  <c r="DB31" i="88"/>
  <c r="CC27" i="88"/>
  <c r="DC32" i="88"/>
  <c r="AA31" i="88"/>
  <c r="AA38" i="88"/>
  <c r="AA33" i="88"/>
  <c r="AA26" i="88"/>
  <c r="AA20" i="88"/>
  <c r="EN41" i="88"/>
  <c r="BZ27" i="88"/>
  <c r="CC21" i="88"/>
  <c r="DC19" i="88"/>
  <c r="CU19" i="88" s="1"/>
  <c r="CU64" i="88"/>
  <c r="DB83" i="88"/>
  <c r="CC82" i="88"/>
  <c r="CU84" i="88"/>
  <c r="CU80" i="88"/>
  <c r="CC74" i="88"/>
  <c r="CU67" i="88"/>
  <c r="AA65" i="88"/>
  <c r="EN34" i="88"/>
  <c r="DC27" i="88"/>
  <c r="CU27" i="88" s="1"/>
  <c r="EN30" i="88"/>
  <c r="DC23" i="88"/>
  <c r="CU23" i="88" s="1"/>
  <c r="EN19" i="88"/>
  <c r="CC22" i="88"/>
  <c r="CU32" i="88"/>
  <c r="CZ26" i="88"/>
  <c r="CU25" i="88"/>
  <c r="CD32" i="88"/>
  <c r="CC32" i="88" s="1"/>
  <c r="CD25" i="88"/>
  <c r="CC25" i="88" s="1"/>
  <c r="CZ18" i="88"/>
  <c r="CD19" i="88"/>
  <c r="CC19" i="88" s="1"/>
  <c r="EN33" i="88"/>
  <c r="BZ33" i="88"/>
  <c r="DC33" i="88"/>
  <c r="CD28" i="88"/>
  <c r="CC28" i="88" s="1"/>
  <c r="DB28" i="88"/>
  <c r="EN26" i="88"/>
  <c r="BZ26" i="88"/>
  <c r="DC26" i="88"/>
  <c r="EN21" i="88"/>
  <c r="BZ21" i="88"/>
  <c r="DC21" i="88"/>
  <c r="EN29" i="88"/>
  <c r="BZ29" i="88"/>
  <c r="DC29" i="88"/>
  <c r="CZ33" i="88"/>
  <c r="CZ29" i="88"/>
  <c r="BZ28" i="88"/>
  <c r="EN28" i="88"/>
  <c r="DC28" i="88"/>
  <c r="CU28" i="88" s="1"/>
  <c r="EN31" i="88"/>
  <c r="BZ31" i="88"/>
  <c r="DC31" i="88"/>
  <c r="DB24" i="88"/>
  <c r="EN22" i="88"/>
  <c r="BZ22" i="88"/>
  <c r="DC22" i="88"/>
  <c r="EN20" i="88"/>
  <c r="BZ20" i="88"/>
  <c r="DC20" i="88"/>
  <c r="EN24" i="88"/>
  <c r="BZ24" i="88"/>
  <c r="DC24" i="88"/>
  <c r="CD17" i="88"/>
  <c r="CC17" i="88" s="1"/>
  <c r="EN38" i="88"/>
  <c r="BZ38" i="88"/>
  <c r="DC38" i="88"/>
  <c r="CZ20" i="88"/>
  <c r="EN18" i="88"/>
  <c r="BZ18" i="88"/>
  <c r="DC18" i="88"/>
  <c r="BZ17" i="88"/>
  <c r="EN17" i="88"/>
  <c r="DC17" i="88"/>
  <c r="CU17" i="88" s="1"/>
  <c r="CZ22" i="88"/>
  <c r="CZ21" i="88"/>
  <c r="CU74" i="88"/>
  <c r="EN77" i="88"/>
  <c r="BZ77" i="88"/>
  <c r="CU77" i="88" s="1"/>
  <c r="EN79" i="88"/>
  <c r="BZ79" i="88"/>
  <c r="DC79" i="88"/>
  <c r="CD79" i="88"/>
  <c r="CC79" i="88" s="1"/>
  <c r="AA79" i="88"/>
  <c r="DB73" i="88"/>
  <c r="AA68" i="88"/>
  <c r="CD68" i="88"/>
  <c r="CC68" i="88" s="1"/>
  <c r="DC66" i="88"/>
  <c r="EN66" i="88"/>
  <c r="BZ66" i="88"/>
  <c r="CU66" i="88" s="1"/>
  <c r="EN81" i="88"/>
  <c r="BZ81" i="88"/>
  <c r="DC81" i="88"/>
  <c r="EN83" i="88"/>
  <c r="BZ83" i="88"/>
  <c r="DC83" i="88"/>
  <c r="CD77" i="88"/>
  <c r="CC77" i="88" s="1"/>
  <c r="AA77" i="88"/>
  <c r="EN73" i="88"/>
  <c r="BZ73" i="88"/>
  <c r="DC73" i="88"/>
  <c r="CZ81" i="88"/>
  <c r="EN75" i="88"/>
  <c r="BZ75" i="88"/>
  <c r="DC75" i="88"/>
  <c r="CD73" i="88"/>
  <c r="CC73" i="88" s="1"/>
  <c r="AA73" i="88"/>
  <c r="DC71" i="88"/>
  <c r="EN71" i="88"/>
  <c r="BZ71" i="88"/>
  <c r="DC70" i="88"/>
  <c r="EN70" i="88"/>
  <c r="BZ70" i="88"/>
  <c r="DC69" i="88"/>
  <c r="EN69" i="88"/>
  <c r="BZ69" i="88"/>
  <c r="DC68" i="88"/>
  <c r="EN68" i="88"/>
  <c r="BZ68" i="88"/>
  <c r="AA83" i="88"/>
  <c r="AA70" i="88"/>
  <c r="CD41" i="88" l="1"/>
  <c r="CC41" i="88" s="1"/>
  <c r="DC41" i="88"/>
  <c r="CU41" i="88" s="1"/>
  <c r="CU18" i="88"/>
  <c r="CU83" i="88"/>
  <c r="CU38" i="88"/>
  <c r="CU24" i="88"/>
  <c r="CU22" i="88"/>
  <c r="CU31" i="88"/>
  <c r="CU29" i="88"/>
  <c r="CU26" i="88"/>
  <c r="CU33" i="88"/>
  <c r="CU73" i="88"/>
  <c r="CU81" i="88"/>
  <c r="CU21" i="88"/>
  <c r="CU20" i="88"/>
  <c r="CU68" i="88"/>
  <c r="CU70" i="88"/>
  <c r="CU75" i="88"/>
  <c r="CU79" i="88"/>
  <c r="CU69" i="88"/>
  <c r="CU71" i="88"/>
  <c r="D38" i="89" l="1"/>
  <c r="M38" i="89"/>
  <c r="Q38" i="89"/>
  <c r="O38" i="89" s="1"/>
  <c r="T38" i="89"/>
  <c r="U38" i="89"/>
  <c r="W38" i="89"/>
  <c r="Z38" i="89"/>
  <c r="AO38" i="89"/>
  <c r="BB38" i="89"/>
  <c r="BC38" i="89"/>
  <c r="BD38" i="89"/>
  <c r="AD38" i="89" s="1"/>
  <c r="BO38" i="89"/>
  <c r="BY38" i="89"/>
  <c r="BE38" i="89" s="1"/>
  <c r="CA38" i="89"/>
  <c r="CB38" i="89"/>
  <c r="CE38" i="89"/>
  <c r="CK38" i="89"/>
  <c r="CP38" i="89"/>
  <c r="CW38" i="89"/>
  <c r="DD38" i="89"/>
  <c r="DF38" i="89"/>
  <c r="CX38" i="89" s="1"/>
  <c r="DG38" i="89"/>
  <c r="DH38" i="89"/>
  <c r="DI38" i="89" s="1"/>
  <c r="DM38" i="89"/>
  <c r="EC38" i="89"/>
  <c r="ED38" i="89" s="1"/>
  <c r="EF84" i="89"/>
  <c r="EG84" i="89" s="1"/>
  <c r="DN84" i="89"/>
  <c r="DI84" i="89"/>
  <c r="DJ84" i="89" s="1"/>
  <c r="DH84" i="89"/>
  <c r="DG84" i="89"/>
  <c r="DE84" i="89"/>
  <c r="CX84" i="89"/>
  <c r="CQ84" i="89"/>
  <c r="CL84" i="89"/>
  <c r="CF84" i="89"/>
  <c r="CC84" i="89"/>
  <c r="CB84" i="89"/>
  <c r="BZ84" i="89"/>
  <c r="BF84" i="89" s="1"/>
  <c r="BP84" i="89"/>
  <c r="BE84" i="89"/>
  <c r="BB84" i="89" s="1"/>
  <c r="BD84" i="89"/>
  <c r="BC84" i="89"/>
  <c r="AP84" i="89"/>
  <c r="AO84" i="89"/>
  <c r="AC84" i="89"/>
  <c r="Z84" i="89"/>
  <c r="W84" i="89"/>
  <c r="U84" i="89"/>
  <c r="T84" i="89"/>
  <c r="Q84" i="89"/>
  <c r="O84" i="89" s="1"/>
  <c r="M84" i="89"/>
  <c r="D84" i="89"/>
  <c r="EF83" i="89"/>
  <c r="EG83" i="89" s="1"/>
  <c r="DN83" i="89"/>
  <c r="DI83" i="89"/>
  <c r="DJ83" i="89" s="1"/>
  <c r="DH83" i="89"/>
  <c r="DG83" i="89"/>
  <c r="DE83" i="89"/>
  <c r="CX83" i="89"/>
  <c r="CQ83" i="89"/>
  <c r="CL83" i="89"/>
  <c r="CF83" i="89"/>
  <c r="CC83" i="89"/>
  <c r="CB83" i="89"/>
  <c r="BZ83" i="89"/>
  <c r="BF83" i="89" s="1"/>
  <c r="BP83" i="89"/>
  <c r="BE83" i="89"/>
  <c r="AD83" i="89" s="1"/>
  <c r="BB83" i="89" s="1"/>
  <c r="BD83" i="89"/>
  <c r="BC83" i="89"/>
  <c r="AO83" i="89"/>
  <c r="Z83" i="89"/>
  <c r="W83" i="89"/>
  <c r="U83" i="89"/>
  <c r="T83" i="89"/>
  <c r="Q83" i="89"/>
  <c r="O83" i="89" s="1"/>
  <c r="M83" i="89"/>
  <c r="D83" i="89"/>
  <c r="EF82" i="89"/>
  <c r="EG82" i="89" s="1"/>
  <c r="DN82" i="89"/>
  <c r="DI82" i="89"/>
  <c r="DM82" i="89" s="1"/>
  <c r="DH82" i="89"/>
  <c r="DG82" i="89"/>
  <c r="DE82" i="89"/>
  <c r="CY82" i="89"/>
  <c r="CX82" i="89"/>
  <c r="DB82" i="89" s="1"/>
  <c r="CQ82" i="89"/>
  <c r="CL82" i="89"/>
  <c r="CF82" i="89"/>
  <c r="CC82" i="89"/>
  <c r="CB82" i="89"/>
  <c r="BZ82" i="89"/>
  <c r="BF82" i="89" s="1"/>
  <c r="BP82" i="89"/>
  <c r="BE82" i="89"/>
  <c r="BD82" i="89"/>
  <c r="BC82" i="89"/>
  <c r="AO82" i="89"/>
  <c r="Z82" i="89"/>
  <c r="W82" i="89"/>
  <c r="U82" i="89"/>
  <c r="T82" i="89"/>
  <c r="Q82" i="89"/>
  <c r="O82" i="89" s="1"/>
  <c r="M82" i="89"/>
  <c r="D82" i="89"/>
  <c r="EF81" i="89"/>
  <c r="EG81" i="89" s="1"/>
  <c r="DN81" i="89"/>
  <c r="DL81" i="89"/>
  <c r="DI81" i="89"/>
  <c r="DM81" i="89" s="1"/>
  <c r="DH81" i="89"/>
  <c r="DG81" i="89"/>
  <c r="DE81" i="89"/>
  <c r="CY81" i="89"/>
  <c r="CX81" i="89"/>
  <c r="DB81" i="89" s="1"/>
  <c r="CQ81" i="89"/>
  <c r="CL81" i="89"/>
  <c r="CF81" i="89"/>
  <c r="CC81" i="89"/>
  <c r="CB81" i="89"/>
  <c r="BZ81" i="89"/>
  <c r="BF81" i="89" s="1"/>
  <c r="BP81" i="89"/>
  <c r="BE81" i="89"/>
  <c r="BD81" i="89"/>
  <c r="BC81" i="89"/>
  <c r="Z81" i="89"/>
  <c r="W81" i="89"/>
  <c r="U81" i="89"/>
  <c r="T81" i="89"/>
  <c r="Q81" i="89"/>
  <c r="O81" i="89" s="1"/>
  <c r="M81" i="89"/>
  <c r="D81" i="89"/>
  <c r="EF80" i="89"/>
  <c r="EG80" i="89" s="1"/>
  <c r="DN80" i="89"/>
  <c r="DI80" i="89"/>
  <c r="DM80" i="89" s="1"/>
  <c r="DH80" i="89"/>
  <c r="DG80" i="89"/>
  <c r="DE80" i="89"/>
  <c r="CY80" i="89"/>
  <c r="CX80" i="89"/>
  <c r="DB80" i="89" s="1"/>
  <c r="CQ80" i="89"/>
  <c r="CL80" i="89"/>
  <c r="CF80" i="89"/>
  <c r="CC80" i="89"/>
  <c r="CB80" i="89"/>
  <c r="BZ80" i="89"/>
  <c r="BF80" i="89" s="1"/>
  <c r="BP80" i="89"/>
  <c r="BE80" i="89"/>
  <c r="BD80" i="89"/>
  <c r="BC80" i="89"/>
  <c r="AO80" i="89"/>
  <c r="Z80" i="89"/>
  <c r="W80" i="89"/>
  <c r="U80" i="89"/>
  <c r="T80" i="89"/>
  <c r="Q80" i="89"/>
  <c r="O80" i="89" s="1"/>
  <c r="M80" i="89"/>
  <c r="D80" i="89"/>
  <c r="EF79" i="89"/>
  <c r="EG79" i="89" s="1"/>
  <c r="DN79" i="89"/>
  <c r="DI79" i="89"/>
  <c r="DJ79" i="89" s="1"/>
  <c r="DH79" i="89"/>
  <c r="DG79" i="89"/>
  <c r="DE79" i="89"/>
  <c r="CX79" i="89"/>
  <c r="CZ79" i="89" s="1"/>
  <c r="CQ79" i="89"/>
  <c r="CL79" i="89"/>
  <c r="CF79" i="89"/>
  <c r="CC79" i="89"/>
  <c r="CB79" i="89"/>
  <c r="BZ79" i="89"/>
  <c r="BF79" i="89" s="1"/>
  <c r="BP79" i="89"/>
  <c r="BE79" i="89"/>
  <c r="BD79" i="89"/>
  <c r="BC79" i="89"/>
  <c r="AO79" i="89"/>
  <c r="AD79" i="89"/>
  <c r="Z79" i="89"/>
  <c r="W79" i="89"/>
  <c r="U79" i="89"/>
  <c r="T79" i="89"/>
  <c r="Q79" i="89"/>
  <c r="O79" i="89" s="1"/>
  <c r="M79" i="89"/>
  <c r="D79" i="89"/>
  <c r="EF78" i="89"/>
  <c r="EG78" i="89" s="1"/>
  <c r="DN78" i="89"/>
  <c r="DI78" i="89"/>
  <c r="DM78" i="89" s="1"/>
  <c r="DH78" i="89"/>
  <c r="DG78" i="89"/>
  <c r="DE78" i="89"/>
  <c r="CY78" i="89"/>
  <c r="CX78" i="89"/>
  <c r="CQ78" i="89"/>
  <c r="CL78" i="89"/>
  <c r="CF78" i="89"/>
  <c r="CC78" i="89"/>
  <c r="CB78" i="89"/>
  <c r="BZ78" i="89"/>
  <c r="BF78" i="89" s="1"/>
  <c r="BP78" i="89"/>
  <c r="BE78" i="89"/>
  <c r="BD78" i="89"/>
  <c r="BC78" i="89"/>
  <c r="AO78" i="89"/>
  <c r="AD78" i="89"/>
  <c r="Z78" i="89"/>
  <c r="W78" i="89"/>
  <c r="U78" i="89"/>
  <c r="T78" i="89"/>
  <c r="Q78" i="89"/>
  <c r="O78" i="89" s="1"/>
  <c r="M78" i="89"/>
  <c r="D78" i="89"/>
  <c r="EF77" i="89"/>
  <c r="EG77" i="89" s="1"/>
  <c r="DN77" i="89"/>
  <c r="DI77" i="89"/>
  <c r="DM77" i="89" s="1"/>
  <c r="DH77" i="89"/>
  <c r="DG77" i="89"/>
  <c r="DE77" i="89"/>
  <c r="CY77" i="89"/>
  <c r="CX77" i="89"/>
  <c r="DB77" i="89" s="1"/>
  <c r="CQ77" i="89"/>
  <c r="CL77" i="89"/>
  <c r="CF77" i="89"/>
  <c r="CC77" i="89"/>
  <c r="CB77" i="89"/>
  <c r="BZ77" i="89"/>
  <c r="BF77" i="89" s="1"/>
  <c r="BP77" i="89"/>
  <c r="BE77" i="89"/>
  <c r="BD77" i="89"/>
  <c r="BC77" i="89"/>
  <c r="AO77" i="89"/>
  <c r="Z77" i="89"/>
  <c r="W77" i="89"/>
  <c r="U77" i="89"/>
  <c r="T77" i="89"/>
  <c r="Q77" i="89"/>
  <c r="O77" i="89" s="1"/>
  <c r="M77" i="89"/>
  <c r="D77" i="89"/>
  <c r="EF76" i="89"/>
  <c r="EG76" i="89" s="1"/>
  <c r="DN76" i="89"/>
  <c r="DI76" i="89"/>
  <c r="DJ76" i="89" s="1"/>
  <c r="DH76" i="89"/>
  <c r="DG76" i="89"/>
  <c r="CY76" i="89" s="1"/>
  <c r="DE76" i="89"/>
  <c r="CX76" i="89"/>
  <c r="DC76" i="89" s="1"/>
  <c r="CQ76" i="89"/>
  <c r="CL76" i="89"/>
  <c r="CF76" i="89"/>
  <c r="CC76" i="89"/>
  <c r="CB76" i="89"/>
  <c r="BZ76" i="89"/>
  <c r="BF76" i="89" s="1"/>
  <c r="BP76" i="89"/>
  <c r="BE76" i="89"/>
  <c r="BD76" i="89"/>
  <c r="BC76" i="89"/>
  <c r="AO76" i="89"/>
  <c r="AD76" i="89"/>
  <c r="Z76" i="89"/>
  <c r="W76" i="89"/>
  <c r="U76" i="89"/>
  <c r="T76" i="89"/>
  <c r="Q76" i="89"/>
  <c r="O76" i="89" s="1"/>
  <c r="M76" i="89"/>
  <c r="D76" i="89"/>
  <c r="EF75" i="89"/>
  <c r="EG75" i="89" s="1"/>
  <c r="DN75" i="89"/>
  <c r="DI75" i="89"/>
  <c r="DM75" i="89" s="1"/>
  <c r="DH75" i="89"/>
  <c r="DG75" i="89"/>
  <c r="DE75" i="89"/>
  <c r="CY75" i="89"/>
  <c r="CX75" i="89"/>
  <c r="DB75" i="89" s="1"/>
  <c r="CQ75" i="89"/>
  <c r="CL75" i="89"/>
  <c r="CF75" i="89"/>
  <c r="CC75" i="89"/>
  <c r="CB75" i="89"/>
  <c r="BZ75" i="89"/>
  <c r="BF75" i="89" s="1"/>
  <c r="BP75" i="89"/>
  <c r="BE75" i="89"/>
  <c r="BD75" i="89"/>
  <c r="BC75" i="89"/>
  <c r="AO75" i="89"/>
  <c r="Z75" i="89"/>
  <c r="W75" i="89"/>
  <c r="U75" i="89"/>
  <c r="T75" i="89"/>
  <c r="Q75" i="89"/>
  <c r="O75" i="89" s="1"/>
  <c r="M75" i="89"/>
  <c r="D75" i="89"/>
  <c r="EF74" i="89"/>
  <c r="EG74" i="89" s="1"/>
  <c r="DN74" i="89"/>
  <c r="DI74" i="89"/>
  <c r="DJ74" i="89" s="1"/>
  <c r="DH74" i="89"/>
  <c r="DG74" i="89"/>
  <c r="CY74" i="89" s="1"/>
  <c r="DE74" i="89"/>
  <c r="CX74" i="89"/>
  <c r="DC74" i="89" s="1"/>
  <c r="CQ74" i="89"/>
  <c r="CL74" i="89"/>
  <c r="CF74" i="89"/>
  <c r="CC74" i="89"/>
  <c r="CB74" i="89"/>
  <c r="BZ74" i="89"/>
  <c r="BF74" i="89" s="1"/>
  <c r="BP74" i="89"/>
  <c r="BE74" i="89"/>
  <c r="BD74" i="89"/>
  <c r="BC74" i="89"/>
  <c r="AO74" i="89"/>
  <c r="AD74" i="89"/>
  <c r="Z74" i="89"/>
  <c r="W74" i="89"/>
  <c r="U74" i="89"/>
  <c r="T74" i="89"/>
  <c r="Q74" i="89"/>
  <c r="O74" i="89" s="1"/>
  <c r="M74" i="89"/>
  <c r="D74" i="89"/>
  <c r="EF73" i="89"/>
  <c r="EG73" i="89" s="1"/>
  <c r="DN73" i="89"/>
  <c r="DI73" i="89"/>
  <c r="DM73" i="89" s="1"/>
  <c r="DH73" i="89"/>
  <c r="DG73" i="89"/>
  <c r="DE73" i="89"/>
  <c r="CY73" i="89"/>
  <c r="CX73" i="89"/>
  <c r="DB73" i="89" s="1"/>
  <c r="CQ73" i="89"/>
  <c r="CL73" i="89"/>
  <c r="CF73" i="89"/>
  <c r="CC73" i="89"/>
  <c r="CB73" i="89"/>
  <c r="BZ73" i="89"/>
  <c r="BF73" i="89" s="1"/>
  <c r="BP73" i="89"/>
  <c r="BE73" i="89"/>
  <c r="BD73" i="89"/>
  <c r="BC73" i="89"/>
  <c r="AO73" i="89"/>
  <c r="Z73" i="89"/>
  <c r="W73" i="89"/>
  <c r="U73" i="89"/>
  <c r="T73" i="89"/>
  <c r="Q73" i="89"/>
  <c r="O73" i="89" s="1"/>
  <c r="M73" i="89"/>
  <c r="D73" i="89"/>
  <c r="EF72" i="89"/>
  <c r="EG72" i="89" s="1"/>
  <c r="DN72" i="89"/>
  <c r="DI72" i="89"/>
  <c r="DJ72" i="89" s="1"/>
  <c r="DH72" i="89"/>
  <c r="DG72" i="89"/>
  <c r="CY72" i="89" s="1"/>
  <c r="DE72" i="89"/>
  <c r="CX72" i="89"/>
  <c r="DC72" i="89" s="1"/>
  <c r="CQ72" i="89"/>
  <c r="CL72" i="89"/>
  <c r="CF72" i="89"/>
  <c r="CC72" i="89"/>
  <c r="CB72" i="89"/>
  <c r="BZ72" i="89"/>
  <c r="BF72" i="89" s="1"/>
  <c r="BP72" i="89"/>
  <c r="BE72" i="89"/>
  <c r="BD72" i="89"/>
  <c r="BC72" i="89"/>
  <c r="AO72" i="89"/>
  <c r="AD72" i="89"/>
  <c r="Z72" i="89"/>
  <c r="W72" i="89"/>
  <c r="U72" i="89"/>
  <c r="T72" i="89"/>
  <c r="Q72" i="89"/>
  <c r="O72" i="89" s="1"/>
  <c r="M72" i="89"/>
  <c r="D72" i="89"/>
  <c r="EF71" i="89"/>
  <c r="EG71" i="89" s="1"/>
  <c r="DN71" i="89"/>
  <c r="DI71" i="89"/>
  <c r="DM71" i="89" s="1"/>
  <c r="DH71" i="89"/>
  <c r="DG71" i="89"/>
  <c r="DE71" i="89"/>
  <c r="CY71" i="89"/>
  <c r="CX71" i="89"/>
  <c r="DB71" i="89" s="1"/>
  <c r="CQ71" i="89"/>
  <c r="CL71" i="89"/>
  <c r="CF71" i="89"/>
  <c r="CC71" i="89"/>
  <c r="CB71" i="89"/>
  <c r="BZ71" i="89"/>
  <c r="BF71" i="89" s="1"/>
  <c r="BP71" i="89"/>
  <c r="BE71" i="89"/>
  <c r="BD71" i="89"/>
  <c r="BC71" i="89"/>
  <c r="AO71" i="89"/>
  <c r="Z71" i="89"/>
  <c r="W71" i="89"/>
  <c r="U71" i="89"/>
  <c r="T71" i="89"/>
  <c r="Q71" i="89"/>
  <c r="O71" i="89" s="1"/>
  <c r="M71" i="89"/>
  <c r="D71" i="89"/>
  <c r="EF70" i="89"/>
  <c r="EG70" i="89" s="1"/>
  <c r="DN70" i="89"/>
  <c r="DI70" i="89"/>
  <c r="DJ70" i="89" s="1"/>
  <c r="DH70" i="89"/>
  <c r="DG70" i="89"/>
  <c r="DE70" i="89"/>
  <c r="CX70" i="89"/>
  <c r="CZ70" i="89" s="1"/>
  <c r="CQ70" i="89"/>
  <c r="CL70" i="89"/>
  <c r="CF70" i="89"/>
  <c r="CC70" i="89"/>
  <c r="CB70" i="89"/>
  <c r="BZ70" i="89"/>
  <c r="BF70" i="89" s="1"/>
  <c r="BP70" i="89"/>
  <c r="BE70" i="89"/>
  <c r="BD70" i="89"/>
  <c r="BC70" i="89"/>
  <c r="AO70" i="89"/>
  <c r="AD70" i="89"/>
  <c r="Z70" i="89"/>
  <c r="W70" i="89"/>
  <c r="U70" i="89"/>
  <c r="T70" i="89"/>
  <c r="Q70" i="89"/>
  <c r="O70" i="89" s="1"/>
  <c r="M70" i="89"/>
  <c r="D70" i="89"/>
  <c r="EF69" i="89"/>
  <c r="EG69" i="89" s="1"/>
  <c r="DN69" i="89"/>
  <c r="DI69" i="89"/>
  <c r="DM69" i="89" s="1"/>
  <c r="DH69" i="89"/>
  <c r="DG69" i="89"/>
  <c r="DE69" i="89"/>
  <c r="CY69" i="89"/>
  <c r="CX69" i="89"/>
  <c r="DB69" i="89" s="1"/>
  <c r="CQ69" i="89"/>
  <c r="CL69" i="89"/>
  <c r="CF69" i="89"/>
  <c r="CC69" i="89"/>
  <c r="CB69" i="89"/>
  <c r="BZ69" i="89"/>
  <c r="BF69" i="89" s="1"/>
  <c r="BP69" i="89"/>
  <c r="BE69" i="89"/>
  <c r="BD69" i="89"/>
  <c r="BC69" i="89"/>
  <c r="AO69" i="89"/>
  <c r="Z69" i="89"/>
  <c r="W69" i="89"/>
  <c r="U69" i="89"/>
  <c r="T69" i="89"/>
  <c r="Q69" i="89"/>
  <c r="O69" i="89" s="1"/>
  <c r="M69" i="89"/>
  <c r="D69" i="89"/>
  <c r="EF68" i="89"/>
  <c r="EG68" i="89" s="1"/>
  <c r="DN68" i="89"/>
  <c r="DI68" i="89"/>
  <c r="DM68" i="89" s="1"/>
  <c r="DH68" i="89"/>
  <c r="DG68" i="89"/>
  <c r="DE68" i="89"/>
  <c r="CY68" i="89"/>
  <c r="CX68" i="89"/>
  <c r="DB68" i="89" s="1"/>
  <c r="CQ68" i="89"/>
  <c r="CL68" i="89"/>
  <c r="CF68" i="89"/>
  <c r="CC68" i="89"/>
  <c r="CB68" i="89"/>
  <c r="BZ68" i="89"/>
  <c r="BF68" i="89" s="1"/>
  <c r="BP68" i="89"/>
  <c r="BE68" i="89"/>
  <c r="BD68" i="89"/>
  <c r="BC68" i="89"/>
  <c r="AP68" i="89"/>
  <c r="AO68" i="89"/>
  <c r="Z68" i="89"/>
  <c r="W68" i="89"/>
  <c r="U68" i="89"/>
  <c r="T68" i="89"/>
  <c r="Q68" i="89"/>
  <c r="O68" i="89" s="1"/>
  <c r="M68" i="89"/>
  <c r="D68" i="89"/>
  <c r="EF67" i="89"/>
  <c r="EG67" i="89" s="1"/>
  <c r="DN67" i="89"/>
  <c r="DI67" i="89"/>
  <c r="DM67" i="89" s="1"/>
  <c r="DH67" i="89"/>
  <c r="DG67" i="89"/>
  <c r="DE67" i="89"/>
  <c r="CY67" i="89"/>
  <c r="CX67" i="89"/>
  <c r="DB67" i="89" s="1"/>
  <c r="CQ67" i="89"/>
  <c r="CL67" i="89"/>
  <c r="CF67" i="89"/>
  <c r="CC67" i="89"/>
  <c r="CB67" i="89"/>
  <c r="BZ67" i="89"/>
  <c r="BF67" i="89" s="1"/>
  <c r="BP67" i="89"/>
  <c r="BE67" i="89"/>
  <c r="BD67" i="89"/>
  <c r="BC67" i="89"/>
  <c r="AO67" i="89"/>
  <c r="Z67" i="89"/>
  <c r="W67" i="89"/>
  <c r="U67" i="89"/>
  <c r="T67" i="89"/>
  <c r="Q67" i="89"/>
  <c r="O67" i="89" s="1"/>
  <c r="M67" i="89"/>
  <c r="D67" i="89"/>
  <c r="EF66" i="89"/>
  <c r="EG66" i="89" s="1"/>
  <c r="DN66" i="89"/>
  <c r="DI66" i="89"/>
  <c r="DM66" i="89" s="1"/>
  <c r="DH66" i="89"/>
  <c r="DG66" i="89"/>
  <c r="CY66" i="89" s="1"/>
  <c r="DE66" i="89"/>
  <c r="CX66" i="89"/>
  <c r="DB66" i="89" s="1"/>
  <c r="CQ66" i="89"/>
  <c r="CL66" i="89"/>
  <c r="CF66" i="89"/>
  <c r="CC66" i="89"/>
  <c r="CB66" i="89"/>
  <c r="BZ66" i="89"/>
  <c r="BF66" i="89" s="1"/>
  <c r="BP66" i="89"/>
  <c r="BE66" i="89"/>
  <c r="AD66" i="89" s="1"/>
  <c r="BB66" i="89" s="1"/>
  <c r="BD66" i="89"/>
  <c r="BC66" i="89"/>
  <c r="AO66" i="89"/>
  <c r="Z66" i="89"/>
  <c r="W66" i="89"/>
  <c r="U66" i="89"/>
  <c r="T66" i="89"/>
  <c r="Q66" i="89"/>
  <c r="O66" i="89" s="1"/>
  <c r="M66" i="89"/>
  <c r="D66" i="89"/>
  <c r="EF65" i="89"/>
  <c r="EG65" i="89" s="1"/>
  <c r="DN65" i="89"/>
  <c r="DI65" i="89"/>
  <c r="DM65" i="89" s="1"/>
  <c r="DH65" i="89"/>
  <c r="DG65" i="89"/>
  <c r="DE65" i="89"/>
  <c r="CY65" i="89"/>
  <c r="CX65" i="89"/>
  <c r="DB65" i="89" s="1"/>
  <c r="CQ65" i="89"/>
  <c r="CL65" i="89"/>
  <c r="CF65" i="89"/>
  <c r="CC65" i="89"/>
  <c r="CB65" i="89"/>
  <c r="BZ65" i="89"/>
  <c r="BF65" i="89" s="1"/>
  <c r="BP65" i="89"/>
  <c r="BE65" i="89"/>
  <c r="BD65" i="89"/>
  <c r="BC65" i="89"/>
  <c r="AO65" i="89"/>
  <c r="Z65" i="89"/>
  <c r="W65" i="89"/>
  <c r="U65" i="89"/>
  <c r="T65" i="89"/>
  <c r="Q65" i="89"/>
  <c r="O65" i="89" s="1"/>
  <c r="M65" i="89"/>
  <c r="D65" i="89"/>
  <c r="EF64" i="89"/>
  <c r="EG64" i="89" s="1"/>
  <c r="DN64" i="89"/>
  <c r="DI64" i="89"/>
  <c r="DJ64" i="89" s="1"/>
  <c r="DH64" i="89"/>
  <c r="DG64" i="89"/>
  <c r="DE64" i="89"/>
  <c r="CX64" i="89"/>
  <c r="CQ64" i="89"/>
  <c r="CL64" i="89"/>
  <c r="CF64" i="89"/>
  <c r="CC64" i="89"/>
  <c r="CB64" i="89"/>
  <c r="BZ64" i="89"/>
  <c r="BF64" i="89" s="1"/>
  <c r="BP64" i="89"/>
  <c r="BE64" i="89"/>
  <c r="AD64" i="89" s="1"/>
  <c r="BD64" i="89"/>
  <c r="BC64" i="89"/>
  <c r="AO64" i="89"/>
  <c r="Z64" i="89"/>
  <c r="W64" i="89"/>
  <c r="U64" i="89"/>
  <c r="T64" i="89"/>
  <c r="Q64" i="89"/>
  <c r="O64" i="89" s="1"/>
  <c r="M64" i="89"/>
  <c r="D64" i="89"/>
  <c r="EF63" i="89"/>
  <c r="EG63" i="89" s="1"/>
  <c r="DN63" i="89"/>
  <c r="DI63" i="89"/>
  <c r="DJ63" i="89" s="1"/>
  <c r="DH63" i="89"/>
  <c r="DG63" i="89"/>
  <c r="CY63" i="89" s="1"/>
  <c r="DE63" i="89"/>
  <c r="CX63" i="89"/>
  <c r="CQ63" i="89"/>
  <c r="CL63" i="89"/>
  <c r="CF63" i="89"/>
  <c r="CC63" i="89"/>
  <c r="CB63" i="89"/>
  <c r="BZ63" i="89"/>
  <c r="BF63" i="89" s="1"/>
  <c r="BP63" i="89"/>
  <c r="BE63" i="89"/>
  <c r="AD63" i="89" s="1"/>
  <c r="BD63" i="89"/>
  <c r="BC63" i="89"/>
  <c r="AO63" i="89"/>
  <c r="Z63" i="89"/>
  <c r="W63" i="89"/>
  <c r="U63" i="89"/>
  <c r="T63" i="89"/>
  <c r="Q63" i="89"/>
  <c r="O63" i="89" s="1"/>
  <c r="M63" i="89"/>
  <c r="D63" i="89"/>
  <c r="EF62" i="89"/>
  <c r="EG62" i="89" s="1"/>
  <c r="DN62" i="89"/>
  <c r="DI62" i="89"/>
  <c r="DM62" i="89" s="1"/>
  <c r="DH62" i="89"/>
  <c r="DG62" i="89"/>
  <c r="DE62" i="89"/>
  <c r="CY62" i="89"/>
  <c r="CX62" i="89"/>
  <c r="DB62" i="89" s="1"/>
  <c r="CQ62" i="89"/>
  <c r="CL62" i="89"/>
  <c r="CF62" i="89"/>
  <c r="CC62" i="89"/>
  <c r="CB62" i="89"/>
  <c r="BZ62" i="89"/>
  <c r="BF62" i="89" s="1"/>
  <c r="BP62" i="89"/>
  <c r="BE62" i="89"/>
  <c r="BD62" i="89"/>
  <c r="BC62" i="89"/>
  <c r="AO62" i="89"/>
  <c r="Z62" i="89"/>
  <c r="W62" i="89"/>
  <c r="U62" i="89"/>
  <c r="T62" i="89"/>
  <c r="Q62" i="89"/>
  <c r="O62" i="89" s="1"/>
  <c r="M62" i="89"/>
  <c r="D62" i="89"/>
  <c r="CW82" i="89" l="1"/>
  <c r="CA82" i="89" s="1"/>
  <c r="CW77" i="89"/>
  <c r="CA77" i="89" s="1"/>
  <c r="X66" i="89"/>
  <c r="CK66" i="89" s="1"/>
  <c r="CW73" i="89"/>
  <c r="CA73" i="89" s="1"/>
  <c r="X74" i="89"/>
  <c r="CK74" i="89" s="1"/>
  <c r="AE75" i="89"/>
  <c r="DC77" i="89"/>
  <c r="CW81" i="89"/>
  <c r="CA81" i="89" s="1"/>
  <c r="DJ81" i="89"/>
  <c r="DC82" i="89"/>
  <c r="CW62" i="89"/>
  <c r="CA62" i="89" s="1"/>
  <c r="AE64" i="89"/>
  <c r="CW67" i="89"/>
  <c r="CA67" i="89" s="1"/>
  <c r="X38" i="89"/>
  <c r="CJ38" i="89" s="1"/>
  <c r="EO67" i="89"/>
  <c r="CY38" i="89"/>
  <c r="CZ38" i="89" s="1"/>
  <c r="DA38" i="89"/>
  <c r="AE62" i="89"/>
  <c r="DC62" i="89"/>
  <c r="AE67" i="89"/>
  <c r="DC67" i="89"/>
  <c r="CW69" i="89"/>
  <c r="X70" i="89"/>
  <c r="CK70" i="89" s="1"/>
  <c r="EN70" i="89"/>
  <c r="AE71" i="89"/>
  <c r="DC63" i="89"/>
  <c r="CW71" i="89"/>
  <c r="CA71" i="89" s="1"/>
  <c r="DJ71" i="89"/>
  <c r="X76" i="89"/>
  <c r="CK76" i="89" s="1"/>
  <c r="X81" i="89"/>
  <c r="CK81" i="89" s="1"/>
  <c r="DL38" i="89"/>
  <c r="CV38" i="89"/>
  <c r="BZ38" i="89" s="1"/>
  <c r="AE38" i="89"/>
  <c r="AE78" i="89"/>
  <c r="AE81" i="89"/>
  <c r="AE82" i="89"/>
  <c r="AC38" i="89"/>
  <c r="AQ38" i="89"/>
  <c r="BA38" i="89"/>
  <c r="CD38" i="89" s="1"/>
  <c r="CC38" i="89" s="1"/>
  <c r="EN63" i="89"/>
  <c r="AE63" i="89"/>
  <c r="X64" i="89"/>
  <c r="CK64" i="89" s="1"/>
  <c r="AE65" i="89"/>
  <c r="X72" i="89"/>
  <c r="CK72" i="89" s="1"/>
  <c r="AE77" i="89"/>
  <c r="AE79" i="89"/>
  <c r="AE80" i="89"/>
  <c r="EK38" i="89"/>
  <c r="EL38" i="89"/>
  <c r="DB38" i="89"/>
  <c r="AR38" i="89"/>
  <c r="AP38" i="89"/>
  <c r="EO69" i="89"/>
  <c r="CA69" i="89"/>
  <c r="X63" i="89"/>
  <c r="CK63" i="89" s="1"/>
  <c r="X65" i="89"/>
  <c r="CK65" i="89" s="1"/>
  <c r="EN65" i="89"/>
  <c r="CW65" i="89"/>
  <c r="CA65" i="89" s="1"/>
  <c r="DJ65" i="89"/>
  <c r="X68" i="89"/>
  <c r="CK68" i="89" s="1"/>
  <c r="EN68" i="89"/>
  <c r="CW68" i="89"/>
  <c r="CA68" i="89" s="1"/>
  <c r="DJ68" i="89"/>
  <c r="AE69" i="89"/>
  <c r="DC69" i="89"/>
  <c r="AE70" i="89"/>
  <c r="AE73" i="89"/>
  <c r="DC73" i="89"/>
  <c r="EN74" i="89"/>
  <c r="AE74" i="89"/>
  <c r="X75" i="89"/>
  <c r="CK75" i="89" s="1"/>
  <c r="EN75" i="89"/>
  <c r="CW75" i="89"/>
  <c r="CA75" i="89" s="1"/>
  <c r="DJ75" i="89"/>
  <c r="X78" i="89"/>
  <c r="CK78" i="89" s="1"/>
  <c r="X79" i="89"/>
  <c r="CK79" i="89" s="1"/>
  <c r="EN79" i="89"/>
  <c r="CW80" i="89"/>
  <c r="CA80" i="89" s="1"/>
  <c r="DJ80" i="89"/>
  <c r="X83" i="89"/>
  <c r="CK83" i="89" s="1"/>
  <c r="EN83" i="89"/>
  <c r="X84" i="89"/>
  <c r="CK84" i="89" s="1"/>
  <c r="AP64" i="89"/>
  <c r="AC64" i="89"/>
  <c r="BB64" i="89"/>
  <c r="CE64" i="89" s="1"/>
  <c r="CE83" i="89"/>
  <c r="AA83" i="89"/>
  <c r="EO65" i="89"/>
  <c r="EO68" i="89"/>
  <c r="X62" i="89"/>
  <c r="CK62" i="89" s="1"/>
  <c r="EN62" i="89"/>
  <c r="DJ62" i="89"/>
  <c r="DM64" i="89"/>
  <c r="DC65" i="89"/>
  <c r="EN66" i="89"/>
  <c r="AE66" i="89"/>
  <c r="X67" i="89"/>
  <c r="CK67" i="89" s="1"/>
  <c r="EN67" i="89"/>
  <c r="DJ67" i="89"/>
  <c r="AR68" i="89"/>
  <c r="DC68" i="89"/>
  <c r="DJ69" i="89"/>
  <c r="DC71" i="89"/>
  <c r="EN72" i="89"/>
  <c r="AE72" i="89"/>
  <c r="AR72" i="89" s="1"/>
  <c r="X73" i="89"/>
  <c r="CK73" i="89" s="1"/>
  <c r="EN73" i="89"/>
  <c r="DJ73" i="89"/>
  <c r="DC75" i="89"/>
  <c r="EN76" i="89"/>
  <c r="AE76" i="89"/>
  <c r="AR76" i="89" s="1"/>
  <c r="X77" i="89"/>
  <c r="CK77" i="89" s="1"/>
  <c r="EN77" i="89"/>
  <c r="DJ77" i="89"/>
  <c r="CW78" i="89"/>
  <c r="DJ78" i="89"/>
  <c r="DC80" i="89"/>
  <c r="DC81" i="89"/>
  <c r="DJ82" i="89"/>
  <c r="AE83" i="89"/>
  <c r="DM83" i="89"/>
  <c r="EN84" i="89"/>
  <c r="AE84" i="89"/>
  <c r="AR84" i="89" s="1"/>
  <c r="DM84" i="89"/>
  <c r="AR63" i="89"/>
  <c r="EO62" i="89"/>
  <c r="AQ63" i="89"/>
  <c r="BB63" i="89"/>
  <c r="CZ63" i="89"/>
  <c r="DA63" i="89" s="1"/>
  <c r="DB63" i="89"/>
  <c r="DM63" i="89"/>
  <c r="DB64" i="89"/>
  <c r="AA66" i="89"/>
  <c r="CE66" i="89"/>
  <c r="AD62" i="89"/>
  <c r="CZ62" i="89"/>
  <c r="DA62" i="89" s="1"/>
  <c r="AC63" i="89"/>
  <c r="AP63" i="89"/>
  <c r="CW63" i="89"/>
  <c r="AA64" i="89"/>
  <c r="AR64" i="89"/>
  <c r="EN64" i="89"/>
  <c r="AQ64" i="89"/>
  <c r="CZ64" i="89"/>
  <c r="CY64" i="89"/>
  <c r="DC64" i="89" s="1"/>
  <c r="CW64" i="89"/>
  <c r="AD65" i="89"/>
  <c r="CZ65" i="89"/>
  <c r="DA65" i="89" s="1"/>
  <c r="AC66" i="89"/>
  <c r="AP66" i="89"/>
  <c r="AR66" i="89"/>
  <c r="CW66" i="89"/>
  <c r="DC66" i="89"/>
  <c r="DJ66" i="89"/>
  <c r="AD67" i="89"/>
  <c r="CZ67" i="89"/>
  <c r="DA67" i="89" s="1"/>
  <c r="AQ68" i="89"/>
  <c r="BB68" i="89"/>
  <c r="CZ68" i="89"/>
  <c r="DA68" i="89" s="1"/>
  <c r="X69" i="89"/>
  <c r="CK69" i="89" s="1"/>
  <c r="AR70" i="89"/>
  <c r="AP70" i="89"/>
  <c r="AC70" i="89"/>
  <c r="AQ70" i="89"/>
  <c r="CY70" i="89"/>
  <c r="DA70" i="89" s="1"/>
  <c r="CW70" i="89"/>
  <c r="EN71" i="89"/>
  <c r="AD71" i="89"/>
  <c r="CA78" i="89"/>
  <c r="EO78" i="89"/>
  <c r="AQ66" i="89"/>
  <c r="CZ66" i="89"/>
  <c r="DA66" i="89" s="1"/>
  <c r="EN69" i="89"/>
  <c r="AD69" i="89"/>
  <c r="BB70" i="89"/>
  <c r="DB70" i="89"/>
  <c r="DM70" i="89"/>
  <c r="X71" i="89"/>
  <c r="CK71" i="89" s="1"/>
  <c r="EO71" i="89"/>
  <c r="AR74" i="89"/>
  <c r="AR78" i="89"/>
  <c r="AQ72" i="89"/>
  <c r="BB72" i="89"/>
  <c r="CZ72" i="89"/>
  <c r="DA72" i="89" s="1"/>
  <c r="DB72" i="89"/>
  <c r="DM72" i="89"/>
  <c r="EO73" i="89"/>
  <c r="AQ74" i="89"/>
  <c r="BB74" i="89"/>
  <c r="CZ74" i="89"/>
  <c r="DA74" i="89" s="1"/>
  <c r="DB74" i="89"/>
  <c r="DM74" i="89"/>
  <c r="EO75" i="89"/>
  <c r="AQ76" i="89"/>
  <c r="BB76" i="89"/>
  <c r="CZ76" i="89"/>
  <c r="DA76" i="89" s="1"/>
  <c r="DB76" i="89"/>
  <c r="DM76" i="89"/>
  <c r="EO77" i="89"/>
  <c r="AQ78" i="89"/>
  <c r="BB78" i="89"/>
  <c r="DB78" i="89"/>
  <c r="CZ78" i="89"/>
  <c r="DA78" i="89" s="1"/>
  <c r="AR79" i="89"/>
  <c r="AP79" i="89"/>
  <c r="AC79" i="89"/>
  <c r="AQ79" i="89"/>
  <c r="CY79" i="89"/>
  <c r="DA79" i="89" s="1"/>
  <c r="CW79" i="89"/>
  <c r="EN80" i="89"/>
  <c r="AD80" i="89"/>
  <c r="EO81" i="89"/>
  <c r="EN81" i="89"/>
  <c r="EN82" i="89"/>
  <c r="AD82" i="89"/>
  <c r="DB83" i="89"/>
  <c r="CE84" i="89"/>
  <c r="AA84" i="89"/>
  <c r="DB84" i="89"/>
  <c r="CZ69" i="89"/>
  <c r="DA69" i="89" s="1"/>
  <c r="CZ71" i="89"/>
  <c r="DA71" i="89" s="1"/>
  <c r="AC72" i="89"/>
  <c r="AP72" i="89"/>
  <c r="CW72" i="89"/>
  <c r="AD73" i="89"/>
  <c r="CZ73" i="89"/>
  <c r="DA73" i="89" s="1"/>
  <c r="AC74" i="89"/>
  <c r="AP74" i="89"/>
  <c r="CW74" i="89"/>
  <c r="AD75" i="89"/>
  <c r="CZ75" i="89"/>
  <c r="DA75" i="89" s="1"/>
  <c r="AC76" i="89"/>
  <c r="AP76" i="89"/>
  <c r="CW76" i="89"/>
  <c r="AD77" i="89"/>
  <c r="CZ77" i="89"/>
  <c r="DA77" i="89" s="1"/>
  <c r="AC78" i="89"/>
  <c r="AP78" i="89"/>
  <c r="EN78" i="89"/>
  <c r="DC78" i="89"/>
  <c r="BB79" i="89"/>
  <c r="DC79" i="89"/>
  <c r="DB79" i="89"/>
  <c r="DM79" i="89"/>
  <c r="X80" i="89"/>
  <c r="CK80" i="89" s="1"/>
  <c r="EO80" i="89"/>
  <c r="AD81" i="89"/>
  <c r="X82" i="89"/>
  <c r="CK82" i="89" s="1"/>
  <c r="EO82" i="89"/>
  <c r="AR83" i="89"/>
  <c r="AP83" i="89"/>
  <c r="AC83" i="89"/>
  <c r="AQ83" i="89"/>
  <c r="CD83" i="89"/>
  <c r="CZ83" i="89"/>
  <c r="CY83" i="89"/>
  <c r="DC83" i="89" s="1"/>
  <c r="CW83" i="89"/>
  <c r="AQ84" i="89"/>
  <c r="CD84" i="89"/>
  <c r="CZ84" i="89"/>
  <c r="CY84" i="89"/>
  <c r="DC84" i="89" s="1"/>
  <c r="CW84" i="89"/>
  <c r="CZ80" i="89"/>
  <c r="DA80" i="89" s="1"/>
  <c r="CZ81" i="89"/>
  <c r="DA81" i="89" s="1"/>
  <c r="CZ82" i="89"/>
  <c r="DA82" i="89" s="1"/>
  <c r="CD64" i="89" l="1"/>
  <c r="CD66" i="89"/>
  <c r="DA84" i="89"/>
  <c r="AA38" i="89"/>
  <c r="DC38" i="89"/>
  <c r="CU38" i="89" s="1"/>
  <c r="DC70" i="89"/>
  <c r="EO84" i="89"/>
  <c r="CA84" i="89"/>
  <c r="DD84" i="89"/>
  <c r="BB81" i="89"/>
  <c r="AR81" i="89"/>
  <c r="AC81" i="89"/>
  <c r="AS81" i="89"/>
  <c r="AG81" i="89"/>
  <c r="BB77" i="89"/>
  <c r="AQ77" i="89"/>
  <c r="AR77" i="89"/>
  <c r="AP77" i="89"/>
  <c r="AC77" i="89"/>
  <c r="BB75" i="89"/>
  <c r="AQ75" i="89"/>
  <c r="AR75" i="89"/>
  <c r="AP75" i="89"/>
  <c r="AC75" i="89"/>
  <c r="BB73" i="89"/>
  <c r="AQ73" i="89"/>
  <c r="AR73" i="89"/>
  <c r="AP73" i="89"/>
  <c r="AC73" i="89"/>
  <c r="BB82" i="89"/>
  <c r="AQ82" i="89"/>
  <c r="AR82" i="89"/>
  <c r="AC82" i="89"/>
  <c r="AP82" i="89"/>
  <c r="EO79" i="89"/>
  <c r="CA79" i="89"/>
  <c r="DD79" i="89"/>
  <c r="CE78" i="89"/>
  <c r="CD78" i="89" s="1"/>
  <c r="AA78" i="89"/>
  <c r="CE74" i="89"/>
  <c r="CD74" i="89" s="1"/>
  <c r="AA74" i="89"/>
  <c r="BB69" i="89"/>
  <c r="AQ69" i="89"/>
  <c r="AP69" i="89"/>
  <c r="AR69" i="89"/>
  <c r="AC69" i="89"/>
  <c r="BB71" i="89"/>
  <c r="AQ71" i="89"/>
  <c r="AR71" i="89"/>
  <c r="AC71" i="89"/>
  <c r="AP71" i="89"/>
  <c r="CE68" i="89"/>
  <c r="CD68" i="89" s="1"/>
  <c r="AA68" i="89"/>
  <c r="DD66" i="89"/>
  <c r="EO66" i="89"/>
  <c r="CA66" i="89"/>
  <c r="CV66" i="89" s="1"/>
  <c r="BB62" i="89"/>
  <c r="AQ62" i="89"/>
  <c r="AR62" i="89"/>
  <c r="AP62" i="89"/>
  <c r="AC62" i="89"/>
  <c r="EO83" i="89"/>
  <c r="CA83" i="89"/>
  <c r="DD83" i="89"/>
  <c r="DA83" i="89"/>
  <c r="CE79" i="89"/>
  <c r="CD79" i="89" s="1"/>
  <c r="AA79" i="89"/>
  <c r="EO76" i="89"/>
  <c r="CA76" i="89"/>
  <c r="DD76" i="89"/>
  <c r="EO74" i="89"/>
  <c r="CA74" i="89"/>
  <c r="DD74" i="89"/>
  <c r="CV74" i="89" s="1"/>
  <c r="EO72" i="89"/>
  <c r="CA72" i="89"/>
  <c r="DD72" i="89"/>
  <c r="BB80" i="89"/>
  <c r="AQ80" i="89"/>
  <c r="AR80" i="89"/>
  <c r="AC80" i="89"/>
  <c r="AP80" i="89"/>
  <c r="CE76" i="89"/>
  <c r="CD76" i="89" s="1"/>
  <c r="AA76" i="89"/>
  <c r="CE72" i="89"/>
  <c r="CD72" i="89" s="1"/>
  <c r="AA72" i="89"/>
  <c r="CE70" i="89"/>
  <c r="CD70" i="89" s="1"/>
  <c r="AA70" i="89"/>
  <c r="DD78" i="89"/>
  <c r="CV78" i="89" s="1"/>
  <c r="EO70" i="89"/>
  <c r="CA70" i="89"/>
  <c r="DD70" i="89"/>
  <c r="DD68" i="89"/>
  <c r="CV68" i="89" s="1"/>
  <c r="AR67" i="89"/>
  <c r="AP67" i="89"/>
  <c r="AC67" i="89"/>
  <c r="BB67" i="89"/>
  <c r="AQ67" i="89"/>
  <c r="AR65" i="89"/>
  <c r="AP65" i="89"/>
  <c r="AC65" i="89"/>
  <c r="BB65" i="89"/>
  <c r="AQ65" i="89"/>
  <c r="EO64" i="89"/>
  <c r="CA64" i="89"/>
  <c r="DD64" i="89"/>
  <c r="DA64" i="89"/>
  <c r="EO63" i="89"/>
  <c r="CA63" i="89"/>
  <c r="DD63" i="89"/>
  <c r="CE63" i="89"/>
  <c r="CD63" i="89" s="1"/>
  <c r="AA63" i="89"/>
  <c r="CV63" i="89" l="1"/>
  <c r="CV70" i="89"/>
  <c r="CV76" i="89"/>
  <c r="CV83" i="89"/>
  <c r="CV79" i="89"/>
  <c r="CV84" i="89"/>
  <c r="CV64" i="89"/>
  <c r="CV72" i="89"/>
  <c r="CE67" i="89"/>
  <c r="CD67" i="89" s="1"/>
  <c r="AA67" i="89"/>
  <c r="DD67" i="89"/>
  <c r="CV67" i="89" s="1"/>
  <c r="CE80" i="89"/>
  <c r="CD80" i="89" s="1"/>
  <c r="AA80" i="89"/>
  <c r="DD80" i="89"/>
  <c r="CV80" i="89" s="1"/>
  <c r="CE71" i="89"/>
  <c r="CD71" i="89" s="1"/>
  <c r="DD71" i="89"/>
  <c r="CV71" i="89" s="1"/>
  <c r="AA71" i="89"/>
  <c r="CE73" i="89"/>
  <c r="CD73" i="89" s="1"/>
  <c r="AA73" i="89"/>
  <c r="DD73" i="89"/>
  <c r="CV73" i="89" s="1"/>
  <c r="CE77" i="89"/>
  <c r="CD77" i="89" s="1"/>
  <c r="DD77" i="89"/>
  <c r="CV77" i="89" s="1"/>
  <c r="AA77" i="89"/>
  <c r="CE65" i="89"/>
  <c r="CD65" i="89" s="1"/>
  <c r="AA65" i="89"/>
  <c r="DD65" i="89"/>
  <c r="CV65" i="89" s="1"/>
  <c r="CE62" i="89"/>
  <c r="CD62" i="89" s="1"/>
  <c r="DD62" i="89"/>
  <c r="CV62" i="89" s="1"/>
  <c r="AA62" i="89"/>
  <c r="CE69" i="89"/>
  <c r="CD69" i="89" s="1"/>
  <c r="DD69" i="89"/>
  <c r="CV69" i="89" s="1"/>
  <c r="AA69" i="89"/>
  <c r="CE82" i="89"/>
  <c r="CD82" i="89" s="1"/>
  <c r="DD82" i="89"/>
  <c r="CV82" i="89" s="1"/>
  <c r="AA82" i="89"/>
  <c r="CE75" i="89"/>
  <c r="CD75" i="89" s="1"/>
  <c r="DD75" i="89"/>
  <c r="CV75" i="89" s="1"/>
  <c r="AA75" i="89"/>
  <c r="CE81" i="89"/>
  <c r="CD81" i="89" s="1"/>
  <c r="AA81" i="89"/>
  <c r="DD81" i="89"/>
  <c r="CV81" i="89" s="1"/>
  <c r="DU60" i="88" l="1"/>
  <c r="DV60" i="88" s="1"/>
  <c r="DE60" i="88"/>
  <c r="CZ60" i="88"/>
  <c r="DD60" i="88" s="1"/>
  <c r="CY60" i="88"/>
  <c r="CX60" i="88"/>
  <c r="CP60" i="88" s="1"/>
  <c r="CV60" i="88"/>
  <c r="CO60" i="88"/>
  <c r="CS60" i="88" s="1"/>
  <c r="CH60" i="88"/>
  <c r="CC60" i="88"/>
  <c r="BX60" i="88"/>
  <c r="BW60" i="88"/>
  <c r="BQ60" i="88"/>
  <c r="BO60" i="88"/>
  <c r="BF60" i="88"/>
  <c r="BD60" i="88"/>
  <c r="BB60" i="88"/>
  <c r="AD60" i="88" s="1"/>
  <c r="BA60" i="88"/>
  <c r="AX60" i="88"/>
  <c r="AA60" i="88" s="1"/>
  <c r="Z60" i="88"/>
  <c r="W60" i="88"/>
  <c r="U60" i="88"/>
  <c r="T60" i="88"/>
  <c r="Q60" i="88"/>
  <c r="D60" i="88"/>
  <c r="EB58" i="88"/>
  <c r="EC58" i="88" s="1"/>
  <c r="DL58" i="88"/>
  <c r="DG58" i="88"/>
  <c r="DK58" i="88" s="1"/>
  <c r="DF58" i="88"/>
  <c r="DE58" i="88"/>
  <c r="DC58" i="88"/>
  <c r="CW58" i="88"/>
  <c r="CV58" i="88"/>
  <c r="CZ58" i="88" s="1"/>
  <c r="CO58" i="88"/>
  <c r="CJ58" i="88"/>
  <c r="CD58" i="88"/>
  <c r="CA58" i="88"/>
  <c r="BZ58" i="88"/>
  <c r="BX58" i="88"/>
  <c r="BE58" i="88" s="1"/>
  <c r="BD58" i="88"/>
  <c r="AD58" i="88" s="1"/>
  <c r="BC58" i="88"/>
  <c r="AZ58" i="88"/>
  <c r="AM58" i="88"/>
  <c r="Z58" i="88"/>
  <c r="W58" i="88"/>
  <c r="U58" i="88"/>
  <c r="T58" i="88"/>
  <c r="Q58" i="88"/>
  <c r="O58" i="88" s="1"/>
  <c r="D58" i="88"/>
  <c r="EB13" i="88"/>
  <c r="DT13" i="88"/>
  <c r="DU13" i="88" s="1"/>
  <c r="DD13" i="88"/>
  <c r="CY13" i="88"/>
  <c r="DC13" i="88" s="1"/>
  <c r="CX13" i="88"/>
  <c r="CW13" i="88"/>
  <c r="CU13" i="88"/>
  <c r="CO13" i="88"/>
  <c r="CN13" i="88"/>
  <c r="CR13" i="88" s="1"/>
  <c r="CG13" i="88"/>
  <c r="CB13" i="88"/>
  <c r="CA13" i="88"/>
  <c r="BY13" i="88"/>
  <c r="BX13" i="88" l="1"/>
  <c r="X58" i="88"/>
  <c r="CI58" i="88" s="1"/>
  <c r="AE60" i="88"/>
  <c r="EJ58" i="88"/>
  <c r="CU58" i="88"/>
  <c r="BY58" i="88" s="1"/>
  <c r="DH58" i="88"/>
  <c r="X60" i="88"/>
  <c r="CB60" i="88" s="1"/>
  <c r="BY60" i="88" s="1"/>
  <c r="EC60" i="88"/>
  <c r="CM13" i="88"/>
  <c r="CT13" i="88" s="1"/>
  <c r="CL13" i="88" s="1"/>
  <c r="CS13" i="88"/>
  <c r="CZ13" i="88"/>
  <c r="CP13" i="88"/>
  <c r="CQ13" i="88" s="1"/>
  <c r="AE58" i="88"/>
  <c r="AP58" i="88" s="1"/>
  <c r="DA58" i="88"/>
  <c r="CN60" i="88"/>
  <c r="CT60" i="88"/>
  <c r="DA60" i="88"/>
  <c r="CX58" i="88"/>
  <c r="CY58" i="88" s="1"/>
  <c r="CQ60" i="88"/>
  <c r="CR60" i="88" s="1"/>
  <c r="AO58" i="88"/>
  <c r="AY58" i="88"/>
  <c r="AG60" i="88"/>
  <c r="AQ60" i="88"/>
  <c r="AC58" i="88"/>
  <c r="AN58" i="88"/>
  <c r="AC60" i="88"/>
  <c r="AP60" i="88"/>
  <c r="EK58" i="88" l="1"/>
  <c r="EC13" i="88"/>
  <c r="ED60" i="88"/>
  <c r="CU60" i="88"/>
  <c r="BP60" i="88"/>
  <c r="DB58" i="88"/>
  <c r="CT58" i="88" s="1"/>
  <c r="CC58" i="88"/>
  <c r="CB58" i="88" s="1"/>
  <c r="AA58" i="88"/>
  <c r="CM60" i="88" l="1"/>
</calcChain>
</file>

<file path=xl/sharedStrings.xml><?xml version="1.0" encoding="utf-8"?>
<sst xmlns="http://schemas.openxmlformats.org/spreadsheetml/2006/main" count="3509" uniqueCount="431">
  <si>
    <t>Phòng Hành chính - Tổng hợp,</t>
  </si>
  <si>
    <t>Bộ môn Mác - Lê nin và Tư tưởng Hồ Chí Minh,</t>
  </si>
  <si>
    <t>Bộ môn Nhà nước và Pháp luật,</t>
  </si>
  <si>
    <t>1968</t>
  </si>
  <si>
    <t>1986</t>
  </si>
  <si>
    <t>06</t>
  </si>
  <si>
    <t>Nguyễn Thị Thu Hương</t>
  </si>
  <si>
    <t>1956</t>
  </si>
  <si>
    <t>Nguyễn Tiến Hiệp</t>
  </si>
  <si>
    <t>Mai Vân Bình</t>
  </si>
  <si>
    <t>Nguyễn Thế Trang</t>
  </si>
  <si>
    <t>Nguyễn Hữu Hải</t>
  </si>
  <si>
    <t>Lê Thị Hằng</t>
  </si>
  <si>
    <t>Bộ môn Văn hóa - Giáo dục - Y tế,</t>
  </si>
  <si>
    <t>Bộ môn Dân số - Lao động - Bảo trợ xã hội,</t>
  </si>
  <si>
    <t>Trịnh Đức Hưng</t>
  </si>
  <si>
    <t>Trương Thị Ngọc Lan</t>
  </si>
  <si>
    <t>Hoàng Thị Bích Loan</t>
  </si>
  <si>
    <t>Lương Minh Việt</t>
  </si>
  <si>
    <t>Nguyễn Hoàng Quy</t>
  </si>
  <si>
    <t>Vũ Thị Bích Ngọc</t>
  </si>
  <si>
    <t>Vũ Thị Thu Hằng</t>
  </si>
  <si>
    <t>Khuất Việt Hải</t>
  </si>
  <si>
    <t>Phạm Thị Thanh Vân</t>
  </si>
  <si>
    <t>Phòng Liên kết đào tạo,</t>
  </si>
  <si>
    <t>Nguyễn Minh Sản</t>
  </si>
  <si>
    <t>Nguyễn Thị Thanh Thủy</t>
  </si>
  <si>
    <t>Hoàng Xuân Tuyền</t>
  </si>
  <si>
    <t>Lê Ngọc Hồng</t>
  </si>
  <si>
    <t>/-/ /-/</t>
  </si>
  <si>
    <t>Nguyễn Thị Hoàng Oanh</t>
  </si>
  <si>
    <t>Nguyễn Chu Anh Tuấn</t>
  </si>
  <si>
    <t>Nguyễn Thị Quế Hương</t>
  </si>
  <si>
    <t>Trần Cao Tùng</t>
  </si>
  <si>
    <t>Lưu Thị Nhung</t>
  </si>
  <si>
    <t>Bùi Minh Châu</t>
  </si>
  <si>
    <t>Nguyễn Thái Học</t>
  </si>
  <si>
    <t>Bộ môn Ngoại ngữ,</t>
  </si>
  <si>
    <t>Đặng Thị Thanh Tâm</t>
  </si>
  <si>
    <t>Bộ môn Hành chính học,</t>
  </si>
  <si>
    <t>Bùi Thị Mai</t>
  </si>
  <si>
    <t>Đào Đăng Kiên</t>
  </si>
  <si>
    <t>Bộ môn Quản lý Tài chính công,</t>
  </si>
  <si>
    <t>1985</t>
  </si>
  <si>
    <t>Trần Đức Tuấn</t>
  </si>
  <si>
    <t>Trần Anh Hùng</t>
  </si>
  <si>
    <t>Trương Thị Như Lan</t>
  </si>
  <si>
    <t>Lưu Chí Quang</t>
  </si>
  <si>
    <t>Lương Đức Minh</t>
  </si>
  <si>
    <t>Dương Thị Kim Huệ</t>
  </si>
  <si>
    <t>Nguyễn Băng Nhân</t>
  </si>
  <si>
    <t>Nguyễn Thị Hà78</t>
  </si>
  <si>
    <t>CVụ</t>
  </si>
  <si>
    <t>A1</t>
  </si>
  <si>
    <t>A3.1</t>
  </si>
  <si>
    <t>TEN</t>
  </si>
  <si>
    <t>T1</t>
  </si>
  <si>
    <t>M1</t>
  </si>
  <si>
    <t>T2</t>
  </si>
  <si>
    <t>M2</t>
  </si>
  <si>
    <t>GT</t>
  </si>
  <si>
    <t>Bộ môn Quản lý ngân sách nhà nước,</t>
  </si>
  <si>
    <t>Bộ môn Kế toán - Kiểm toán,</t>
  </si>
  <si>
    <t>---</t>
  </si>
  <si>
    <t>Ban Đào tạo</t>
  </si>
  <si>
    <t>Bộ môn Ngoại ngữ</t>
  </si>
  <si>
    <t>Khoa Hành chính học</t>
  </si>
  <si>
    <t>Khoa Quản lý nhà nước về Xã hội</t>
  </si>
  <si>
    <t>Khoa Quản lý nhà nước về Kinh tế</t>
  </si>
  <si>
    <t>Trung tâm Tin học - Thư viện</t>
  </si>
  <si>
    <t>Viện Nghiên cứu Khoa học hành chính</t>
  </si>
  <si>
    <t>Khoa Quản lý Tài chính công</t>
  </si>
  <si>
    <t>Khoa Sau đại học</t>
  </si>
  <si>
    <t>Khoa Tổ chức và Quản lý nhân sự</t>
  </si>
  <si>
    <t>Khoa Văn bản và Công nghệ hành chính</t>
  </si>
  <si>
    <t>Trung tâm Ngoại ngữ</t>
  </si>
  <si>
    <t>MÃ SỐ NGẠCH</t>
  </si>
  <si>
    <t>GHI 
CHÚ</t>
  </si>
  <si>
    <t>Khoa Lý luận cơ sở</t>
  </si>
  <si>
    <t>Phòng Đào tạo, bồi dưỡng theo chức danh,</t>
  </si>
  <si>
    <t>Lý Thị Huệ</t>
  </si>
  <si>
    <t>Bộ môn Kỹ năng quản lý nhà nước về kinh tế,</t>
  </si>
  <si>
    <t>Phạm Thị Thúy</t>
  </si>
  <si>
    <t>Ông</t>
  </si>
  <si>
    <t>Bà</t>
  </si>
  <si>
    <t>Khoa Đào tạo, Bồi dưỡng công chức và Tại chức</t>
  </si>
  <si>
    <t xml:space="preserve">           </t>
  </si>
  <si>
    <t>01.003</t>
  </si>
  <si>
    <t>01.011</t>
  </si>
  <si>
    <t>01.005</t>
  </si>
  <si>
    <t>. .</t>
  </si>
  <si>
    <t>Đến 30</t>
  </si>
  <si>
    <t>TD</t>
  </si>
  <si>
    <t>Từ mức</t>
  </si>
  <si>
    <t>Lên mức</t>
  </si>
  <si>
    <t>Pc2</t>
  </si>
  <si>
    <t>- - -</t>
  </si>
  <si>
    <t>--</t>
  </si>
  <si>
    <t>CỘNG HÒA XÃ HỘI CHỦ NGHĨA VIỆT NAM</t>
  </si>
  <si>
    <t>Độc lập - Tự do - Hạnh phúc</t>
  </si>
  <si>
    <t>nhà giáo</t>
  </si>
  <si>
    <t>ĐỦ ĐIỀU KIỆN 
NÂNG PCTN</t>
  </si>
  <si>
    <t>Kể từ</t>
  </si>
  <si>
    <t>Thời gian Ko đc tính</t>
  </si>
  <si>
    <t>Thời gian giữ mức Pc</t>
  </si>
  <si>
    <t>Ds đủ ĐK nâng PC</t>
  </si>
  <si>
    <t>BP</t>
  </si>
  <si>
    <t>DV</t>
  </si>
  <si>
    <t>Ma Ngach</t>
  </si>
  <si>
    <t>Pc1</t>
  </si>
  <si>
    <t>m</t>
  </si>
  <si>
    <t>y</t>
  </si>
  <si>
    <t>Trần Thị Phương Thảo</t>
  </si>
  <si>
    <t>NN</t>
  </si>
  <si>
    <t>Phó Giám đốc Học viện</t>
  </si>
  <si>
    <t>Nguyên Trưởng khoa</t>
  </si>
  <si>
    <t>Phó Trưởng khoa</t>
  </si>
  <si>
    <t>Trưởng phòng</t>
  </si>
  <si>
    <t>Phó Trưởng phòng</t>
  </si>
  <si>
    <t>0,4</t>
  </si>
  <si>
    <t>Trưởng bộ môn</t>
  </si>
  <si>
    <t>Phó Trưởng bộ môn</t>
  </si>
  <si>
    <t>Nguyên Phó Giám đốc Học viện</t>
  </si>
  <si>
    <t>A3</t>
  </si>
  <si>
    <t>Bộ môn Khoa học hành chính,</t>
  </si>
  <si>
    <t>=&gt; s</t>
  </si>
  <si>
    <t>Cùg Ng</t>
  </si>
  <si>
    <t>Xếp Lg</t>
  </si>
  <si>
    <t>Nguyễn Thị Hà</t>
  </si>
  <si>
    <t>Nguyễn Thanh Bình</t>
  </si>
  <si>
    <t>16</t>
  </si>
  <si>
    <t>22</t>
  </si>
  <si>
    <t>26</t>
  </si>
  <si>
    <t>24</t>
  </si>
  <si>
    <t>17</t>
  </si>
  <si>
    <t>20</t>
  </si>
  <si>
    <t>21</t>
  </si>
  <si>
    <t>23</t>
  </si>
  <si>
    <t>25</t>
  </si>
  <si>
    <t>28</t>
  </si>
  <si>
    <t>27</t>
  </si>
  <si>
    <t>Thư viện,</t>
  </si>
  <si>
    <t>30</t>
  </si>
  <si>
    <t>31</t>
  </si>
  <si>
    <t>Ứng Văn Nam</t>
  </si>
  <si>
    <t>Hồ Minh Hiếu</t>
  </si>
  <si>
    <t>Hồ Thị Thu Hằng</t>
  </si>
  <si>
    <t>Nguyễn Huy Chiến</t>
  </si>
  <si>
    <t>Công Phương Phúc</t>
  </si>
  <si>
    <t>Trần Mạnh Hùng</t>
  </si>
  <si>
    <t>Mai Đình Lâm</t>
  </si>
  <si>
    <t>Vũ Tất Đạt</t>
  </si>
  <si>
    <t xml:space="preserve">Bộ môn Quản lý nhà nước về Kinh tế, </t>
  </si>
  <si>
    <t>SỐ
TT</t>
  </si>
  <si>
    <t>A2</t>
  </si>
  <si>
    <t>A2.1</t>
  </si>
  <si>
    <t>S</t>
  </si>
  <si>
    <t>I</t>
  </si>
  <si>
    <t>B</t>
  </si>
  <si>
    <t>Hà Mai Anh</t>
  </si>
  <si>
    <t>(Đã ký)</t>
  </si>
  <si>
    <t>PGS</t>
  </si>
  <si>
    <t>1977</t>
  </si>
  <si>
    <t>Tổng số:</t>
  </si>
  <si>
    <t>người</t>
  </si>
  <si>
    <t>Bộ môn Tổ chức nhân sự,</t>
  </si>
  <si>
    <t>Bộ môn Kỹ thuật hành chính,</t>
  </si>
  <si>
    <t>Phòng Đào tạo,</t>
  </si>
  <si>
    <t>1979</t>
  </si>
  <si>
    <t>1973</t>
  </si>
  <si>
    <t>1965</t>
  </si>
  <si>
    <t>1969</t>
  </si>
  <si>
    <t>1955</t>
  </si>
  <si>
    <t>08</t>
  </si>
  <si>
    <t>07</t>
  </si>
  <si>
    <t>03</t>
  </si>
  <si>
    <t>Ko hạn</t>
  </si>
  <si>
    <t>09</t>
  </si>
  <si>
    <t>%</t>
  </si>
  <si>
    <t>1983</t>
  </si>
  <si>
    <t>1966</t>
  </si>
  <si>
    <t>Chuyên viên</t>
  </si>
  <si>
    <t>Kế toán viên</t>
  </si>
  <si>
    <t>01</t>
  </si>
  <si>
    <t>02</t>
  </si>
  <si>
    <t>5</t>
  </si>
  <si>
    <t>6</t>
  </si>
  <si>
    <t>8</t>
  </si>
  <si>
    <t>3</t>
  </si>
  <si>
    <t>7</t>
  </si>
  <si>
    <t>9</t>
  </si>
  <si>
    <t>12</t>
  </si>
  <si>
    <t>15</t>
  </si>
  <si>
    <t>Chuyên viên chính</t>
  </si>
  <si>
    <t>Nguyễn Thị Thanh Bình</t>
  </si>
  <si>
    <t>Lái xe cơ quan</t>
  </si>
  <si>
    <t>Nhân viên phục vụ</t>
  </si>
  <si>
    <t>Nhân viên bảo vệ</t>
  </si>
  <si>
    <t>Nhân viên kỹ thuật</t>
  </si>
  <si>
    <t>Cán sự</t>
  </si>
  <si>
    <t>/</t>
  </si>
  <si>
    <t>A</t>
  </si>
  <si>
    <t>Trung tâm Tin học hành chính và Công nghệ thông tin</t>
  </si>
  <si>
    <t>2011</t>
  </si>
  <si>
    <t>Bộ môn Nguyên lý Kinh tế,</t>
  </si>
  <si>
    <t>Phòng Đào tạo tại chức,</t>
  </si>
  <si>
    <t>Bộ môn Tâm lý học,</t>
  </si>
  <si>
    <t>Văn phòng,</t>
  </si>
  <si>
    <t>Phòng Tài vụ - Kế toán,</t>
  </si>
  <si>
    <t>Phòng Quản trị,</t>
  </si>
  <si>
    <t>10</t>
  </si>
  <si>
    <t>11</t>
  </si>
  <si>
    <t>13</t>
  </si>
  <si>
    <t>14</t>
  </si>
  <si>
    <t>1</t>
  </si>
  <si>
    <t>Đội Xe,</t>
  </si>
  <si>
    <t>4</t>
  </si>
  <si>
    <t>II</t>
  </si>
  <si>
    <t>2012</t>
  </si>
  <si>
    <t>Nam</t>
  </si>
  <si>
    <t>2009</t>
  </si>
  <si>
    <t>Nữ</t>
  </si>
  <si>
    <t>Bộ môn Quản lý nhà nước về Xã hội,</t>
  </si>
  <si>
    <t>19</t>
  </si>
  <si>
    <t>Nguyễn Trung Thành</t>
  </si>
  <si>
    <t>Bộ môn Khoa học - Tôn giáo - An ninh,</t>
  </si>
  <si>
    <t>Bộ môn Những nguyên lý cơ bản của Chủ nghĩa Mác - Lê nin,</t>
  </si>
  <si>
    <t>T</t>
  </si>
  <si>
    <t>TT</t>
  </si>
  <si>
    <t>Ngày sinh</t>
  </si>
  <si>
    <t>Tháng</t>
  </si>
  <si>
    <t>GHI CHÚ</t>
  </si>
  <si>
    <t>Phạm Quang Huy</t>
  </si>
  <si>
    <t>05</t>
  </si>
  <si>
    <t>1962</t>
  </si>
  <si>
    <t>1981</t>
  </si>
  <si>
    <t>Nam dưới 35</t>
  </si>
  <si>
    <t>Nữ dưới 30</t>
  </si>
  <si>
    <t>Trùng tên</t>
  </si>
  <si>
    <r>
      <t xml:space="preserve">DANH SÁCH NHÀ GIÁO THUỘC HỌC VIỆN HÀNH CHÍNH 
CẦN ĐƯỢC GIẢI QUYẾT NÂNG PHỤ CẤP THÂM NIÊN TRONG THẤNG </t>
    </r>
    <r>
      <rPr>
        <b/>
        <sz val="13"/>
        <color indexed="12"/>
        <rFont val="Arial Narrow"/>
        <family val="2"/>
      </rPr>
      <t xml:space="preserve">10 NĂM 2013
</t>
    </r>
    <r>
      <rPr>
        <i/>
        <sz val="13"/>
        <color indexed="12"/>
        <rFont val="Arial Narrow"/>
        <family val="2"/>
      </rPr>
      <t>(Kèm theo Tờ  trình số 40/TTr-TCCB(P2) ngày  21 tháng 10 năm 2013 của Ban Tổ chức - Cán bộ)</t>
    </r>
  </si>
  <si>
    <t>Lương</t>
  </si>
  <si>
    <t>PCTN</t>
  </si>
  <si>
    <t xml:space="preserve"> HỌC VIỆN HÀNH CHÍNH QUỐC GIA</t>
  </si>
  <si>
    <t>Cơ sở Học viện Hành chính Quốc gia tại Thành phố Hồ Chí Minh</t>
  </si>
  <si>
    <t>Cơ sở Học viện Hành chính Quốc gia khu vực miền Trung</t>
  </si>
  <si>
    <t>Nâng 10/2014</t>
  </si>
  <si>
    <t>Văn phòng Học viện</t>
  </si>
  <si>
    <t>Văn phòng Đảng uỷ Học viện</t>
  </si>
  <si>
    <t>Chức danh nghề nghiệp</t>
  </si>
  <si>
    <t>Ngạch</t>
  </si>
  <si>
    <t>V.07.01.03</t>
  </si>
  <si>
    <t>V.07.01.01</t>
  </si>
  <si>
    <t>V.07.01.02</t>
  </si>
  <si>
    <t>Giảng viên cao cấp (hạng I)</t>
  </si>
  <si>
    <t>Giảng viên (hạng III)</t>
  </si>
  <si>
    <t>Giảng viên chính (hạng II)</t>
  </si>
  <si>
    <t>Ma so</t>
  </si>
  <si>
    <t>ĐỦ ĐIỀU KIỆN, TIÊU CHUẨN NÂNG LƯƠNG</t>
  </si>
  <si>
    <t>người lao động</t>
  </si>
  <si>
    <t>Phùng Minh Điệp</t>
  </si>
  <si>
    <t>HĐ 06 tháng từ 01/6/2015</t>
  </si>
  <si>
    <t>Nghiên cứu viên (hạng III)</t>
  </si>
  <si>
    <t>Kỹ thuật viên (hạng IV)</t>
  </si>
  <si>
    <t xml:space="preserve"> CC, VC và NLĐ</t>
  </si>
  <si>
    <t>viên chức</t>
  </si>
  <si>
    <t>công chức</t>
  </si>
  <si>
    <t>Bùi Kim Chi</t>
  </si>
  <si>
    <t>CC-VC-NLĐ</t>
  </si>
  <si>
    <t>CHÈN ĐIỀU CUỐI QĐ</t>
  </si>
  <si>
    <t>VC</t>
  </si>
  <si>
    <t xml:space="preserve">        và trên Website Học viện Hành chính Quốc gia.</t>
  </si>
  <si>
    <t xml:space="preserve">        (người tiếp nhận: Vũ Thị Hồng Diệp, ĐT: 0438 359 295/ 01687.02.55.99).</t>
  </si>
  <si>
    <t>Hệ số</t>
  </si>
  <si>
    <t>Bộ môn Quản lý nguồn nhân lực tổ chức</t>
  </si>
  <si>
    <t>Thiều Huy Thuật</t>
  </si>
  <si>
    <t>Trần Minh Tân</t>
  </si>
  <si>
    <t>Nguyên Q. Trưởng khoa</t>
  </si>
  <si>
    <t>Phó Viện trưởng</t>
  </si>
  <si>
    <t>Vũ Thanh Xuân</t>
  </si>
  <si>
    <r>
      <t xml:space="preserve">        - Các ý kiến thắc mắc liên quan (nếu có), đề nghị phản hồi tới Ban Tổ chức - Cán bộ trước ngày</t>
    </r>
    <r>
      <rPr>
        <b/>
        <sz val="12"/>
        <rFont val="Arial Narrow"/>
        <family val="2"/>
      </rPr>
      <t xml:space="preserve"> 21/01</t>
    </r>
    <r>
      <rPr>
        <b/>
        <sz val="12"/>
        <color indexed="12"/>
        <rFont val="Arial Narrow"/>
        <family val="2"/>
      </rPr>
      <t>/2018</t>
    </r>
  </si>
  <si>
    <t>Bậc</t>
  </si>
  <si>
    <t>Mức</t>
  </si>
  <si>
    <t xml:space="preserve">NGẠCH/ </t>
  </si>
  <si>
    <t>CHỨC DANH NGHỀ NGHIỆP</t>
  </si>
  <si>
    <t>VÀ MÃ SỐ</t>
  </si>
  <si>
    <t>Dieu 2</t>
  </si>
  <si>
    <t>CC, VC, NLĐ</t>
  </si>
  <si>
    <t>yy2</t>
  </si>
  <si>
    <t>mm2</t>
  </si>
  <si>
    <t>yy1</t>
  </si>
  <si>
    <t>mm1</t>
  </si>
  <si>
    <t>Hso 1</t>
  </si>
  <si>
    <t>Ngạch / CDNN</t>
  </si>
  <si>
    <t>Ten CDNN</t>
  </si>
  <si>
    <t>DV2</t>
  </si>
  <si>
    <t>DV1</t>
  </si>
  <si>
    <t>Ten</t>
  </si>
  <si>
    <t>Gtinh</t>
  </si>
  <si>
    <t>VK1</t>
  </si>
  <si>
    <t>Hso 2
-VK2</t>
  </si>
  <si>
    <t xml:space="preserve">                      phân viện thuộc Học viện và đăng tải trên Website Học viện Hành chính Quốc gia;</t>
  </si>
  <si>
    <t xml:space="preserve">         phân viện thuộc Học viện và đăng tải trên Website Học viện Hành chính Quốc gia;</t>
  </si>
  <si>
    <t>CC/ VC/ NLĐ</t>
  </si>
  <si>
    <t>ĐỀ NGHỊ XÉT NÂNG BẬC LƯƠNG THƯỜNG XUYÊN</t>
  </si>
  <si>
    <t>ĐỀ NGHỊ XÉT HƯỞNG PHỤ CẤP THÂM NIÊN VƯỢT KHUNG</t>
  </si>
  <si>
    <t>Mức
PC
TNVK</t>
  </si>
  <si>
    <t>Số tháng</t>
  </si>
  <si>
    <t>Số
TT</t>
  </si>
  <si>
    <t>Họ tên</t>
  </si>
  <si>
    <t>Giới tính</t>
  </si>
  <si>
    <t>Đơn vị</t>
  </si>
  <si>
    <t>Kể từ ngày 01 tháng</t>
  </si>
  <si>
    <t>PCTN 
hiện hưởng</t>
  </si>
  <si>
    <t>Thời gian kéo dài/ không tính vào thời gian xét nâng lương</t>
  </si>
  <si>
    <t>Thời gian không tính vào thời gian tính hưởng PCTN</t>
  </si>
  <si>
    <t>PCTN xét nâng</t>
  </si>
  <si>
    <t>Lương/ PCTNVK
hiện hưởng</t>
  </si>
  <si>
    <t>Hệ số lương/ PCTNVK</t>
  </si>
  <si>
    <t>Lý do kéo dài/ không tính</t>
  </si>
  <si>
    <t>Lý do không tính</t>
  </si>
  <si>
    <t>Lương/ PCTNVK
xét nâng, hưởng</t>
  </si>
  <si>
    <t>Ngạch/CDNN
 và mã số</t>
  </si>
  <si>
    <t>Chức danh nghề nghiệp
 và mã số</t>
  </si>
  <si>
    <t>Khoa Nhà nước - Pháp luật và Lý luận cơ sở</t>
  </si>
  <si>
    <t>Khoa Khoa học hành chính và Tổ chức nhân sự</t>
  </si>
  <si>
    <t>Khoa Quản lý nhà nước về Kinh tế và Tài chính công</t>
  </si>
  <si>
    <t>Phân viện Học viện Hành chính Quốc gia tại Thành phố Hồ Chí Minh</t>
  </si>
  <si>
    <t>Ban Quản lý đào tạo Sau đại học</t>
  </si>
  <si>
    <t>Trung tâm Ngoại ngữ - Tin học và Thông tin - Thư viện</t>
  </si>
  <si>
    <t>Phân viện Học viện Hành chính Quốc gia tại thành phố Huế</t>
  </si>
  <si>
    <t>Bộ môn Khoa học hành chính và Tổ chức nhân sự</t>
  </si>
  <si>
    <t>BAN TỔ CHỨC CÁN BỘ</t>
  </si>
  <si>
    <t>ĐỦ ĐIỀU KIỆN, TIÊU CHUẨN XÉT NÂNG BẬC LƯƠNG THƯỜNG XUYÊN</t>
  </si>
  <si>
    <t>Văn phòng Đảng - Đoàn thể</t>
  </si>
  <si>
    <t>Bộ môn Quản lý nhà nước về Kinh tế và Tài chính công</t>
  </si>
  <si>
    <t>Chánh Văn phòng Học viện, Trưởng Ban Tổ chức - Cán bộ</t>
  </si>
  <si>
    <t>K.Dài</t>
  </si>
  <si>
    <t>Chánh Văn phòng Học viện, Trưởng Ban Tổ chức - Cán bộ, Trưởng Khoa Khoa học hành chính và Tổ chức nhân sự</t>
  </si>
  <si>
    <t>Chánh Văn phòng Học viện, Trưởng Ban Tổ chức - Cán bộ, Trưởng Phân viện Học viện Hành chính Quốc gia tại Thành phố Hồ Chí Minh</t>
  </si>
  <si>
    <t>Phòng Công nghệ thông tin</t>
  </si>
  <si>
    <t xml:space="preserve"> TRƯỞNG BAN</t>
  </si>
  <si>
    <t xml:space="preserve">        (người tiếp nhận: Vũ Thị Hiền, ĐT: 0238 359 295/ 0384 328 728).</t>
  </si>
  <si>
    <t>Bộ môn Ngoại ngữ, Ban Hợp tác quốc tế</t>
  </si>
  <si>
    <t>TRƯỞNG BAN</t>
  </si>
  <si>
    <t>Phòng Quản lý Xuất bản và Phát hành,</t>
  </si>
  <si>
    <t>Phòng Quản lý Thông tin và Tư liệu,</t>
  </si>
  <si>
    <t>Hưởng PC độc hại lưu trữ và chế độ bồi dưỡng từ 26/2/2019)</t>
  </si>
  <si>
    <t>(TX 1/5/16, nâng trước hạn 9 T năm 18)</t>
  </si>
  <si>
    <t>TX 1/1/16, nâng trước 9 T năm 18</t>
  </si>
  <si>
    <t>Chánh Văn phòng Học viện, Trưởng Ban Tổ chức - Cán bộ, Trưởng Khoa Nhà nước - Pháp luật và Lý luận cơ sở</t>
  </si>
  <si>
    <t xml:space="preserve">                       (người tiếp nhận: Vũ Thị Hiền, ĐT: 0238 359 295/ 0384 328 728).</t>
  </si>
  <si>
    <t>Phòng …...,</t>
  </si>
  <si>
    <t>Thôi hưởng PC 25% NG từ 1/5/19</t>
  </si>
  <si>
    <t>HỌC VIÊN HÀNH CHÍNH QUỐC GIA</t>
  </si>
  <si>
    <t>CC</t>
  </si>
  <si>
    <t>Chánh Văn phòng Học viện, Trưởng Ban Tổ chức - Cán bộ, Trưởng Bộ môn Ngoại ngữ</t>
  </si>
  <si>
    <t>/2018</t>
  </si>
  <si>
    <t>Người</t>
  </si>
  <si>
    <t>01.002</t>
  </si>
  <si>
    <t>01.004</t>
  </si>
  <si>
    <t>Vũ Cẩm Lệ</t>
  </si>
  <si>
    <t>Phòng Dự án và liên kết đào tạo quốc tế,</t>
  </si>
  <si>
    <t>Ban Hợp tác quốc tế</t>
  </si>
  <si>
    <t>2016</t>
  </si>
  <si>
    <t>Nguyễn Thị Thanh Tú</t>
  </si>
  <si>
    <t>NLĐ</t>
  </si>
  <si>
    <t>Phòng Kế hoạch - Tổng hợp Hợp tác quốc tế,</t>
  </si>
  <si>
    <t>Hà Thị Nga</t>
  </si>
  <si>
    <t>1975</t>
  </si>
  <si>
    <t>Ban Quản lý bồi dưỡng</t>
  </si>
  <si>
    <t>Trương Quốc Huy</t>
  </si>
  <si>
    <t>18</t>
  </si>
  <si>
    <t>Vũ Thị Minh Hòa</t>
  </si>
  <si>
    <t>Bùi Huy Khiên</t>
  </si>
  <si>
    <t>Nguyên Phó Trưởng khoa</t>
  </si>
  <si>
    <t>Vũ Thị Lan</t>
  </si>
  <si>
    <t>Phạm Thị Thanh Băng</t>
  </si>
  <si>
    <t>Phạm Thu Thủy</t>
  </si>
  <si>
    <t>Hoàng Thị Giang</t>
  </si>
  <si>
    <t>Hoàng Thị Bích Hồng</t>
  </si>
  <si>
    <t>Phòng Quản lý đào tạo và Phát triển nhân lực hành chính,</t>
  </si>
  <si>
    <t>Phòng Quản lý đào tạo và Phát triển nhân lực hành chính, Ban Quản lý bồi dưỡng</t>
  </si>
  <si>
    <t>Nguyễn Thị Thanh Huyền</t>
  </si>
  <si>
    <t>Thư viện viên hạng III</t>
  </si>
  <si>
    <t>V.10.02.06</t>
  </si>
  <si>
    <t>Phạm Minh Tuấn</t>
  </si>
  <si>
    <t>C</t>
  </si>
  <si>
    <t>Nhân viên</t>
  </si>
  <si>
    <t>2017</t>
  </si>
  <si>
    <t>Lê Thị Thu Nguyệt</t>
  </si>
  <si>
    <t>Đặng Thành Lê</t>
  </si>
  <si>
    <t>2</t>
  </si>
  <si>
    <t>Viện trưởng</t>
  </si>
  <si>
    <t>1,0</t>
  </si>
  <si>
    <t>Trương Châu Huy Hoàng</t>
  </si>
  <si>
    <t>Phân viện Học viện Hành chính Quốc gia khu vực Tây Nguyên</t>
  </si>
  <si>
    <t>Ko lương</t>
  </si>
  <si>
    <t>Đặng Thị Mai Dung</t>
  </si>
  <si>
    <t>1978</t>
  </si>
  <si>
    <t>Hoàng Hồng Nhung</t>
  </si>
  <si>
    <t>Phòng Đào tạo, Bồi dưỡng công chức - viên chức,</t>
  </si>
  <si>
    <t>Trần Phi Nga</t>
  </si>
  <si>
    <t>Phòng Tổ chức - Hành chính</t>
  </si>
  <si>
    <t>Nguyễn Văn Thanh</t>
  </si>
  <si>
    <t>Đỗ Thị Bích Ngọc</t>
  </si>
  <si>
    <t>1984</t>
  </si>
  <si>
    <t>Phòng Tổ chức - Hành chính,</t>
  </si>
  <si>
    <t>Lưu trữ viên</t>
  </si>
  <si>
    <t>02.014</t>
  </si>
  <si>
    <t>ĐỀ NGHỊ XÉT HƯỞNG, NÂNG PHỤ CẤP THÂM NIÊN VƯỢT KHUNG</t>
  </si>
  <si>
    <t>Trần Thị Xuyên</t>
  </si>
  <si>
    <t>04</t>
  </si>
  <si>
    <t>24 người</t>
  </si>
  <si>
    <r>
      <t xml:space="preserve">        - Các ý kiến thắc mắc liên quan (nếu có), đề nghị phản hồi tới Ban Tổ chức cán bộ hạn cuối vào ngày</t>
    </r>
    <r>
      <rPr>
        <b/>
        <sz val="12"/>
        <rFont val="Arial Narrow"/>
        <family val="2"/>
      </rPr>
      <t xml:space="preserve"> 20</t>
    </r>
    <r>
      <rPr>
        <b/>
        <sz val="12"/>
        <color rgb="FF0000FF"/>
        <rFont val="Arial Narrow"/>
        <family val="2"/>
      </rPr>
      <t>/7/2019</t>
    </r>
  </si>
  <si>
    <r>
      <t>DANH SÁCH CÔNG CHỨC, VIÊN CHỨC VÀ NGƯỜI LAO ĐỘNG THUỘC HỌC VIỆN HÀNH CHÍNH QUỐC GIA
ĐỦ ĐIỀU KIỆN, TIÊU CHUẨN XÉT NÂNG BẬC LƯƠNG THƯỜNG XUYÊN, XÉT HƯỞNG, NÂNG PHỤ CẤP THÂM NIÊN VƯỢT KHUNG
TRONG THÁNG 7</t>
    </r>
    <r>
      <rPr>
        <b/>
        <sz val="12"/>
        <color rgb="FF0000FF"/>
        <rFont val="Arial Narrow"/>
        <family val="2"/>
      </rPr>
      <t xml:space="preserve"> NĂM 2019</t>
    </r>
  </si>
  <si>
    <r>
      <t xml:space="preserve"> </t>
    </r>
    <r>
      <rPr>
        <b/>
        <sz val="12"/>
        <rFont val="Arial Narrow"/>
        <family val="2"/>
      </rPr>
      <t xml:space="preserve">* </t>
    </r>
    <r>
      <rPr>
        <b/>
        <u/>
        <sz val="12"/>
        <rFont val="Arial Narrow"/>
        <family val="2"/>
      </rPr>
      <t>Lưu ý:</t>
    </r>
    <r>
      <rPr>
        <b/>
        <sz val="12"/>
        <rFont val="Arial Narrow"/>
        <family val="2"/>
      </rPr>
      <t xml:space="preserve">   </t>
    </r>
    <r>
      <rPr>
        <sz val="12"/>
        <rFont val="Arial Narrow"/>
        <family val="2"/>
      </rPr>
      <t>- Danh sách này được niêm yết công khai trên bảng tin nhà A tại trụ sở Học viện ở Hà Nội, tại các</t>
    </r>
  </si>
  <si>
    <r>
      <rPr>
        <b/>
        <sz val="12"/>
        <rFont val="Arial Narrow"/>
        <family val="2"/>
      </rPr>
      <t xml:space="preserve">* </t>
    </r>
    <r>
      <rPr>
        <b/>
        <u/>
        <sz val="12"/>
        <rFont val="Arial Narrow"/>
        <family val="2"/>
      </rPr>
      <t>Lưu ý</t>
    </r>
    <r>
      <rPr>
        <sz val="12"/>
        <rFont val="Arial Narrow"/>
        <family val="2"/>
      </rPr>
      <t>:  - Danh sách này được niêm yết công khai trên bảng tin nhà A tại trụ sở Học viện ở Hà Nội, bảng tin tại các</t>
    </r>
  </si>
  <si>
    <r>
      <t xml:space="preserve">                      - Các ý kiến thắc mắc liên quan (nếu có), đề nghị phản hồi tới Ban Tổ chức cán bộ hạn cuối vào ngày</t>
    </r>
    <r>
      <rPr>
        <sz val="12"/>
        <color rgb="FF0000FF"/>
        <rFont val="Arial Narrow"/>
        <family val="2"/>
      </rPr>
      <t xml:space="preserve"> 20</t>
    </r>
    <r>
      <rPr>
        <b/>
        <sz val="12"/>
        <color rgb="FF0000FF"/>
        <rFont val="Arial Narrow"/>
        <family val="2"/>
      </rPr>
      <t>/7/2019</t>
    </r>
  </si>
  <si>
    <t>Nguyễn Đăng Quế</t>
  </si>
  <si>
    <t>Trần Thị Kim Khánh</t>
  </si>
  <si>
    <t>Lê Thị Vân Hạnh</t>
  </si>
  <si>
    <t>Nguyên phó Giám đốc Học viện</t>
  </si>
  <si>
    <t>Lê Thị Hương</t>
  </si>
  <si>
    <t>Ngô Thúy Quỳnh</t>
  </si>
  <si>
    <t>Phó Giám đốc (cấp vụ)</t>
  </si>
  <si>
    <t>Trần Thị Hương Huế</t>
  </si>
  <si>
    <t xml:space="preserve">Bộ môn Văn bản hành chính, </t>
  </si>
  <si>
    <t>Bùi Thị Huệ</t>
  </si>
  <si>
    <t xml:space="preserve">  </t>
  </si>
  <si>
    <r>
      <t>DANH SÁCH NHÀ GIÁO THUỘC HỌC VIỆN HÀNH CHÍNH QUỐC GIA ĐỦ ĐIỀU KIỆN XÉT NÂNG PHỤ CẤP THÂM NIÊN 
TRONG THÁNG 7</t>
    </r>
    <r>
      <rPr>
        <b/>
        <sz val="12"/>
        <color rgb="FF0000FF"/>
        <rFont val="Arial"/>
        <family val="2"/>
      </rPr>
      <t xml:space="preserve"> NĂM 2019</t>
    </r>
  </si>
  <si>
    <t xml:space="preserve">Hà Nội, ngày 02 tháng 7 năm 2019 </t>
  </si>
</sst>
</file>

<file path=xl/styles.xml><?xml version="1.0" encoding="utf-8"?>
<styleSheet xmlns="http://schemas.openxmlformats.org/spreadsheetml/2006/main" xmlns:mc="http://schemas.openxmlformats.org/markup-compatibility/2006" xmlns:x14ac="http://schemas.microsoft.com/office/spreadsheetml/2009/9/ac" mc:Ignorable="x14ac">
  <fonts count="66" x14ac:knownFonts="1">
    <font>
      <sz val="10"/>
      <name val="Arial"/>
    </font>
    <font>
      <b/>
      <sz val="10"/>
      <name val="Arial"/>
      <family val="2"/>
    </font>
    <font>
      <sz val="10"/>
      <name val="Arial"/>
      <family val="2"/>
    </font>
    <font>
      <sz val="9"/>
      <name val="Arial"/>
      <family val="2"/>
    </font>
    <font>
      <sz val="12"/>
      <name val="Arial"/>
      <family val="2"/>
    </font>
    <font>
      <b/>
      <sz val="12"/>
      <name val="Arial"/>
      <family val="2"/>
    </font>
    <font>
      <i/>
      <sz val="10"/>
      <name val="Arial"/>
      <family val="2"/>
    </font>
    <font>
      <b/>
      <sz val="13"/>
      <name val="Arial"/>
      <family val="2"/>
    </font>
    <font>
      <b/>
      <sz val="11"/>
      <name val="Arial"/>
      <family val="2"/>
    </font>
    <font>
      <b/>
      <sz val="13"/>
      <name val="Arial Narrow"/>
      <family val="2"/>
    </font>
    <font>
      <b/>
      <sz val="13"/>
      <color indexed="12"/>
      <name val="Arial Narrow"/>
      <family val="2"/>
    </font>
    <font>
      <b/>
      <sz val="10"/>
      <name val="Arial Narrow"/>
      <family val="2"/>
    </font>
    <font>
      <b/>
      <sz val="8"/>
      <name val="Arial Narrow"/>
      <family val="2"/>
    </font>
    <font>
      <b/>
      <sz val="9"/>
      <color indexed="12"/>
      <name val="Arial Narrow"/>
      <family val="2"/>
    </font>
    <font>
      <b/>
      <sz val="12"/>
      <name val="Arial Narrow"/>
      <family val="2"/>
    </font>
    <font>
      <sz val="12"/>
      <name val="Arial Narrow"/>
      <family val="2"/>
    </font>
    <font>
      <b/>
      <sz val="12"/>
      <color indexed="12"/>
      <name val="Arial Narrow"/>
      <family val="2"/>
    </font>
    <font>
      <sz val="8"/>
      <name val="Arial Narrow"/>
      <family val="2"/>
    </font>
    <font>
      <b/>
      <sz val="8"/>
      <color indexed="12"/>
      <name val="Arial Narrow"/>
      <family val="2"/>
    </font>
    <font>
      <sz val="8"/>
      <color indexed="12"/>
      <name val="Arial Narrow"/>
      <family val="2"/>
    </font>
    <font>
      <b/>
      <sz val="9"/>
      <name val="Arial Narrow"/>
      <family val="2"/>
    </font>
    <font>
      <sz val="9"/>
      <name val="Arial Narrow"/>
      <family val="2"/>
    </font>
    <font>
      <b/>
      <sz val="11"/>
      <name val="Arial Narrow"/>
      <family val="2"/>
    </font>
    <font>
      <sz val="10"/>
      <name val="Arial Narrow"/>
      <family val="2"/>
    </font>
    <font>
      <sz val="8"/>
      <color indexed="10"/>
      <name val="Arial Narrow"/>
      <family val="2"/>
    </font>
    <font>
      <sz val="9"/>
      <color indexed="58"/>
      <name val="Arial Narrow"/>
      <family val="2"/>
    </font>
    <font>
      <sz val="9"/>
      <color indexed="16"/>
      <name val="Arial Narrow"/>
      <family val="2"/>
    </font>
    <font>
      <sz val="9"/>
      <color indexed="13"/>
      <name val="Arial Narrow"/>
      <family val="2"/>
    </font>
    <font>
      <sz val="11"/>
      <name val="Arial Narrow"/>
      <family val="2"/>
    </font>
    <font>
      <sz val="12"/>
      <color indexed="12"/>
      <name val="Arial Narrow"/>
      <family val="2"/>
    </font>
    <font>
      <b/>
      <i/>
      <sz val="11"/>
      <name val="Arial Narrow"/>
      <family val="2"/>
    </font>
    <font>
      <i/>
      <sz val="12"/>
      <name val="Arial Narrow"/>
      <family val="2"/>
    </font>
    <font>
      <i/>
      <sz val="13"/>
      <color indexed="12"/>
      <name val="Arial Narrow"/>
      <family val="2"/>
    </font>
    <font>
      <b/>
      <i/>
      <sz val="12"/>
      <color indexed="9"/>
      <name val="Arial Narrow"/>
      <family val="2"/>
    </font>
    <font>
      <b/>
      <sz val="10"/>
      <color indexed="12"/>
      <name val="Arial Narrow"/>
      <family val="2"/>
    </font>
    <font>
      <sz val="9"/>
      <color indexed="9"/>
      <name val="Arial Narrow"/>
      <family val="2"/>
    </font>
    <font>
      <sz val="9"/>
      <color indexed="8"/>
      <name val="Arial Narrow"/>
      <family val="2"/>
    </font>
    <font>
      <b/>
      <u/>
      <sz val="12"/>
      <name val="Arial Narrow"/>
      <family val="2"/>
    </font>
    <font>
      <sz val="12"/>
      <color indexed="8"/>
      <name val="Arial Narrow"/>
      <family val="2"/>
    </font>
    <font>
      <sz val="12"/>
      <color indexed="13"/>
      <name val="Arial Narrow"/>
      <family val="2"/>
    </font>
    <font>
      <sz val="12"/>
      <color indexed="58"/>
      <name val="Arial Narrow"/>
      <family val="2"/>
    </font>
    <font>
      <sz val="12"/>
      <color indexed="16"/>
      <name val="Arial Narrow"/>
      <family val="2"/>
    </font>
    <font>
      <b/>
      <sz val="12"/>
      <color rgb="FF0000FF"/>
      <name val="Arial"/>
      <family val="2"/>
    </font>
    <font>
      <sz val="9"/>
      <color rgb="FFFF0000"/>
      <name val="Arial Narrow"/>
      <family val="2"/>
    </font>
    <font>
      <sz val="10"/>
      <color theme="0"/>
      <name val="Arial Narrow"/>
      <family val="2"/>
    </font>
    <font>
      <sz val="9"/>
      <color rgb="FF0000FF"/>
      <name val="Arial Narrow"/>
      <family val="2"/>
    </font>
    <font>
      <sz val="10"/>
      <color rgb="FF800000"/>
      <name val="Arial Narrow"/>
      <family val="2"/>
    </font>
    <font>
      <sz val="9"/>
      <color rgb="FF800000"/>
      <name val="Arial Narrow"/>
      <family val="2"/>
    </font>
    <font>
      <b/>
      <sz val="12"/>
      <color theme="0"/>
      <name val="Arial"/>
      <family val="2"/>
    </font>
    <font>
      <sz val="12"/>
      <color theme="0"/>
      <name val="Arial Narrow"/>
      <family val="2"/>
    </font>
    <font>
      <i/>
      <sz val="12"/>
      <color theme="0"/>
      <name val="Arial Narrow"/>
      <family val="2"/>
    </font>
    <font>
      <b/>
      <sz val="13"/>
      <color theme="0"/>
      <name val="Arial"/>
      <family val="2"/>
    </font>
    <font>
      <b/>
      <sz val="12"/>
      <color rgb="FF0000FF"/>
      <name val="Arial Narrow"/>
      <family val="2"/>
    </font>
    <font>
      <sz val="12"/>
      <color rgb="FF0000FF"/>
      <name val="Arial Narrow"/>
      <family val="2"/>
    </font>
    <font>
      <i/>
      <sz val="12"/>
      <color rgb="FF0000FF"/>
      <name val="Arial Narrow"/>
      <family val="2"/>
    </font>
    <font>
      <sz val="10"/>
      <color rgb="FF0000FF"/>
      <name val="Arial Narrow"/>
      <family val="2"/>
    </font>
    <font>
      <b/>
      <sz val="10"/>
      <color rgb="FF0000FF"/>
      <name val="Arial Narrow"/>
      <family val="2"/>
    </font>
    <font>
      <i/>
      <sz val="10"/>
      <name val="Arial Narrow"/>
      <family val="2"/>
    </font>
    <font>
      <i/>
      <sz val="11"/>
      <name val="Arial Narrow"/>
      <family val="2"/>
    </font>
    <font>
      <b/>
      <sz val="10"/>
      <color indexed="9"/>
      <name val="Arial Narrow"/>
      <family val="2"/>
    </font>
    <font>
      <sz val="10"/>
      <color indexed="8"/>
      <name val="Arial Narrow"/>
      <family val="2"/>
    </font>
    <font>
      <sz val="10"/>
      <color indexed="58"/>
      <name val="Arial Narrow"/>
      <family val="2"/>
    </font>
    <font>
      <sz val="10"/>
      <color indexed="9"/>
      <name val="Arial Narrow"/>
      <family val="2"/>
    </font>
    <font>
      <sz val="10"/>
      <color rgb="FFFF0000"/>
      <name val="Arial Narrow"/>
      <family val="2"/>
    </font>
    <font>
      <sz val="13"/>
      <name val="Arial Narrow"/>
      <family val="2"/>
    </font>
    <font>
      <b/>
      <i/>
      <sz val="12"/>
      <name val="Arial Narrow"/>
      <family val="2"/>
    </font>
  </fonts>
  <fills count="28">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16"/>
        <bgColor indexed="64"/>
      </patternFill>
    </fill>
    <fill>
      <patternFill patternType="solid">
        <fgColor indexed="13"/>
        <bgColor indexed="64"/>
      </patternFill>
    </fill>
    <fill>
      <patternFill patternType="solid">
        <fgColor indexed="44"/>
        <bgColor indexed="64"/>
      </patternFill>
    </fill>
    <fill>
      <patternFill patternType="solid">
        <fgColor indexed="4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6"/>
        <bgColor indexed="64"/>
      </patternFill>
    </fill>
    <fill>
      <patternFill patternType="solid">
        <fgColor theme="9" tint="0.79998168889431442"/>
        <bgColor indexed="64"/>
      </patternFill>
    </fill>
    <fill>
      <patternFill patternType="solid">
        <fgColor theme="8"/>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rgb="FF00B05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7"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right style="dotted">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style="dotted">
        <color indexed="64"/>
      </left>
      <right/>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style="double">
        <color indexed="64"/>
      </bottom>
      <diagonal/>
    </border>
  </borders>
  <cellStyleXfs count="1">
    <xf numFmtId="0" fontId="0" fillId="0" borderId="0"/>
  </cellStyleXfs>
  <cellXfs count="1245">
    <xf numFmtId="0" fontId="0" fillId="0" borderId="0" xfId="0"/>
    <xf numFmtId="1" fontId="4" fillId="2" borderId="0" xfId="0" applyNumberFormat="1" applyFont="1" applyFill="1" applyBorder="1" applyAlignment="1"/>
    <xf numFmtId="0" fontId="9" fillId="2" borderId="0" xfId="0" applyFont="1" applyFill="1" applyBorder="1" applyAlignment="1">
      <alignment horizontal="center" wrapText="1"/>
    </xf>
    <xf numFmtId="0" fontId="11" fillId="2" borderId="1" xfId="0" applyNumberFormat="1" applyFont="1" applyFill="1" applyBorder="1" applyAlignment="1">
      <alignment horizontal="center" vertical="center" wrapText="1"/>
    </xf>
    <xf numFmtId="2" fontId="18" fillId="2" borderId="1" xfId="0" applyNumberFormat="1" applyFont="1" applyFill="1" applyBorder="1" applyAlignment="1">
      <alignment horizontal="center" vertical="center"/>
    </xf>
    <xf numFmtId="0" fontId="17" fillId="0" borderId="0" xfId="0" applyFont="1" applyAlignment="1">
      <alignment vertical="center"/>
    </xf>
    <xf numFmtId="0" fontId="18" fillId="2" borderId="1" xfId="0" applyNumberFormat="1" applyFont="1" applyFill="1" applyBorder="1" applyAlignment="1">
      <alignment horizontal="center" vertical="center" wrapText="1"/>
    </xf>
    <xf numFmtId="0" fontId="17" fillId="0" borderId="0" xfId="0" applyFont="1" applyAlignment="1">
      <alignment horizontal="center" vertical="center"/>
    </xf>
    <xf numFmtId="0" fontId="17" fillId="2" borderId="0" xfId="0" applyFont="1" applyFill="1" applyAlignment="1">
      <alignment vertical="center"/>
    </xf>
    <xf numFmtId="0" fontId="17" fillId="2" borderId="0" xfId="0" applyFont="1" applyFill="1" applyAlignment="1">
      <alignment horizontal="center" vertical="center"/>
    </xf>
    <xf numFmtId="0" fontId="17" fillId="2" borderId="7" xfId="0" applyNumberFormat="1" applyFont="1" applyFill="1" applyBorder="1" applyAlignment="1">
      <alignment horizontal="center" vertical="center" wrapText="1"/>
    </xf>
    <xf numFmtId="0" fontId="17" fillId="2" borderId="1" xfId="0" applyNumberFormat="1" applyFont="1" applyFill="1" applyBorder="1" applyAlignment="1">
      <alignment horizontal="center" vertical="center" wrapText="1"/>
    </xf>
    <xf numFmtId="2" fontId="17" fillId="2" borderId="1" xfId="0" applyNumberFormat="1" applyFont="1" applyFill="1" applyBorder="1" applyAlignment="1">
      <alignment horizontal="left" vertical="center"/>
    </xf>
    <xf numFmtId="1" fontId="17" fillId="2" borderId="1" xfId="0" applyNumberFormat="1" applyFont="1" applyFill="1" applyBorder="1" applyAlignment="1">
      <alignment horizontal="center" vertical="center" wrapText="1"/>
    </xf>
    <xf numFmtId="1" fontId="12" fillId="2" borderId="7" xfId="0" applyNumberFormat="1" applyFont="1" applyFill="1" applyBorder="1" applyAlignment="1">
      <alignment horizontal="right" vertical="center"/>
    </xf>
    <xf numFmtId="0" fontId="17" fillId="2" borderId="13" xfId="0" applyNumberFormat="1" applyFont="1" applyFill="1" applyBorder="1" applyAlignment="1">
      <alignment horizontal="center" vertical="center"/>
    </xf>
    <xf numFmtId="0" fontId="17" fillId="2" borderId="1" xfId="0" applyNumberFormat="1" applyFont="1" applyFill="1" applyBorder="1" applyAlignment="1">
      <alignment horizontal="left" vertical="center"/>
    </xf>
    <xf numFmtId="0" fontId="19" fillId="2" borderId="1" xfId="0" applyFont="1" applyFill="1" applyBorder="1" applyAlignment="1">
      <alignment vertical="center"/>
    </xf>
    <xf numFmtId="2" fontId="19" fillId="2" borderId="1" xfId="0" applyNumberFormat="1" applyFont="1" applyFill="1" applyBorder="1" applyAlignment="1">
      <alignment horizontal="center" vertical="center"/>
    </xf>
    <xf numFmtId="0" fontId="17" fillId="2" borderId="14" xfId="0" applyNumberFormat="1" applyFont="1" applyFill="1" applyBorder="1" applyAlignment="1">
      <alignment horizontal="left" vertical="center"/>
    </xf>
    <xf numFmtId="0" fontId="17" fillId="2" borderId="0" xfId="0" applyFont="1" applyFill="1" applyAlignment="1">
      <alignment horizontal="left" vertical="center"/>
    </xf>
    <xf numFmtId="0" fontId="17" fillId="0" borderId="0" xfId="0" applyFont="1" applyBorder="1" applyAlignment="1">
      <alignment vertical="center"/>
    </xf>
    <xf numFmtId="0" fontId="17" fillId="2" borderId="0" xfId="0" applyFont="1" applyFill="1" applyBorder="1" applyAlignment="1">
      <alignment horizontal="left" vertical="center"/>
    </xf>
    <xf numFmtId="2" fontId="17" fillId="2" borderId="0" xfId="0" applyNumberFormat="1" applyFont="1" applyFill="1" applyAlignment="1">
      <alignment horizontal="center" vertical="center"/>
    </xf>
    <xf numFmtId="2" fontId="17" fillId="2" borderId="0" xfId="0" applyNumberFormat="1" applyFont="1" applyFill="1" applyAlignment="1">
      <alignment vertical="center"/>
    </xf>
    <xf numFmtId="49" fontId="17" fillId="0" borderId="0" xfId="0" applyNumberFormat="1" applyFont="1" applyAlignment="1">
      <alignment vertical="center"/>
    </xf>
    <xf numFmtId="1" fontId="12" fillId="2" borderId="0" xfId="0" applyNumberFormat="1" applyFont="1" applyFill="1" applyAlignment="1">
      <alignment horizontal="center" vertical="center"/>
    </xf>
    <xf numFmtId="0" fontId="17" fillId="0" borderId="0" xfId="0" applyNumberFormat="1" applyFont="1" applyAlignment="1">
      <alignment vertical="center"/>
    </xf>
    <xf numFmtId="2" fontId="17" fillId="0" borderId="0" xfId="0" applyNumberFormat="1" applyFont="1" applyAlignment="1">
      <alignment vertical="center"/>
    </xf>
    <xf numFmtId="0" fontId="17" fillId="0" borderId="0" xfId="0" applyNumberFormat="1" applyFont="1" applyAlignment="1">
      <alignment horizontal="left" vertical="center"/>
    </xf>
    <xf numFmtId="2" fontId="17" fillId="0" borderId="0" xfId="0" applyNumberFormat="1" applyFont="1" applyAlignment="1">
      <alignment horizontal="center" vertical="center"/>
    </xf>
    <xf numFmtId="1" fontId="17" fillId="2" borderId="0" xfId="0" applyNumberFormat="1" applyFont="1" applyFill="1" applyAlignment="1">
      <alignment vertical="center"/>
    </xf>
    <xf numFmtId="49" fontId="17" fillId="2" borderId="0" xfId="0" applyNumberFormat="1" applyFont="1" applyFill="1" applyAlignment="1">
      <alignment horizontal="center" vertical="center"/>
    </xf>
    <xf numFmtId="49" fontId="17" fillId="2" borderId="0" xfId="0" applyNumberFormat="1" applyFont="1" applyFill="1" applyBorder="1" applyAlignment="1">
      <alignment horizontal="center" vertical="center"/>
    </xf>
    <xf numFmtId="49" fontId="17" fillId="2" borderId="0" xfId="0" applyNumberFormat="1" applyFont="1" applyFill="1" applyAlignment="1">
      <alignment horizontal="left" vertical="center"/>
    </xf>
    <xf numFmtId="0" fontId="21" fillId="2" borderId="1" xfId="0" applyNumberFormat="1" applyFont="1" applyFill="1" applyBorder="1" applyAlignment="1">
      <alignment horizontal="center" vertical="center" wrapText="1"/>
    </xf>
    <xf numFmtId="0" fontId="21" fillId="2" borderId="13" xfId="0" applyNumberFormat="1" applyFont="1" applyFill="1" applyBorder="1" applyAlignment="1">
      <alignment horizontal="center" vertical="center" wrapText="1"/>
    </xf>
    <xf numFmtId="0" fontId="21" fillId="2" borderId="24" xfId="0" applyNumberFormat="1" applyFont="1" applyFill="1" applyBorder="1" applyAlignment="1">
      <alignment horizontal="left" vertical="center" wrapText="1"/>
    </xf>
    <xf numFmtId="2" fontId="21" fillId="2" borderId="31" xfId="0" applyNumberFormat="1" applyFont="1" applyFill="1" applyBorder="1" applyAlignment="1">
      <alignment horizontal="center" vertical="center"/>
    </xf>
    <xf numFmtId="2" fontId="21" fillId="2" borderId="32" xfId="0" applyNumberFormat="1" applyFont="1" applyFill="1" applyBorder="1" applyAlignment="1">
      <alignment vertical="center"/>
    </xf>
    <xf numFmtId="0" fontId="21" fillId="2" borderId="1" xfId="0" applyNumberFormat="1" applyFont="1" applyFill="1" applyBorder="1" applyAlignment="1">
      <alignment horizontal="left" vertical="center" wrapText="1"/>
    </xf>
    <xf numFmtId="1" fontId="21" fillId="2" borderId="7" xfId="0" applyNumberFormat="1" applyFont="1" applyFill="1" applyBorder="1" applyAlignment="1">
      <alignment horizontal="center" vertical="center"/>
    </xf>
    <xf numFmtId="0" fontId="21" fillId="2" borderId="18" xfId="0" applyNumberFormat="1" applyFont="1" applyFill="1" applyBorder="1" applyAlignment="1">
      <alignment horizontal="center" vertical="center"/>
    </xf>
    <xf numFmtId="0" fontId="21" fillId="2" borderId="20" xfId="0" applyNumberFormat="1" applyFont="1" applyFill="1" applyBorder="1" applyAlignment="1">
      <alignment horizontal="left" vertical="center"/>
    </xf>
    <xf numFmtId="2" fontId="21" fillId="0" borderId="1" xfId="0" applyNumberFormat="1" applyFont="1" applyFill="1" applyBorder="1" applyAlignment="1">
      <alignment horizontal="center" vertical="center"/>
    </xf>
    <xf numFmtId="1" fontId="21" fillId="2" borderId="7" xfId="0" applyNumberFormat="1" applyFont="1" applyFill="1" applyBorder="1" applyAlignment="1">
      <alignment horizontal="right" vertical="center"/>
    </xf>
    <xf numFmtId="2" fontId="21" fillId="2" borderId="18" xfId="0" applyNumberFormat="1" applyFont="1" applyFill="1" applyBorder="1" applyAlignment="1">
      <alignment horizontal="center" vertical="center"/>
    </xf>
    <xf numFmtId="2" fontId="21" fillId="2" borderId="1" xfId="0" applyNumberFormat="1" applyFont="1" applyFill="1" applyBorder="1" applyAlignment="1">
      <alignment horizontal="left" vertical="center"/>
    </xf>
    <xf numFmtId="49" fontId="21" fillId="2" borderId="21" xfId="0" applyNumberFormat="1" applyFont="1" applyFill="1" applyBorder="1" applyAlignment="1">
      <alignment horizontal="right" vertical="center"/>
    </xf>
    <xf numFmtId="49" fontId="21" fillId="2" borderId="18" xfId="0" applyNumberFormat="1" applyFont="1" applyFill="1" applyBorder="1" applyAlignment="1">
      <alignment horizontal="center" vertical="center"/>
    </xf>
    <xf numFmtId="0" fontId="21" fillId="2" borderId="20" xfId="0" applyNumberFormat="1" applyFont="1" applyFill="1" applyBorder="1" applyAlignment="1">
      <alignment horizontal="left" vertical="center" wrapText="1"/>
    </xf>
    <xf numFmtId="1" fontId="21" fillId="2" borderId="1" xfId="0" applyNumberFormat="1" applyFont="1" applyFill="1" applyBorder="1" applyAlignment="1">
      <alignment horizontal="center" vertical="center" wrapText="1"/>
    </xf>
    <xf numFmtId="1" fontId="21" fillId="2" borderId="1" xfId="0" applyNumberFormat="1" applyFont="1" applyFill="1" applyBorder="1" applyAlignment="1">
      <alignment horizontal="center" vertical="center"/>
    </xf>
    <xf numFmtId="0" fontId="21" fillId="2" borderId="13" xfId="0" applyFont="1" applyFill="1" applyBorder="1" applyAlignment="1">
      <alignment horizontal="left" vertical="center"/>
    </xf>
    <xf numFmtId="2" fontId="21" fillId="2" borderId="1" xfId="0" applyNumberFormat="1" applyFont="1" applyFill="1" applyBorder="1" applyAlignment="1">
      <alignment horizontal="center" vertical="center"/>
    </xf>
    <xf numFmtId="0" fontId="21" fillId="2" borderId="1" xfId="0" applyNumberFormat="1" applyFont="1" applyFill="1" applyBorder="1" applyAlignment="1">
      <alignment horizontal="center" vertical="center"/>
    </xf>
    <xf numFmtId="0" fontId="21" fillId="2" borderId="8" xfId="0" applyNumberFormat="1" applyFont="1" applyFill="1" applyBorder="1" applyAlignment="1">
      <alignment horizontal="center" vertical="center"/>
    </xf>
    <xf numFmtId="0" fontId="21" fillId="2" borderId="1" xfId="0" applyFont="1" applyFill="1" applyBorder="1" applyAlignment="1">
      <alignment horizontal="center" vertical="center"/>
    </xf>
    <xf numFmtId="1" fontId="21" fillId="2" borderId="8" xfId="0" applyNumberFormat="1" applyFont="1" applyFill="1" applyBorder="1" applyAlignment="1">
      <alignment horizontal="right" vertical="center" wrapText="1"/>
    </xf>
    <xf numFmtId="1" fontId="21" fillId="2" borderId="7" xfId="0" applyNumberFormat="1" applyFont="1" applyFill="1" applyBorder="1" applyAlignment="1">
      <alignment horizontal="right" vertical="center" wrapText="1"/>
    </xf>
    <xf numFmtId="49" fontId="21" fillId="2" borderId="21" xfId="0" applyNumberFormat="1" applyFont="1" applyFill="1" applyBorder="1" applyAlignment="1">
      <alignment horizontal="right" vertical="center" wrapText="1"/>
    </xf>
    <xf numFmtId="49" fontId="25" fillId="2" borderId="9" xfId="0" applyNumberFormat="1" applyFont="1" applyFill="1" applyBorder="1" applyAlignment="1">
      <alignment vertical="center"/>
    </xf>
    <xf numFmtId="0" fontId="13" fillId="2" borderId="13" xfId="0" applyFont="1" applyFill="1" applyBorder="1" applyAlignment="1">
      <alignment horizontal="left" vertical="center"/>
    </xf>
    <xf numFmtId="0" fontId="20" fillId="2" borderId="1" xfId="0" applyNumberFormat="1" applyFont="1" applyFill="1" applyBorder="1" applyAlignment="1">
      <alignment horizontal="center" vertical="center" wrapText="1"/>
    </xf>
    <xf numFmtId="49" fontId="21" fillId="2" borderId="1" xfId="0" applyNumberFormat="1" applyFont="1" applyFill="1" applyBorder="1" applyAlignment="1">
      <alignment horizontal="center" vertical="center" wrapText="1"/>
    </xf>
    <xf numFmtId="0" fontId="21" fillId="2" borderId="14" xfId="0" applyNumberFormat="1" applyFont="1" applyFill="1" applyBorder="1" applyAlignment="1">
      <alignment horizontal="center" vertical="center"/>
    </xf>
    <xf numFmtId="0" fontId="21" fillId="2" borderId="15" xfId="0" applyNumberFormat="1" applyFont="1" applyFill="1" applyBorder="1" applyAlignment="1">
      <alignment horizontal="center" vertical="center" wrapText="1"/>
    </xf>
    <xf numFmtId="0" fontId="21" fillId="2" borderId="14" xfId="0" applyFont="1" applyFill="1" applyBorder="1" applyAlignment="1">
      <alignment vertical="center"/>
    </xf>
    <xf numFmtId="0" fontId="21" fillId="2" borderId="13" xfId="0" applyFont="1" applyFill="1" applyBorder="1" applyAlignment="1">
      <alignment vertical="center"/>
    </xf>
    <xf numFmtId="1" fontId="20" fillId="2" borderId="7" xfId="0" applyNumberFormat="1" applyFont="1" applyFill="1" applyBorder="1" applyAlignment="1">
      <alignment horizontal="right" vertical="center"/>
    </xf>
    <xf numFmtId="2" fontId="13" fillId="2" borderId="1" xfId="0" applyNumberFormat="1" applyFont="1" applyFill="1" applyBorder="1" applyAlignment="1">
      <alignment horizontal="center" vertical="center"/>
    </xf>
    <xf numFmtId="1" fontId="20" fillId="2" borderId="8" xfId="0" applyNumberFormat="1" applyFont="1" applyFill="1" applyBorder="1" applyAlignment="1">
      <alignment horizontal="center" vertical="center"/>
    </xf>
    <xf numFmtId="1" fontId="20" fillId="2" borderId="24" xfId="0" applyNumberFormat="1" applyFont="1" applyFill="1" applyBorder="1" applyAlignment="1">
      <alignment horizontal="center" vertical="center" wrapText="1"/>
    </xf>
    <xf numFmtId="0" fontId="21" fillId="2" borderId="8" xfId="0" applyNumberFormat="1" applyFont="1" applyFill="1" applyBorder="1" applyAlignment="1">
      <alignment horizontal="center" vertical="center" wrapText="1"/>
    </xf>
    <xf numFmtId="0" fontId="21" fillId="2" borderId="9" xfId="0" applyNumberFormat="1" applyFont="1" applyFill="1" applyBorder="1" applyAlignment="1">
      <alignment horizontal="center" vertical="center" wrapText="1"/>
    </xf>
    <xf numFmtId="0" fontId="21" fillId="2" borderId="1" xfId="0" applyNumberFormat="1" applyFont="1" applyFill="1" applyBorder="1" applyAlignment="1">
      <alignment vertical="center"/>
    </xf>
    <xf numFmtId="0" fontId="21" fillId="2" borderId="20" xfId="0" applyNumberFormat="1" applyFont="1" applyFill="1" applyBorder="1" applyAlignment="1">
      <alignment horizontal="right" vertical="center" wrapText="1"/>
    </xf>
    <xf numFmtId="0" fontId="21" fillId="2" borderId="33" xfId="0" applyNumberFormat="1" applyFont="1" applyFill="1" applyBorder="1" applyAlignment="1">
      <alignment horizontal="center" vertical="center" wrapText="1"/>
    </xf>
    <xf numFmtId="1" fontId="20" fillId="2" borderId="1" xfId="0" applyNumberFormat="1" applyFont="1" applyFill="1" applyBorder="1" applyAlignment="1">
      <alignment horizontal="center" vertical="center"/>
    </xf>
    <xf numFmtId="0" fontId="21" fillId="2" borderId="8" xfId="0" applyFont="1" applyFill="1" applyBorder="1" applyAlignment="1">
      <alignment vertical="center"/>
    </xf>
    <xf numFmtId="0" fontId="21" fillId="2" borderId="13" xfId="0" applyNumberFormat="1" applyFont="1" applyFill="1" applyBorder="1" applyAlignment="1">
      <alignment horizontal="center" vertical="center"/>
    </xf>
    <xf numFmtId="0" fontId="21" fillId="2" borderId="9" xfId="0" applyNumberFormat="1" applyFont="1" applyFill="1" applyBorder="1" applyAlignment="1">
      <alignment horizontal="center" vertical="center"/>
    </xf>
    <xf numFmtId="0" fontId="21" fillId="2" borderId="1" xfId="0" applyNumberFormat="1" applyFont="1" applyFill="1" applyBorder="1" applyAlignment="1">
      <alignment horizontal="left" vertical="center"/>
    </xf>
    <xf numFmtId="0" fontId="26" fillId="2" borderId="8" xfId="0" applyFont="1" applyFill="1" applyBorder="1" applyAlignment="1">
      <alignment vertical="center"/>
    </xf>
    <xf numFmtId="1" fontId="21" fillId="2" borderId="33" xfId="0" applyNumberFormat="1" applyFont="1" applyFill="1" applyBorder="1" applyAlignment="1">
      <alignment horizontal="left" vertical="center"/>
    </xf>
    <xf numFmtId="2" fontId="21"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9" xfId="0" applyNumberFormat="1" applyFont="1" applyFill="1" applyBorder="1" applyAlignment="1">
      <alignment horizontal="left" vertical="center" wrapText="1"/>
    </xf>
    <xf numFmtId="0" fontId="21" fillId="2" borderId="24" xfId="0" applyNumberFormat="1" applyFont="1" applyFill="1" applyBorder="1" applyAlignment="1">
      <alignment horizontal="left" vertical="center"/>
    </xf>
    <xf numFmtId="1" fontId="21" fillId="2" borderId="8" xfId="0" applyNumberFormat="1" applyFont="1" applyFill="1" applyBorder="1" applyAlignment="1">
      <alignment horizontal="center" vertical="center"/>
    </xf>
    <xf numFmtId="49" fontId="25" fillId="2" borderId="9" xfId="0" applyNumberFormat="1" applyFont="1" applyFill="1" applyBorder="1" applyAlignment="1">
      <alignment horizontal="center" vertical="center"/>
    </xf>
    <xf numFmtId="0" fontId="21" fillId="2" borderId="1" xfId="0" applyFont="1" applyFill="1" applyBorder="1" applyAlignment="1">
      <alignment vertical="center" wrapText="1"/>
    </xf>
    <xf numFmtId="0" fontId="21" fillId="10" borderId="8" xfId="0" applyFont="1" applyFill="1" applyBorder="1" applyAlignment="1">
      <alignment vertical="center"/>
    </xf>
    <xf numFmtId="49" fontId="21" fillId="10" borderId="18" xfId="0" applyNumberFormat="1" applyFont="1" applyFill="1" applyBorder="1" applyAlignment="1">
      <alignment horizontal="center" vertical="center"/>
    </xf>
    <xf numFmtId="0" fontId="21" fillId="2" borderId="1" xfId="0" applyFont="1" applyFill="1" applyBorder="1" applyAlignment="1">
      <alignment vertical="center"/>
    </xf>
    <xf numFmtId="0" fontId="21" fillId="7" borderId="8" xfId="0" applyFont="1" applyFill="1" applyBorder="1" applyAlignment="1">
      <alignment vertical="center"/>
    </xf>
    <xf numFmtId="0" fontId="21" fillId="4" borderId="8" xfId="0" applyFont="1" applyFill="1" applyBorder="1" applyAlignment="1">
      <alignment vertical="center"/>
    </xf>
    <xf numFmtId="0" fontId="21" fillId="4" borderId="24" xfId="0" applyNumberFormat="1" applyFont="1" applyFill="1" applyBorder="1" applyAlignment="1">
      <alignment horizontal="left" vertical="center" wrapText="1"/>
    </xf>
    <xf numFmtId="0" fontId="21" fillId="0" borderId="1" xfId="0" applyNumberFormat="1" applyFont="1" applyFill="1" applyBorder="1" applyAlignment="1">
      <alignment horizontal="center" vertical="center" wrapText="1"/>
    </xf>
    <xf numFmtId="0" fontId="21" fillId="0" borderId="20" xfId="0" applyNumberFormat="1" applyFont="1" applyFill="1" applyBorder="1" applyAlignment="1">
      <alignment horizontal="center" vertical="center" wrapText="1"/>
    </xf>
    <xf numFmtId="2" fontId="21" fillId="0" borderId="18" xfId="0" applyNumberFormat="1" applyFont="1" applyFill="1" applyBorder="1" applyAlignment="1">
      <alignment horizontal="center" vertical="center"/>
    </xf>
    <xf numFmtId="0" fontId="21" fillId="0" borderId="9" xfId="0" applyNumberFormat="1" applyFont="1" applyFill="1" applyBorder="1" applyAlignment="1">
      <alignment horizontal="left" vertical="center" wrapText="1"/>
    </xf>
    <xf numFmtId="0" fontId="21" fillId="4" borderId="1" xfId="0" applyFont="1" applyFill="1" applyBorder="1" applyAlignment="1">
      <alignment vertical="center"/>
    </xf>
    <xf numFmtId="0" fontId="21" fillId="3" borderId="8" xfId="0" applyFont="1" applyFill="1" applyBorder="1" applyAlignment="1">
      <alignment vertical="center"/>
    </xf>
    <xf numFmtId="0" fontId="21" fillId="0" borderId="8" xfId="0" applyFont="1" applyFill="1" applyBorder="1" applyAlignment="1">
      <alignment vertical="center"/>
    </xf>
    <xf numFmtId="0" fontId="21" fillId="7" borderId="1" xfId="0" applyFont="1" applyFill="1" applyBorder="1" applyAlignment="1">
      <alignment vertical="center"/>
    </xf>
    <xf numFmtId="0" fontId="21" fillId="2" borderId="14" xfId="0" applyNumberFormat="1" applyFont="1" applyFill="1" applyBorder="1" applyAlignment="1">
      <alignment horizontal="left" vertical="center" wrapText="1"/>
    </xf>
    <xf numFmtId="0" fontId="27" fillId="9" borderId="8" xfId="0" applyFont="1" applyFill="1" applyBorder="1" applyAlignment="1">
      <alignment vertical="center"/>
    </xf>
    <xf numFmtId="0" fontId="21" fillId="2" borderId="7" xfId="0" applyNumberFormat="1" applyFont="1" applyFill="1" applyBorder="1" applyAlignment="1">
      <alignment horizontal="right" vertical="center"/>
    </xf>
    <xf numFmtId="0" fontId="20" fillId="2" borderId="14" xfId="0" applyFont="1" applyFill="1" applyBorder="1" applyAlignment="1">
      <alignment horizontal="center" vertical="center"/>
    </xf>
    <xf numFmtId="0" fontId="28" fillId="2" borderId="1" xfId="0" applyNumberFormat="1" applyFont="1" applyFill="1" applyBorder="1" applyAlignment="1">
      <alignment horizontal="left" vertical="center" wrapText="1"/>
    </xf>
    <xf numFmtId="0" fontId="28" fillId="0" borderId="0" xfId="0" applyFont="1" applyAlignment="1">
      <alignment vertical="center"/>
    </xf>
    <xf numFmtId="49" fontId="22" fillId="2" borderId="0" xfId="0" applyNumberFormat="1" applyFont="1" applyFill="1" applyBorder="1" applyAlignment="1">
      <alignment horizontal="left" wrapText="1"/>
    </xf>
    <xf numFmtId="0" fontId="17" fillId="0" borderId="0" xfId="0" applyFont="1" applyAlignment="1">
      <alignment horizontal="left" vertical="center"/>
    </xf>
    <xf numFmtId="49" fontId="17" fillId="0" borderId="0" xfId="0" applyNumberFormat="1" applyFont="1" applyAlignment="1">
      <alignment horizontal="right" vertical="center"/>
    </xf>
    <xf numFmtId="0" fontId="17" fillId="0" borderId="0" xfId="0" applyNumberFormat="1" applyFont="1" applyBorder="1" applyAlignment="1">
      <alignment horizontal="left" vertical="center"/>
    </xf>
    <xf numFmtId="2" fontId="17" fillId="0" borderId="0" xfId="0" applyNumberFormat="1" applyFont="1" applyBorder="1" applyAlignment="1">
      <alignment horizontal="center" vertical="center"/>
    </xf>
    <xf numFmtId="1" fontId="23" fillId="2" borderId="0" xfId="0" applyNumberFormat="1" applyFont="1" applyFill="1" applyAlignment="1">
      <alignment vertical="center"/>
    </xf>
    <xf numFmtId="0" fontId="17" fillId="0" borderId="0" xfId="0" applyFont="1" applyAlignment="1">
      <alignment vertical="center" wrapText="1"/>
    </xf>
    <xf numFmtId="0" fontId="17" fillId="5" borderId="0" xfId="0" applyFont="1" applyFill="1" applyAlignment="1">
      <alignment vertical="center"/>
    </xf>
    <xf numFmtId="2" fontId="23" fillId="2" borderId="0" xfId="0" applyNumberFormat="1" applyFont="1" applyFill="1" applyBorder="1" applyAlignment="1">
      <alignment horizontal="center" vertical="center"/>
    </xf>
    <xf numFmtId="2" fontId="29" fillId="2" borderId="0" xfId="0" applyNumberFormat="1" applyFont="1" applyFill="1" applyBorder="1" applyAlignment="1">
      <alignment horizontal="right" vertical="center"/>
    </xf>
    <xf numFmtId="0" fontId="15" fillId="0" borderId="0" xfId="0" applyFont="1" applyAlignment="1">
      <alignment vertical="center"/>
    </xf>
    <xf numFmtId="0" fontId="15" fillId="2" borderId="0" xfId="0" applyFont="1" applyFill="1" applyAlignment="1">
      <alignment vertical="center"/>
    </xf>
    <xf numFmtId="49" fontId="15" fillId="0" borderId="0" xfId="0" applyNumberFormat="1" applyFont="1" applyAlignment="1">
      <alignment vertical="center"/>
    </xf>
    <xf numFmtId="0" fontId="15" fillId="5" borderId="0" xfId="0" applyFont="1" applyFill="1" applyAlignment="1">
      <alignment vertical="center"/>
    </xf>
    <xf numFmtId="0" fontId="22" fillId="2" borderId="0" xfId="0" applyFont="1" applyFill="1" applyBorder="1" applyAlignment="1"/>
    <xf numFmtId="0" fontId="22" fillId="2" borderId="0" xfId="0" applyFont="1" applyFill="1" applyBorder="1" applyAlignment="1">
      <alignment horizontal="center"/>
    </xf>
    <xf numFmtId="0" fontId="22" fillId="2" borderId="0" xfId="0" applyFont="1" applyFill="1" applyBorder="1" applyAlignment="1">
      <alignment horizontal="left"/>
    </xf>
    <xf numFmtId="0" fontId="22" fillId="2" borderId="0" xfId="0" applyFont="1" applyFill="1" applyBorder="1" applyAlignment="1">
      <alignment horizontal="right"/>
    </xf>
    <xf numFmtId="49" fontId="22" fillId="2" borderId="0" xfId="0" applyNumberFormat="1" applyFont="1" applyFill="1" applyBorder="1" applyAlignment="1">
      <alignment horizontal="right"/>
    </xf>
    <xf numFmtId="49" fontId="22" fillId="2" borderId="0" xfId="0" applyNumberFormat="1" applyFont="1" applyFill="1" applyBorder="1" applyAlignment="1">
      <alignment horizontal="left"/>
    </xf>
    <xf numFmtId="0" fontId="28" fillId="2" borderId="0" xfId="0" applyFont="1" applyFill="1" applyBorder="1" applyAlignment="1">
      <alignment horizontal="right"/>
    </xf>
    <xf numFmtId="0" fontId="23" fillId="2" borderId="9" xfId="0" applyNumberFormat="1" applyFont="1" applyFill="1" applyBorder="1" applyAlignment="1">
      <alignment horizontal="left" vertical="center" wrapText="1"/>
    </xf>
    <xf numFmtId="49" fontId="24" fillId="2" borderId="9" xfId="0" applyNumberFormat="1" applyFont="1" applyFill="1" applyBorder="1" applyAlignment="1">
      <alignment horizontal="left" vertical="center"/>
    </xf>
    <xf numFmtId="0" fontId="27" fillId="2" borderId="0" xfId="0" applyNumberFormat="1" applyFont="1" applyFill="1" applyAlignment="1">
      <alignment horizontal="center" vertical="center"/>
    </xf>
    <xf numFmtId="1" fontId="12" fillId="2" borderId="7" xfId="0" applyNumberFormat="1" applyFont="1" applyFill="1" applyBorder="1" applyAlignment="1">
      <alignment horizontal="center" vertical="center"/>
    </xf>
    <xf numFmtId="1" fontId="19" fillId="2" borderId="1" xfId="0" applyNumberFormat="1" applyFont="1" applyFill="1" applyBorder="1" applyAlignment="1">
      <alignment horizontal="center" vertical="center"/>
    </xf>
    <xf numFmtId="1" fontId="18" fillId="2" borderId="14" xfId="0" applyNumberFormat="1" applyFont="1" applyFill="1" applyBorder="1" applyAlignment="1">
      <alignment horizontal="center" vertical="center"/>
    </xf>
    <xf numFmtId="0" fontId="18" fillId="2" borderId="1" xfId="0" applyFont="1" applyFill="1" applyBorder="1" applyAlignment="1">
      <alignment horizontal="center" vertical="center"/>
    </xf>
    <xf numFmtId="0" fontId="23" fillId="2" borderId="0" xfId="0" applyFont="1" applyFill="1" applyAlignment="1">
      <alignment vertical="center"/>
    </xf>
    <xf numFmtId="0" fontId="30" fillId="0" borderId="0" xfId="0" applyNumberFormat="1" applyFont="1" applyBorder="1" applyAlignment="1">
      <alignment horizontal="left"/>
    </xf>
    <xf numFmtId="2" fontId="14" fillId="0" borderId="0" xfId="0" applyNumberFormat="1" applyFont="1" applyAlignment="1"/>
    <xf numFmtId="0" fontId="14" fillId="0" borderId="0" xfId="0" applyNumberFormat="1" applyFont="1" applyBorder="1" applyAlignment="1">
      <alignment wrapText="1"/>
    </xf>
    <xf numFmtId="0" fontId="14" fillId="0" borderId="0" xfId="0" applyNumberFormat="1" applyFont="1" applyBorder="1" applyAlignment="1">
      <alignment horizontal="left" wrapText="1"/>
    </xf>
    <xf numFmtId="2" fontId="15" fillId="0" borderId="0" xfId="0" applyNumberFormat="1" applyFont="1" applyAlignment="1"/>
    <xf numFmtId="0" fontId="15" fillId="0" borderId="0" xfId="0" applyNumberFormat="1" applyFont="1" applyAlignment="1">
      <alignment horizontal="center"/>
    </xf>
    <xf numFmtId="0" fontId="23" fillId="0" borderId="0" xfId="0" quotePrefix="1" applyNumberFormat="1" applyFont="1" applyBorder="1" applyAlignment="1">
      <alignment horizontal="left"/>
    </xf>
    <xf numFmtId="0" fontId="15" fillId="0" borderId="0" xfId="0" applyNumberFormat="1" applyFont="1" applyAlignment="1">
      <alignment wrapText="1"/>
    </xf>
    <xf numFmtId="0" fontId="15" fillId="0" borderId="0" xfId="0" applyNumberFormat="1" applyFont="1" applyBorder="1" applyAlignment="1">
      <alignment horizontal="center" wrapText="1"/>
    </xf>
    <xf numFmtId="0" fontId="15" fillId="0" borderId="0" xfId="0" applyNumberFormat="1" applyFont="1" applyBorder="1" applyAlignment="1">
      <alignment wrapText="1"/>
    </xf>
    <xf numFmtId="0" fontId="15" fillId="0" borderId="0" xfId="0" applyNumberFormat="1" applyFont="1" applyBorder="1" applyAlignment="1">
      <alignment horizontal="left" wrapText="1"/>
    </xf>
    <xf numFmtId="2" fontId="15" fillId="2" borderId="0" xfId="0" applyNumberFormat="1" applyFont="1" applyFill="1" applyBorder="1" applyAlignment="1">
      <alignment horizontal="center" vertical="center"/>
    </xf>
    <xf numFmtId="2" fontId="23" fillId="0" borderId="0" xfId="0" applyNumberFormat="1" applyFont="1" applyAlignment="1"/>
    <xf numFmtId="0" fontId="31" fillId="0" borderId="0" xfId="0" applyNumberFormat="1" applyFont="1" applyBorder="1" applyAlignment="1">
      <alignment wrapText="1"/>
    </xf>
    <xf numFmtId="0" fontId="31" fillId="0" borderId="0" xfId="0" applyNumberFormat="1" applyFont="1" applyBorder="1" applyAlignment="1">
      <alignment horizontal="left" wrapText="1"/>
    </xf>
    <xf numFmtId="0" fontId="15" fillId="2" borderId="0" xfId="0" applyNumberFormat="1" applyFont="1" applyFill="1" applyAlignment="1">
      <alignment horizontal="center" wrapText="1"/>
    </xf>
    <xf numFmtId="49" fontId="17" fillId="0" borderId="0" xfId="0" applyNumberFormat="1" applyFont="1" applyBorder="1" applyAlignment="1">
      <alignment horizontal="right" vertical="center"/>
    </xf>
    <xf numFmtId="49" fontId="17" fillId="0" borderId="0" xfId="0" applyNumberFormat="1" applyFont="1" applyBorder="1" applyAlignment="1">
      <alignment vertical="center"/>
    </xf>
    <xf numFmtId="0" fontId="17" fillId="2" borderId="0" xfId="0" applyFont="1" applyFill="1" applyAlignment="1">
      <alignment vertical="center" wrapText="1"/>
    </xf>
    <xf numFmtId="0" fontId="17" fillId="2" borderId="14" xfId="0" applyNumberFormat="1" applyFont="1" applyFill="1" applyBorder="1" applyAlignment="1">
      <alignment vertical="center"/>
    </xf>
    <xf numFmtId="0" fontId="17" fillId="2" borderId="8" xfId="0" applyNumberFormat="1" applyFont="1" applyFill="1" applyBorder="1" applyAlignment="1">
      <alignment vertical="center"/>
    </xf>
    <xf numFmtId="0" fontId="17" fillId="0" borderId="19" xfId="0" applyFont="1" applyBorder="1" applyAlignment="1">
      <alignment horizontal="left" vertical="center"/>
    </xf>
    <xf numFmtId="0" fontId="17" fillId="0" borderId="23" xfId="0" applyFont="1" applyBorder="1" applyAlignment="1">
      <alignment horizontal="left" vertical="center"/>
    </xf>
    <xf numFmtId="0" fontId="14" fillId="2" borderId="0" xfId="0" applyFont="1" applyFill="1" applyBorder="1" applyAlignment="1">
      <alignment horizontal="right"/>
    </xf>
    <xf numFmtId="0" fontId="14" fillId="2" borderId="0" xfId="0" applyFont="1" applyFill="1" applyBorder="1" applyAlignment="1">
      <alignment horizontal="left"/>
    </xf>
    <xf numFmtId="0" fontId="14" fillId="2" borderId="0" xfId="0" applyFont="1" applyFill="1" applyBorder="1" applyAlignment="1">
      <alignment horizontal="center"/>
    </xf>
    <xf numFmtId="0" fontId="15" fillId="2" borderId="0" xfId="0" applyFont="1" applyFill="1" applyBorder="1" applyAlignment="1">
      <alignment horizontal="right"/>
    </xf>
    <xf numFmtId="0" fontId="28" fillId="0" borderId="0" xfId="0" applyFont="1" applyAlignment="1">
      <alignment horizontal="left" vertical="center"/>
    </xf>
    <xf numFmtId="0" fontId="28" fillId="2" borderId="0" xfId="0" applyFont="1" applyFill="1" applyAlignment="1">
      <alignment horizontal="right"/>
    </xf>
    <xf numFmtId="1" fontId="28" fillId="2" borderId="0" xfId="0" applyNumberFormat="1" applyFont="1" applyFill="1" applyBorder="1" applyAlignment="1">
      <alignment horizontal="right"/>
    </xf>
    <xf numFmtId="1" fontId="14" fillId="2" borderId="0" xfId="0" applyNumberFormat="1" applyFont="1" applyFill="1" applyBorder="1" applyAlignment="1">
      <alignment horizontal="center"/>
    </xf>
    <xf numFmtId="0" fontId="21" fillId="12" borderId="8" xfId="0" applyFont="1" applyFill="1" applyBorder="1" applyAlignment="1">
      <alignment vertical="center"/>
    </xf>
    <xf numFmtId="0" fontId="0" fillId="0" borderId="0" xfId="0" applyAlignment="1">
      <alignment horizontal="right"/>
    </xf>
    <xf numFmtId="0" fontId="2" fillId="0" borderId="0" xfId="0" applyFont="1"/>
    <xf numFmtId="0" fontId="21" fillId="0" borderId="8" xfId="0" applyFont="1" applyBorder="1"/>
    <xf numFmtId="0" fontId="21" fillId="2" borderId="24" xfId="0" applyNumberFormat="1" applyFont="1" applyFill="1" applyBorder="1" applyAlignment="1">
      <alignment vertical="center" wrapText="1"/>
    </xf>
    <xf numFmtId="0" fontId="35" fillId="4" borderId="1" xfId="0" applyNumberFormat="1" applyFont="1" applyFill="1" applyBorder="1" applyAlignment="1">
      <alignment horizontal="center" vertical="center"/>
    </xf>
    <xf numFmtId="0" fontId="20" fillId="6" borderId="14" xfId="0" applyFont="1" applyFill="1" applyBorder="1" applyAlignment="1">
      <alignment horizontal="center" vertical="center"/>
    </xf>
    <xf numFmtId="0" fontId="31" fillId="0" borderId="0" xfId="0" applyNumberFormat="1" applyFont="1" applyBorder="1" applyAlignment="1">
      <alignment horizontal="center" wrapText="1"/>
    </xf>
    <xf numFmtId="0" fontId="21" fillId="2" borderId="34" xfId="0" applyNumberFormat="1" applyFont="1" applyFill="1" applyBorder="1" applyAlignment="1">
      <alignment horizontal="right" vertical="center"/>
    </xf>
    <xf numFmtId="0" fontId="22" fillId="2" borderId="0" xfId="0" applyNumberFormat="1" applyFont="1" applyFill="1" applyAlignment="1">
      <alignment horizontal="center" vertical="center" wrapText="1"/>
    </xf>
    <xf numFmtId="49" fontId="22" fillId="2" borderId="0" xfId="0" applyNumberFormat="1" applyFont="1" applyFill="1" applyBorder="1" applyAlignment="1">
      <alignment horizontal="center" vertical="center" wrapText="1"/>
    </xf>
    <xf numFmtId="2" fontId="22" fillId="2" borderId="0" xfId="0" applyNumberFormat="1" applyFont="1" applyFill="1" applyAlignment="1">
      <alignment horizontal="center" vertical="center"/>
    </xf>
    <xf numFmtId="49" fontId="21" fillId="2" borderId="0" xfId="0" applyNumberFormat="1" applyFont="1" applyFill="1" applyBorder="1" applyAlignment="1">
      <alignment horizontal="center" vertical="center"/>
    </xf>
    <xf numFmtId="0" fontId="28" fillId="0" borderId="1" xfId="0" applyFont="1" applyBorder="1" applyAlignment="1">
      <alignment horizontal="center" vertical="center"/>
    </xf>
    <xf numFmtId="0" fontId="22" fillId="2" borderId="0" xfId="0" applyFont="1" applyFill="1" applyBorder="1" applyAlignment="1">
      <alignment horizontal="center" vertical="center"/>
    </xf>
    <xf numFmtId="0" fontId="28" fillId="2" borderId="0" xfId="0" applyNumberFormat="1" applyFont="1" applyFill="1" applyBorder="1" applyAlignment="1">
      <alignment horizontal="left" vertical="center" wrapText="1"/>
    </xf>
    <xf numFmtId="0" fontId="28" fillId="0" borderId="1" xfId="0" applyFont="1" applyBorder="1" applyAlignment="1">
      <alignment vertical="center"/>
    </xf>
    <xf numFmtId="0" fontId="28" fillId="0" borderId="1" xfId="0" applyFont="1" applyBorder="1" applyAlignment="1">
      <alignment vertical="center" wrapText="1"/>
    </xf>
    <xf numFmtId="0" fontId="23" fillId="2" borderId="1" xfId="0" applyNumberFormat="1" applyFont="1" applyFill="1" applyBorder="1" applyAlignment="1">
      <alignment horizontal="center" vertical="center" wrapText="1"/>
    </xf>
    <xf numFmtId="0" fontId="21" fillId="2" borderId="0" xfId="0" applyNumberFormat="1" applyFont="1" applyFill="1" applyBorder="1" applyAlignment="1">
      <alignment horizontal="center" vertical="center" wrapText="1"/>
    </xf>
    <xf numFmtId="0" fontId="21" fillId="2" borderId="0" xfId="0" applyNumberFormat="1" applyFont="1" applyFill="1" applyBorder="1" applyAlignment="1">
      <alignment horizontal="center" vertical="center"/>
    </xf>
    <xf numFmtId="49" fontId="21" fillId="2" borderId="0" xfId="0" applyNumberFormat="1" applyFont="1" applyFill="1" applyBorder="1" applyAlignment="1">
      <alignment horizontal="right" vertical="center"/>
    </xf>
    <xf numFmtId="1" fontId="21" fillId="2" borderId="0" xfId="0" applyNumberFormat="1" applyFont="1" applyFill="1" applyBorder="1" applyAlignment="1">
      <alignment horizontal="center" vertical="center"/>
    </xf>
    <xf numFmtId="0" fontId="17" fillId="2" borderId="0" xfId="0" applyNumberFormat="1" applyFont="1" applyFill="1" applyBorder="1" applyAlignment="1">
      <alignment horizontal="center" vertical="center" wrapText="1"/>
    </xf>
    <xf numFmtId="0" fontId="9" fillId="0" borderId="0" xfId="0" applyNumberFormat="1" applyFont="1" applyBorder="1" applyAlignment="1"/>
    <xf numFmtId="0" fontId="21" fillId="13" borderId="1" xfId="0" applyNumberFormat="1" applyFont="1" applyFill="1" applyBorder="1" applyAlignment="1">
      <alignment horizontal="center" vertical="center" wrapText="1"/>
    </xf>
    <xf numFmtId="0" fontId="21" fillId="13" borderId="1" xfId="0" applyNumberFormat="1" applyFont="1" applyFill="1" applyBorder="1" applyAlignment="1">
      <alignment horizontal="left" vertical="center" wrapText="1"/>
    </xf>
    <xf numFmtId="0" fontId="21" fillId="13" borderId="13" xfId="0" applyNumberFormat="1" applyFont="1" applyFill="1" applyBorder="1" applyAlignment="1">
      <alignment horizontal="center" vertical="center" wrapText="1"/>
    </xf>
    <xf numFmtId="0" fontId="21" fillId="13" borderId="24" xfId="0" applyNumberFormat="1" applyFont="1" applyFill="1" applyBorder="1" applyAlignment="1">
      <alignment horizontal="left" vertical="center"/>
    </xf>
    <xf numFmtId="2" fontId="21" fillId="13" borderId="31" xfId="0" applyNumberFormat="1" applyFont="1" applyFill="1" applyBorder="1" applyAlignment="1">
      <alignment horizontal="center" vertical="center"/>
    </xf>
    <xf numFmtId="2" fontId="21" fillId="13" borderId="32" xfId="0" applyNumberFormat="1" applyFont="1" applyFill="1" applyBorder="1" applyAlignment="1">
      <alignment vertical="center"/>
    </xf>
    <xf numFmtId="1" fontId="21" fillId="13" borderId="1" xfId="0" applyNumberFormat="1" applyFont="1" applyFill="1" applyBorder="1" applyAlignment="1">
      <alignment horizontal="center" vertical="center"/>
    </xf>
    <xf numFmtId="0" fontId="21" fillId="13" borderId="34" xfId="0" applyNumberFormat="1" applyFont="1" applyFill="1" applyBorder="1" applyAlignment="1">
      <alignment horizontal="right" vertical="center"/>
    </xf>
    <xf numFmtId="0" fontId="21" fillId="13" borderId="20" xfId="0" applyNumberFormat="1" applyFont="1" applyFill="1" applyBorder="1" applyAlignment="1">
      <alignment horizontal="left" vertical="center"/>
    </xf>
    <xf numFmtId="2" fontId="21" fillId="13" borderId="1" xfId="0" applyNumberFormat="1" applyFont="1" applyFill="1" applyBorder="1" applyAlignment="1">
      <alignment horizontal="center" vertical="center"/>
    </xf>
    <xf numFmtId="1" fontId="21" fillId="13" borderId="7" xfId="0" applyNumberFormat="1" applyFont="1" applyFill="1" applyBorder="1" applyAlignment="1">
      <alignment horizontal="right" vertical="center"/>
    </xf>
    <xf numFmtId="2" fontId="21" fillId="13" borderId="18" xfId="0" applyNumberFormat="1" applyFont="1" applyFill="1" applyBorder="1" applyAlignment="1">
      <alignment horizontal="center" vertical="center"/>
    </xf>
    <xf numFmtId="1" fontId="21" fillId="13" borderId="33" xfId="0" applyNumberFormat="1" applyFont="1" applyFill="1" applyBorder="1" applyAlignment="1">
      <alignment horizontal="left" vertical="center"/>
    </xf>
    <xf numFmtId="2" fontId="21" fillId="13" borderId="1" xfId="0" applyNumberFormat="1" applyFont="1" applyFill="1" applyBorder="1" applyAlignment="1">
      <alignment horizontal="left" vertical="center"/>
    </xf>
    <xf numFmtId="49" fontId="21" fillId="13" borderId="21" xfId="0" applyNumberFormat="1" applyFont="1" applyFill="1" applyBorder="1" applyAlignment="1">
      <alignment horizontal="right" vertical="center"/>
    </xf>
    <xf numFmtId="49" fontId="21" fillId="13" borderId="18" xfId="0" applyNumberFormat="1" applyFont="1" applyFill="1" applyBorder="1" applyAlignment="1">
      <alignment horizontal="center" vertical="center"/>
    </xf>
    <xf numFmtId="0" fontId="35" fillId="13" borderId="1" xfId="0" applyNumberFormat="1" applyFont="1" applyFill="1" applyBorder="1" applyAlignment="1">
      <alignment horizontal="center" vertical="center"/>
    </xf>
    <xf numFmtId="1" fontId="21" fillId="13" borderId="1" xfId="0" applyNumberFormat="1" applyFont="1" applyFill="1" applyBorder="1" applyAlignment="1">
      <alignment horizontal="center" vertical="center" wrapText="1"/>
    </xf>
    <xf numFmtId="0" fontId="20" fillId="13" borderId="14" xfId="0" applyFont="1" applyFill="1" applyBorder="1" applyAlignment="1">
      <alignment horizontal="center" vertical="center"/>
    </xf>
    <xf numFmtId="0" fontId="21" fillId="13" borderId="13" xfId="0" applyFont="1" applyFill="1" applyBorder="1" applyAlignment="1">
      <alignment horizontal="left" vertical="center"/>
    </xf>
    <xf numFmtId="0" fontId="21" fillId="13" borderId="1" xfId="0" applyFont="1" applyFill="1" applyBorder="1" applyAlignment="1">
      <alignment horizontal="center" vertical="center"/>
    </xf>
    <xf numFmtId="1" fontId="21" fillId="13" borderId="8" xfId="0" applyNumberFormat="1" applyFont="1" applyFill="1" applyBorder="1" applyAlignment="1">
      <alignment horizontal="right" vertical="center" wrapText="1"/>
    </xf>
    <xf numFmtId="1" fontId="21" fillId="13" borderId="7" xfId="0" applyNumberFormat="1" applyFont="1" applyFill="1" applyBorder="1" applyAlignment="1">
      <alignment horizontal="right" vertical="center" wrapText="1"/>
    </xf>
    <xf numFmtId="49" fontId="21" fillId="13" borderId="21" xfId="0" applyNumberFormat="1" applyFont="1" applyFill="1" applyBorder="1" applyAlignment="1">
      <alignment horizontal="right" vertical="center" wrapText="1"/>
    </xf>
    <xf numFmtId="49" fontId="25" fillId="13" borderId="9" xfId="0" applyNumberFormat="1" applyFont="1" applyFill="1" applyBorder="1" applyAlignment="1">
      <alignment vertical="center"/>
    </xf>
    <xf numFmtId="0" fontId="13" fillId="13" borderId="13" xfId="0" applyFont="1" applyFill="1" applyBorder="1" applyAlignment="1">
      <alignment horizontal="left" vertical="center"/>
    </xf>
    <xf numFmtId="49" fontId="21" fillId="13" borderId="1" xfId="0" applyNumberFormat="1" applyFont="1" applyFill="1" applyBorder="1" applyAlignment="1">
      <alignment vertical="center"/>
    </xf>
    <xf numFmtId="0" fontId="20" fillId="13" borderId="1" xfId="0" applyNumberFormat="1" applyFont="1" applyFill="1" applyBorder="1" applyAlignment="1">
      <alignment horizontal="center" vertical="center" wrapText="1"/>
    </xf>
    <xf numFmtId="1" fontId="21" fillId="13" borderId="7" xfId="0" applyNumberFormat="1" applyFont="1" applyFill="1" applyBorder="1" applyAlignment="1">
      <alignment horizontal="center" vertical="center"/>
    </xf>
    <xf numFmtId="0" fontId="21" fillId="13" borderId="1" xfId="0" applyFont="1" applyFill="1" applyBorder="1" applyAlignment="1">
      <alignment vertical="center"/>
    </xf>
    <xf numFmtId="0" fontId="21" fillId="13" borderId="1" xfId="0" applyNumberFormat="1" applyFont="1" applyFill="1" applyBorder="1" applyAlignment="1">
      <alignment horizontal="center" vertical="center"/>
    </xf>
    <xf numFmtId="0" fontId="21" fillId="13" borderId="14" xfId="0" applyNumberFormat="1" applyFont="1" applyFill="1" applyBorder="1" applyAlignment="1">
      <alignment horizontal="center" vertical="center"/>
    </xf>
    <xf numFmtId="0" fontId="21" fillId="13" borderId="15" xfId="0" applyNumberFormat="1" applyFont="1" applyFill="1" applyBorder="1" applyAlignment="1">
      <alignment horizontal="center" vertical="center" wrapText="1"/>
    </xf>
    <xf numFmtId="0" fontId="21" fillId="13" borderId="13" xfId="0" applyNumberFormat="1" applyFont="1" applyFill="1" applyBorder="1" applyAlignment="1">
      <alignment horizontal="center" vertical="center"/>
    </xf>
    <xf numFmtId="1" fontId="20" fillId="13" borderId="7" xfId="0" applyNumberFormat="1" applyFont="1" applyFill="1" applyBorder="1" applyAlignment="1">
      <alignment horizontal="right" vertical="center"/>
    </xf>
    <xf numFmtId="2" fontId="13" fillId="13" borderId="1" xfId="0" applyNumberFormat="1" applyFont="1" applyFill="1" applyBorder="1" applyAlignment="1">
      <alignment horizontal="center" vertical="center"/>
    </xf>
    <xf numFmtId="0" fontId="21" fillId="13" borderId="14" xfId="0" applyFont="1" applyFill="1" applyBorder="1" applyAlignment="1">
      <alignment vertical="center"/>
    </xf>
    <xf numFmtId="0" fontId="21" fillId="13" borderId="13" xfId="0" applyFont="1" applyFill="1" applyBorder="1" applyAlignment="1">
      <alignment vertical="center"/>
    </xf>
    <xf numFmtId="1" fontId="20" fillId="13" borderId="8" xfId="0" applyNumberFormat="1" applyFont="1" applyFill="1" applyBorder="1" applyAlignment="1">
      <alignment horizontal="center" vertical="center"/>
    </xf>
    <xf numFmtId="1" fontId="20" fillId="13" borderId="24" xfId="0" applyNumberFormat="1" applyFont="1" applyFill="1" applyBorder="1" applyAlignment="1">
      <alignment horizontal="center" vertical="center" wrapText="1"/>
    </xf>
    <xf numFmtId="0" fontId="21" fillId="13" borderId="1" xfId="0" applyFont="1" applyFill="1" applyBorder="1" applyAlignment="1">
      <alignment horizontal="center" vertical="center" wrapText="1"/>
    </xf>
    <xf numFmtId="0" fontId="21" fillId="13" borderId="9" xfId="0" applyNumberFormat="1" applyFont="1" applyFill="1" applyBorder="1" applyAlignment="1">
      <alignment horizontal="center" vertical="center"/>
    </xf>
    <xf numFmtId="0" fontId="21" fillId="13" borderId="1" xfId="0" applyNumberFormat="1" applyFont="1" applyFill="1" applyBorder="1" applyAlignment="1">
      <alignment horizontal="left" vertical="center"/>
    </xf>
    <xf numFmtId="0" fontId="21" fillId="13" borderId="1" xfId="0" applyNumberFormat="1" applyFont="1" applyFill="1" applyBorder="1" applyAlignment="1">
      <alignment vertical="center"/>
    </xf>
    <xf numFmtId="0" fontId="21" fillId="13" borderId="9" xfId="0" applyNumberFormat="1" applyFont="1" applyFill="1" applyBorder="1" applyAlignment="1">
      <alignment horizontal="left" vertical="center" wrapText="1"/>
    </xf>
    <xf numFmtId="0" fontId="21" fillId="13" borderId="20" xfId="0" applyNumberFormat="1" applyFont="1" applyFill="1" applyBorder="1" applyAlignment="1">
      <alignment horizontal="right" vertical="center" wrapText="1"/>
    </xf>
    <xf numFmtId="0" fontId="21" fillId="13" borderId="33" xfId="0" applyNumberFormat="1" applyFont="1" applyFill="1" applyBorder="1" applyAlignment="1">
      <alignment horizontal="center" vertical="center" wrapText="1"/>
    </xf>
    <xf numFmtId="1" fontId="20" fillId="13" borderId="1" xfId="0" applyNumberFormat="1" applyFont="1" applyFill="1" applyBorder="1" applyAlignment="1">
      <alignment horizontal="center" vertical="center"/>
    </xf>
    <xf numFmtId="0" fontId="21" fillId="13" borderId="8" xfId="0" applyFont="1" applyFill="1" applyBorder="1" applyAlignment="1">
      <alignment vertical="center"/>
    </xf>
    <xf numFmtId="0" fontId="28" fillId="13" borderId="1" xfId="0" applyFont="1" applyFill="1" applyBorder="1" applyAlignment="1">
      <alignment vertical="center"/>
    </xf>
    <xf numFmtId="0" fontId="21" fillId="13" borderId="20" xfId="0" applyNumberFormat="1" applyFont="1" applyFill="1" applyBorder="1" applyAlignment="1">
      <alignment horizontal="left" vertical="center" wrapText="1"/>
    </xf>
    <xf numFmtId="0" fontId="21" fillId="13" borderId="8" xfId="0" applyNumberFormat="1" applyFont="1" applyFill="1" applyBorder="1" applyAlignment="1">
      <alignment horizontal="center" vertical="center" wrapText="1"/>
    </xf>
    <xf numFmtId="1" fontId="17" fillId="2" borderId="0" xfId="0" applyNumberFormat="1" applyFont="1" applyFill="1" applyBorder="1" applyAlignment="1">
      <alignment horizontal="center" vertical="center"/>
    </xf>
    <xf numFmtId="0" fontId="21" fillId="13" borderId="24" xfId="0" applyNumberFormat="1" applyFont="1" applyFill="1" applyBorder="1" applyAlignment="1">
      <alignment horizontal="left" vertical="center" wrapText="1"/>
    </xf>
    <xf numFmtId="49" fontId="21" fillId="13" borderId="9" xfId="0" applyNumberFormat="1" applyFont="1" applyFill="1" applyBorder="1" applyAlignment="1">
      <alignment vertical="center"/>
    </xf>
    <xf numFmtId="0" fontId="21" fillId="13" borderId="9" xfId="0" applyNumberFormat="1" applyFont="1" applyFill="1" applyBorder="1" applyAlignment="1">
      <alignment horizontal="center" vertical="center" wrapText="1"/>
    </xf>
    <xf numFmtId="0" fontId="21" fillId="14" borderId="8" xfId="0" applyFont="1" applyFill="1" applyBorder="1" applyAlignment="1">
      <alignment vertical="center"/>
    </xf>
    <xf numFmtId="0" fontId="21" fillId="2" borderId="0" xfId="0" applyFont="1" applyFill="1" applyBorder="1" applyAlignment="1">
      <alignment vertical="center"/>
    </xf>
    <xf numFmtId="0" fontId="21" fillId="15" borderId="8" xfId="0" applyFont="1" applyFill="1" applyBorder="1" applyAlignment="1">
      <alignment vertical="center"/>
    </xf>
    <xf numFmtId="0" fontId="21" fillId="0" borderId="20" xfId="0" applyNumberFormat="1" applyFont="1" applyFill="1" applyBorder="1" applyAlignment="1">
      <alignment horizontal="left" vertical="center" wrapText="1"/>
    </xf>
    <xf numFmtId="0" fontId="2" fillId="0" borderId="0" xfId="0" applyFont="1" applyBorder="1"/>
    <xf numFmtId="49" fontId="21" fillId="13" borderId="1" xfId="0" applyNumberFormat="1" applyFont="1" applyFill="1" applyBorder="1" applyAlignment="1">
      <alignment horizontal="left" vertical="center" wrapText="1"/>
    </xf>
    <xf numFmtId="2" fontId="29" fillId="2" borderId="0" xfId="0" applyNumberFormat="1" applyFont="1" applyFill="1" applyAlignment="1">
      <alignment vertical="center"/>
    </xf>
    <xf numFmtId="0" fontId="15" fillId="2" borderId="0" xfId="0" applyFont="1" applyFill="1" applyBorder="1" applyAlignment="1">
      <alignment horizontal="left" vertical="center"/>
    </xf>
    <xf numFmtId="0" fontId="28" fillId="0" borderId="9" xfId="0" applyFont="1" applyBorder="1" applyAlignment="1">
      <alignment vertical="center"/>
    </xf>
    <xf numFmtId="49" fontId="21" fillId="13" borderId="0" xfId="0" applyNumberFormat="1" applyFont="1" applyFill="1" applyBorder="1" applyAlignment="1">
      <alignment horizontal="center" vertical="center"/>
    </xf>
    <xf numFmtId="1" fontId="22" fillId="2" borderId="0" xfId="0" applyNumberFormat="1" applyFont="1" applyFill="1" applyBorder="1" applyAlignment="1">
      <alignment horizontal="right"/>
    </xf>
    <xf numFmtId="0" fontId="22" fillId="0" borderId="0" xfId="0" applyFont="1" applyFill="1" applyBorder="1" applyAlignment="1">
      <alignment horizontal="center"/>
    </xf>
    <xf numFmtId="0" fontId="28" fillId="0" borderId="0" xfId="0" applyFont="1" applyFill="1" applyBorder="1" applyAlignment="1">
      <alignment horizontal="center"/>
    </xf>
    <xf numFmtId="0" fontId="22" fillId="4" borderId="0" xfId="0" applyFont="1" applyFill="1" applyAlignment="1">
      <alignment vertical="center"/>
    </xf>
    <xf numFmtId="0" fontId="22" fillId="4" borderId="0" xfId="0" applyFont="1" applyFill="1" applyAlignment="1">
      <alignment horizontal="left" vertical="center" wrapText="1"/>
    </xf>
    <xf numFmtId="0" fontId="21" fillId="16" borderId="8" xfId="0" applyFont="1" applyFill="1" applyBorder="1" applyAlignment="1">
      <alignment vertical="center"/>
    </xf>
    <xf numFmtId="0" fontId="21" fillId="18" borderId="8" xfId="0" applyFont="1" applyFill="1" applyBorder="1" applyAlignment="1">
      <alignment vertical="center"/>
    </xf>
    <xf numFmtId="0" fontId="43" fillId="13" borderId="8" xfId="0" applyFont="1" applyFill="1" applyBorder="1" applyAlignment="1">
      <alignment vertical="center"/>
    </xf>
    <xf numFmtId="0" fontId="43" fillId="2" borderId="1" xfId="0" applyNumberFormat="1" applyFont="1" applyFill="1" applyBorder="1" applyAlignment="1">
      <alignment horizontal="center" vertical="center" wrapText="1"/>
    </xf>
    <xf numFmtId="0" fontId="20" fillId="13" borderId="13" xfId="0" applyFont="1" applyFill="1" applyBorder="1" applyAlignment="1">
      <alignment horizontal="left" vertical="center"/>
    </xf>
    <xf numFmtId="2" fontId="20" fillId="13" borderId="1" xfId="0" applyNumberFormat="1" applyFont="1" applyFill="1" applyBorder="1" applyAlignment="1">
      <alignment horizontal="center" vertical="center"/>
    </xf>
    <xf numFmtId="0" fontId="43" fillId="14" borderId="8" xfId="0" applyFont="1" applyFill="1" applyBorder="1" applyAlignment="1">
      <alignment vertical="center"/>
    </xf>
    <xf numFmtId="2" fontId="21" fillId="2" borderId="8" xfId="0" applyNumberFormat="1" applyFont="1" applyFill="1" applyBorder="1" applyAlignment="1">
      <alignment horizontal="left" vertical="center"/>
    </xf>
    <xf numFmtId="0" fontId="2" fillId="0" borderId="0" xfId="0" applyFont="1" applyAlignment="1">
      <alignment horizontal="left"/>
    </xf>
    <xf numFmtId="0" fontId="28" fillId="2" borderId="0" xfId="0" applyFont="1" applyFill="1" applyAlignment="1">
      <alignment horizontal="left"/>
    </xf>
    <xf numFmtId="0" fontId="15" fillId="2" borderId="0" xfId="0" applyFont="1" applyFill="1" applyBorder="1" applyAlignment="1">
      <alignment horizontal="left"/>
    </xf>
    <xf numFmtId="0" fontId="0" fillId="0" borderId="0" xfId="0" applyAlignment="1">
      <alignment horizontal="left"/>
    </xf>
    <xf numFmtId="0" fontId="0" fillId="0" borderId="0" xfId="0" applyAlignment="1">
      <alignment horizontal="left" wrapText="1"/>
    </xf>
    <xf numFmtId="0" fontId="28" fillId="0" borderId="1" xfId="0" applyFont="1" applyBorder="1" applyAlignment="1">
      <alignment horizontal="left" vertical="center" wrapText="1"/>
    </xf>
    <xf numFmtId="2" fontId="22" fillId="2" borderId="0" xfId="0" applyNumberFormat="1" applyFont="1" applyFill="1" applyAlignment="1">
      <alignment horizontal="left" vertical="center"/>
    </xf>
    <xf numFmtId="0" fontId="22" fillId="4" borderId="0" xfId="0" applyFont="1" applyFill="1" applyAlignment="1">
      <alignment horizontal="left" vertical="center"/>
    </xf>
    <xf numFmtId="2" fontId="28" fillId="0" borderId="0" xfId="0" applyNumberFormat="1" applyFont="1" applyAlignment="1">
      <alignment horizontal="left"/>
    </xf>
    <xf numFmtId="2" fontId="22" fillId="0" borderId="0" xfId="0" applyNumberFormat="1" applyFont="1" applyAlignment="1">
      <alignment horizontal="left"/>
    </xf>
    <xf numFmtId="0" fontId="28" fillId="0" borderId="1" xfId="0" applyFont="1" applyBorder="1" applyAlignment="1">
      <alignment horizontal="left" vertical="center"/>
    </xf>
    <xf numFmtId="2" fontId="15" fillId="0" borderId="0" xfId="0" applyNumberFormat="1" applyFont="1" applyAlignment="1">
      <alignment horizontal="left"/>
    </xf>
    <xf numFmtId="2" fontId="14" fillId="0" borderId="0" xfId="0" applyNumberFormat="1" applyFont="1" applyAlignment="1">
      <alignment horizontal="left"/>
    </xf>
    <xf numFmtId="0" fontId="17" fillId="2" borderId="9" xfId="0" applyFont="1" applyFill="1" applyBorder="1" applyAlignment="1">
      <alignment horizontal="left" vertical="center"/>
    </xf>
    <xf numFmtId="0" fontId="22" fillId="4" borderId="0" xfId="0" applyFont="1" applyFill="1" applyAlignment="1">
      <alignment horizontal="center" vertical="center"/>
    </xf>
    <xf numFmtId="2" fontId="15" fillId="0" borderId="0" xfId="0" applyNumberFormat="1" applyFont="1" applyAlignment="1">
      <alignment horizontal="center"/>
    </xf>
    <xf numFmtId="49" fontId="22" fillId="2" borderId="0" xfId="0" applyNumberFormat="1" applyFont="1" applyFill="1" applyBorder="1" applyAlignment="1">
      <alignment vertical="center" wrapText="1"/>
    </xf>
    <xf numFmtId="0" fontId="22" fillId="13" borderId="0" xfId="0" applyFont="1" applyFill="1" applyAlignment="1">
      <alignment vertical="center"/>
    </xf>
    <xf numFmtId="2" fontId="14" fillId="0" borderId="0" xfId="0" applyNumberFormat="1" applyFont="1" applyBorder="1" applyAlignment="1">
      <alignment horizontal="center"/>
    </xf>
    <xf numFmtId="2" fontId="14" fillId="0" borderId="0" xfId="0" applyNumberFormat="1" applyFont="1" applyBorder="1" applyAlignment="1"/>
    <xf numFmtId="0" fontId="17" fillId="2" borderId="11" xfId="0" applyFont="1" applyFill="1" applyBorder="1" applyAlignment="1">
      <alignment horizontal="left" vertical="center"/>
    </xf>
    <xf numFmtId="0" fontId="28" fillId="2" borderId="16" xfId="0" applyNumberFormat="1" applyFont="1" applyFill="1" applyBorder="1" applyAlignment="1">
      <alignment horizontal="left" vertical="center" wrapText="1"/>
    </xf>
    <xf numFmtId="0" fontId="17" fillId="2" borderId="6" xfId="0" applyNumberFormat="1" applyFont="1" applyFill="1" applyBorder="1" applyAlignment="1">
      <alignment horizontal="center" vertical="center" wrapText="1"/>
    </xf>
    <xf numFmtId="0" fontId="0" fillId="0" borderId="0" xfId="0" applyAlignment="1">
      <alignment wrapText="1"/>
    </xf>
    <xf numFmtId="49" fontId="25" fillId="2" borderId="9" xfId="0" applyNumberFormat="1" applyFont="1" applyFill="1" applyBorder="1" applyAlignment="1">
      <alignment vertical="center" wrapText="1"/>
    </xf>
    <xf numFmtId="0" fontId="21" fillId="20" borderId="1" xfId="0" applyNumberFormat="1" applyFont="1" applyFill="1" applyBorder="1" applyAlignment="1">
      <alignment horizontal="center" vertical="center" wrapText="1"/>
    </xf>
    <xf numFmtId="0" fontId="21" fillId="20" borderId="1" xfId="0" applyNumberFormat="1" applyFont="1" applyFill="1" applyBorder="1" applyAlignment="1">
      <alignment horizontal="left" vertical="center" wrapText="1"/>
    </xf>
    <xf numFmtId="0" fontId="21" fillId="20" borderId="13" xfId="0" applyNumberFormat="1" applyFont="1" applyFill="1" applyBorder="1" applyAlignment="1">
      <alignment horizontal="center" vertical="center" wrapText="1"/>
    </xf>
    <xf numFmtId="0" fontId="21" fillId="20" borderId="24" xfId="0" applyNumberFormat="1" applyFont="1" applyFill="1" applyBorder="1" applyAlignment="1">
      <alignment horizontal="left" vertical="center" wrapText="1"/>
    </xf>
    <xf numFmtId="2" fontId="21" fillId="20" borderId="31" xfId="0" applyNumberFormat="1" applyFont="1" applyFill="1" applyBorder="1" applyAlignment="1">
      <alignment horizontal="center" vertical="center"/>
    </xf>
    <xf numFmtId="2" fontId="21" fillId="20" borderId="32" xfId="0" applyNumberFormat="1" applyFont="1" applyFill="1" applyBorder="1" applyAlignment="1">
      <alignment vertical="center"/>
    </xf>
    <xf numFmtId="1" fontId="21" fillId="20" borderId="1" xfId="0" applyNumberFormat="1" applyFont="1" applyFill="1" applyBorder="1" applyAlignment="1">
      <alignment horizontal="center" vertical="center"/>
    </xf>
    <xf numFmtId="0" fontId="21" fillId="20" borderId="34" xfId="0" applyNumberFormat="1" applyFont="1" applyFill="1" applyBorder="1" applyAlignment="1">
      <alignment horizontal="right" vertical="center"/>
    </xf>
    <xf numFmtId="0" fontId="21" fillId="20" borderId="20" xfId="0" applyNumberFormat="1" applyFont="1" applyFill="1" applyBorder="1" applyAlignment="1">
      <alignment horizontal="left" vertical="center"/>
    </xf>
    <xf numFmtId="2" fontId="21" fillId="20" borderId="1" xfId="0" applyNumberFormat="1" applyFont="1" applyFill="1" applyBorder="1" applyAlignment="1">
      <alignment horizontal="center" vertical="center"/>
    </xf>
    <xf numFmtId="2" fontId="21" fillId="20" borderId="18" xfId="0" applyNumberFormat="1" applyFont="1" applyFill="1" applyBorder="1" applyAlignment="1">
      <alignment horizontal="center" vertical="center"/>
    </xf>
    <xf numFmtId="1" fontId="21" fillId="20" borderId="33" xfId="0" applyNumberFormat="1" applyFont="1" applyFill="1" applyBorder="1" applyAlignment="1">
      <alignment horizontal="left" vertical="center"/>
    </xf>
    <xf numFmtId="2" fontId="21" fillId="20" borderId="1" xfId="0" applyNumberFormat="1" applyFont="1" applyFill="1" applyBorder="1" applyAlignment="1">
      <alignment horizontal="left" vertical="center"/>
    </xf>
    <xf numFmtId="49" fontId="21" fillId="20" borderId="21" xfId="0" applyNumberFormat="1" applyFont="1" applyFill="1" applyBorder="1" applyAlignment="1">
      <alignment horizontal="right" vertical="center"/>
    </xf>
    <xf numFmtId="49" fontId="21" fillId="20" borderId="18" xfId="0" applyNumberFormat="1" applyFont="1" applyFill="1" applyBorder="1" applyAlignment="1">
      <alignment horizontal="center" vertical="center"/>
    </xf>
    <xf numFmtId="0" fontId="21" fillId="20" borderId="20" xfId="0" applyNumberFormat="1" applyFont="1" applyFill="1" applyBorder="1" applyAlignment="1">
      <alignment horizontal="left" vertical="center" wrapText="1"/>
    </xf>
    <xf numFmtId="0" fontId="35" fillId="20" borderId="1" xfId="0" applyNumberFormat="1" applyFont="1" applyFill="1" applyBorder="1" applyAlignment="1">
      <alignment horizontal="center" vertical="center"/>
    </xf>
    <xf numFmtId="1" fontId="21" fillId="20" borderId="1" xfId="0" applyNumberFormat="1" applyFont="1" applyFill="1" applyBorder="1" applyAlignment="1">
      <alignment horizontal="center" vertical="center" wrapText="1"/>
    </xf>
    <xf numFmtId="0" fontId="20" fillId="20" borderId="14" xfId="0" applyFont="1" applyFill="1" applyBorder="1" applyAlignment="1">
      <alignment horizontal="center" vertical="center"/>
    </xf>
    <xf numFmtId="0" fontId="21" fillId="20" borderId="13" xfId="0" applyFont="1" applyFill="1" applyBorder="1" applyAlignment="1">
      <alignment horizontal="left" vertical="center"/>
    </xf>
    <xf numFmtId="0" fontId="21" fillId="20" borderId="1" xfId="0" applyFont="1" applyFill="1" applyBorder="1" applyAlignment="1">
      <alignment horizontal="center" vertical="center"/>
    </xf>
    <xf numFmtId="1" fontId="21" fillId="20" borderId="8" xfId="0" applyNumberFormat="1" applyFont="1" applyFill="1" applyBorder="1" applyAlignment="1">
      <alignment horizontal="right" vertical="center" wrapText="1"/>
    </xf>
    <xf numFmtId="1" fontId="21" fillId="20" borderId="7" xfId="0" applyNumberFormat="1" applyFont="1" applyFill="1" applyBorder="1" applyAlignment="1">
      <alignment horizontal="right" vertical="center" wrapText="1"/>
    </xf>
    <xf numFmtId="49" fontId="25" fillId="20" borderId="9" xfId="0" applyNumberFormat="1" applyFont="1" applyFill="1" applyBorder="1" applyAlignment="1">
      <alignment vertical="center"/>
    </xf>
    <xf numFmtId="0" fontId="13" fillId="20" borderId="13" xfId="0" applyFont="1" applyFill="1" applyBorder="1" applyAlignment="1">
      <alignment horizontal="left" vertical="center"/>
    </xf>
    <xf numFmtId="0" fontId="20" fillId="20" borderId="1" xfId="0" applyNumberFormat="1" applyFont="1" applyFill="1" applyBorder="1" applyAlignment="1">
      <alignment horizontal="center" vertical="center" wrapText="1"/>
    </xf>
    <xf numFmtId="1" fontId="21" fillId="20" borderId="7" xfId="0" applyNumberFormat="1" applyFont="1" applyFill="1" applyBorder="1" applyAlignment="1">
      <alignment horizontal="center" vertical="center"/>
    </xf>
    <xf numFmtId="0" fontId="21" fillId="20" borderId="1" xfId="0" applyFont="1" applyFill="1" applyBorder="1" applyAlignment="1">
      <alignment vertical="center"/>
    </xf>
    <xf numFmtId="0" fontId="21" fillId="20" borderId="1" xfId="0" applyNumberFormat="1" applyFont="1" applyFill="1" applyBorder="1" applyAlignment="1">
      <alignment horizontal="center" vertical="center"/>
    </xf>
    <xf numFmtId="0" fontId="21" fillId="20" borderId="14" xfId="0" applyNumberFormat="1" applyFont="1" applyFill="1" applyBorder="1" applyAlignment="1">
      <alignment horizontal="center" vertical="center"/>
    </xf>
    <xf numFmtId="0" fontId="21" fillId="20" borderId="15" xfId="0" applyNumberFormat="1" applyFont="1" applyFill="1" applyBorder="1" applyAlignment="1">
      <alignment horizontal="center" vertical="center" wrapText="1"/>
    </xf>
    <xf numFmtId="0" fontId="21" fillId="20" borderId="13" xfId="0" applyNumberFormat="1" applyFont="1" applyFill="1" applyBorder="1" applyAlignment="1">
      <alignment horizontal="center" vertical="center"/>
    </xf>
    <xf numFmtId="1" fontId="20" fillId="20" borderId="7" xfId="0" applyNumberFormat="1" applyFont="1" applyFill="1" applyBorder="1" applyAlignment="1">
      <alignment horizontal="right" vertical="center"/>
    </xf>
    <xf numFmtId="2" fontId="13" fillId="20" borderId="1" xfId="0" applyNumberFormat="1" applyFont="1" applyFill="1" applyBorder="1" applyAlignment="1">
      <alignment horizontal="center" vertical="center"/>
    </xf>
    <xf numFmtId="0" fontId="21" fillId="20" borderId="14" xfId="0" applyFont="1" applyFill="1" applyBorder="1" applyAlignment="1">
      <alignment vertical="center"/>
    </xf>
    <xf numFmtId="0" fontId="21" fillId="20" borderId="13" xfId="0" applyFont="1" applyFill="1" applyBorder="1" applyAlignment="1">
      <alignment vertical="center"/>
    </xf>
    <xf numFmtId="1" fontId="20" fillId="20" borderId="8" xfId="0" applyNumberFormat="1" applyFont="1" applyFill="1" applyBorder="1" applyAlignment="1">
      <alignment horizontal="center" vertical="center"/>
    </xf>
    <xf numFmtId="1" fontId="20" fillId="20" borderId="24" xfId="0" applyNumberFormat="1" applyFont="1" applyFill="1" applyBorder="1" applyAlignment="1">
      <alignment horizontal="center" vertical="center" wrapText="1"/>
    </xf>
    <xf numFmtId="0" fontId="21" fillId="20" borderId="8" xfId="0" applyNumberFormat="1" applyFont="1" applyFill="1" applyBorder="1" applyAlignment="1">
      <alignment horizontal="center" vertical="center" wrapText="1"/>
    </xf>
    <xf numFmtId="0" fontId="21" fillId="20" borderId="9" xfId="0" applyNumberFormat="1" applyFont="1" applyFill="1" applyBorder="1" applyAlignment="1">
      <alignment horizontal="center" vertical="center"/>
    </xf>
    <xf numFmtId="0" fontId="21" fillId="20" borderId="1" xfId="0" applyNumberFormat="1" applyFont="1" applyFill="1" applyBorder="1" applyAlignment="1">
      <alignment horizontal="left" vertical="center"/>
    </xf>
    <xf numFmtId="0" fontId="21" fillId="20" borderId="1" xfId="0" applyNumberFormat="1" applyFont="1" applyFill="1" applyBorder="1" applyAlignment="1">
      <alignment vertical="center"/>
    </xf>
    <xf numFmtId="0" fontId="21" fillId="20" borderId="20" xfId="0" applyNumberFormat="1" applyFont="1" applyFill="1" applyBorder="1" applyAlignment="1">
      <alignment horizontal="right" vertical="center" wrapText="1"/>
    </xf>
    <xf numFmtId="0" fontId="21" fillId="20" borderId="33" xfId="0" applyNumberFormat="1" applyFont="1" applyFill="1" applyBorder="1" applyAlignment="1">
      <alignment horizontal="center" vertical="center" wrapText="1"/>
    </xf>
    <xf numFmtId="1" fontId="20" fillId="20" borderId="1" xfId="0" applyNumberFormat="1" applyFont="1" applyFill="1" applyBorder="1" applyAlignment="1">
      <alignment horizontal="center" vertical="center"/>
    </xf>
    <xf numFmtId="0" fontId="21" fillId="20" borderId="9" xfId="0" applyNumberFormat="1" applyFont="1" applyFill="1" applyBorder="1" applyAlignment="1">
      <alignment horizontal="left" vertical="center" wrapText="1"/>
    </xf>
    <xf numFmtId="0" fontId="21" fillId="20" borderId="8" xfId="0" applyFont="1" applyFill="1" applyBorder="1" applyAlignment="1">
      <alignment vertical="center"/>
    </xf>
    <xf numFmtId="0" fontId="21" fillId="20" borderId="1" xfId="0" applyFont="1" applyFill="1" applyBorder="1" applyAlignment="1">
      <alignment horizontal="left" vertical="center" wrapText="1"/>
    </xf>
    <xf numFmtId="0" fontId="21" fillId="20" borderId="24" xfId="0" applyNumberFormat="1" applyFont="1" applyFill="1" applyBorder="1" applyAlignment="1">
      <alignment horizontal="left" vertical="center"/>
    </xf>
    <xf numFmtId="0" fontId="21" fillId="21" borderId="8" xfId="0" applyFont="1" applyFill="1" applyBorder="1" applyAlignment="1">
      <alignment vertical="center"/>
    </xf>
    <xf numFmtId="0" fontId="21" fillId="19" borderId="8" xfId="0" applyFont="1" applyFill="1" applyBorder="1" applyAlignment="1">
      <alignment vertical="center"/>
    </xf>
    <xf numFmtId="0" fontId="21" fillId="20" borderId="7" xfId="0" applyNumberFormat="1" applyFont="1" applyFill="1" applyBorder="1" applyAlignment="1">
      <alignment horizontal="right" vertical="center"/>
    </xf>
    <xf numFmtId="1" fontId="21" fillId="2" borderId="8" xfId="0" applyNumberFormat="1" applyFont="1" applyFill="1" applyBorder="1" applyAlignment="1">
      <alignment horizontal="right" vertical="center"/>
    </xf>
    <xf numFmtId="0" fontId="23" fillId="2" borderId="1" xfId="0" applyNumberFormat="1" applyFont="1" applyFill="1" applyBorder="1" applyAlignment="1">
      <alignment horizontal="left" vertical="center" wrapText="1"/>
    </xf>
    <xf numFmtId="0" fontId="23" fillId="0" borderId="1" xfId="0" applyFont="1" applyBorder="1" applyAlignment="1">
      <alignment vertical="center" wrapText="1"/>
    </xf>
    <xf numFmtId="1" fontId="45" fillId="13" borderId="2" xfId="0" applyNumberFormat="1" applyFont="1" applyFill="1" applyBorder="1" applyAlignment="1">
      <alignment horizontal="center" vertical="center"/>
    </xf>
    <xf numFmtId="0" fontId="45" fillId="13" borderId="2" xfId="0" applyFont="1" applyFill="1" applyBorder="1" applyAlignment="1">
      <alignment horizontal="center" vertical="center"/>
    </xf>
    <xf numFmtId="0" fontId="45" fillId="13" borderId="2" xfId="0" applyFont="1" applyFill="1" applyBorder="1" applyAlignment="1">
      <alignment vertical="center" wrapText="1"/>
    </xf>
    <xf numFmtId="0" fontId="45" fillId="13" borderId="1" xfId="0" applyNumberFormat="1" applyFont="1" applyFill="1" applyBorder="1" applyAlignment="1">
      <alignment horizontal="center" vertical="center" wrapText="1"/>
    </xf>
    <xf numFmtId="0" fontId="21" fillId="0" borderId="1" xfId="0" applyFont="1" applyBorder="1"/>
    <xf numFmtId="0" fontId="21" fillId="0" borderId="1" xfId="0" applyFont="1" applyBorder="1" applyAlignment="1">
      <alignment vertical="center"/>
    </xf>
    <xf numFmtId="0" fontId="21" fillId="0" borderId="18" xfId="0" applyFont="1" applyBorder="1"/>
    <xf numFmtId="0" fontId="21" fillId="0" borderId="21" xfId="0" applyFont="1" applyBorder="1"/>
    <xf numFmtId="0" fontId="21" fillId="0" borderId="14" xfId="0" applyFont="1" applyBorder="1"/>
    <xf numFmtId="0" fontId="21" fillId="0" borderId="13" xfId="0" applyFont="1" applyBorder="1"/>
    <xf numFmtId="0" fontId="21" fillId="0" borderId="9" xfId="0" applyFont="1" applyBorder="1"/>
    <xf numFmtId="0" fontId="21" fillId="0" borderId="0" xfId="0" applyFont="1" applyBorder="1" applyAlignment="1">
      <alignment vertical="center"/>
    </xf>
    <xf numFmtId="0" fontId="21" fillId="0" borderId="15" xfId="0" applyFont="1" applyBorder="1"/>
    <xf numFmtId="0" fontId="21" fillId="0" borderId="24" xfId="0" applyFont="1" applyBorder="1"/>
    <xf numFmtId="0" fontId="21" fillId="0" borderId="0" xfId="0" applyFont="1" applyAlignment="1">
      <alignment vertical="center"/>
    </xf>
    <xf numFmtId="0" fontId="21" fillId="13" borderId="0" xfId="0" applyFont="1" applyFill="1" applyBorder="1" applyAlignment="1">
      <alignment vertical="center"/>
    </xf>
    <xf numFmtId="0" fontId="21" fillId="20" borderId="0" xfId="0" applyFont="1" applyFill="1" applyAlignment="1">
      <alignment vertical="center"/>
    </xf>
    <xf numFmtId="0" fontId="21" fillId="13" borderId="0" xfId="0" applyFont="1" applyFill="1" applyAlignment="1">
      <alignment vertical="center"/>
    </xf>
    <xf numFmtId="0" fontId="21" fillId="13" borderId="8" xfId="0" applyFont="1" applyFill="1" applyBorder="1"/>
    <xf numFmtId="0" fontId="21" fillId="0" borderId="0" xfId="0" applyFont="1" applyBorder="1"/>
    <xf numFmtId="0" fontId="21" fillId="13" borderId="24" xfId="0" applyFont="1" applyFill="1" applyBorder="1"/>
    <xf numFmtId="0" fontId="21" fillId="20" borderId="0" xfId="0" applyFont="1" applyFill="1" applyBorder="1" applyAlignment="1">
      <alignment vertical="center"/>
    </xf>
    <xf numFmtId="0" fontId="21" fillId="13" borderId="25" xfId="0" applyNumberFormat="1" applyFont="1" applyFill="1" applyBorder="1" applyAlignment="1">
      <alignment vertical="center" wrapText="1"/>
    </xf>
    <xf numFmtId="0" fontId="21" fillId="23" borderId="1" xfId="0" applyNumberFormat="1" applyFont="1" applyFill="1" applyBorder="1" applyAlignment="1">
      <alignment horizontal="left" vertical="center" wrapText="1"/>
    </xf>
    <xf numFmtId="0" fontId="47" fillId="0" borderId="1" xfId="0" applyFont="1" applyFill="1" applyBorder="1" applyAlignment="1">
      <alignment vertical="center"/>
    </xf>
    <xf numFmtId="0" fontId="45" fillId="20" borderId="1" xfId="0" applyNumberFormat="1" applyFont="1" applyFill="1" applyBorder="1" applyAlignment="1">
      <alignment horizontal="center" vertical="center" wrapText="1"/>
    </xf>
    <xf numFmtId="0" fontId="21" fillId="20" borderId="25" xfId="0" applyNumberFormat="1" applyFont="1" applyFill="1" applyBorder="1" applyAlignment="1">
      <alignment vertical="center" wrapText="1"/>
    </xf>
    <xf numFmtId="0" fontId="45" fillId="20" borderId="2" xfId="0" applyFont="1" applyFill="1" applyBorder="1" applyAlignment="1">
      <alignment vertical="center" wrapText="1"/>
    </xf>
    <xf numFmtId="0" fontId="47" fillId="20" borderId="1" xfId="0" applyFont="1" applyFill="1" applyBorder="1" applyAlignment="1">
      <alignment vertical="center"/>
    </xf>
    <xf numFmtId="1" fontId="45" fillId="20" borderId="2" xfId="0" applyNumberFormat="1" applyFont="1" applyFill="1" applyBorder="1" applyAlignment="1">
      <alignment horizontal="center" vertical="center"/>
    </xf>
    <xf numFmtId="0" fontId="45" fillId="20" borderId="2" xfId="0" applyFont="1" applyFill="1" applyBorder="1" applyAlignment="1">
      <alignment horizontal="center" vertical="center"/>
    </xf>
    <xf numFmtId="0" fontId="26" fillId="20" borderId="1" xfId="0" applyFont="1" applyFill="1" applyBorder="1" applyAlignment="1">
      <alignment vertical="center"/>
    </xf>
    <xf numFmtId="0" fontId="47" fillId="20" borderId="1" xfId="0" applyNumberFormat="1" applyFont="1" applyFill="1" applyBorder="1" applyAlignment="1">
      <alignment horizontal="left" vertical="center" wrapText="1"/>
    </xf>
    <xf numFmtId="0" fontId="22" fillId="2" borderId="0" xfId="0" applyFont="1" applyFill="1" applyBorder="1" applyAlignment="1">
      <alignment horizontal="right" textRotation="90"/>
    </xf>
    <xf numFmtId="0" fontId="17" fillId="0" borderId="0" xfId="0" applyFont="1" applyBorder="1" applyAlignment="1">
      <alignment horizontal="right" vertical="center" textRotation="90"/>
    </xf>
    <xf numFmtId="0" fontId="23" fillId="2" borderId="0" xfId="0" applyFont="1" applyFill="1" applyAlignment="1">
      <alignment horizontal="center" vertical="center" wrapText="1"/>
    </xf>
    <xf numFmtId="0" fontId="15" fillId="2" borderId="0" xfId="0" applyNumberFormat="1" applyFont="1" applyFill="1" applyAlignment="1">
      <alignment horizontal="left" wrapText="1"/>
    </xf>
    <xf numFmtId="0" fontId="15" fillId="2" borderId="0" xfId="0" applyNumberFormat="1" applyFont="1" applyFill="1" applyAlignment="1">
      <alignment horizontal="center" textRotation="90" wrapText="1"/>
    </xf>
    <xf numFmtId="49" fontId="14" fillId="2" borderId="0" xfId="0" applyNumberFormat="1" applyFont="1" applyFill="1" applyBorder="1" applyAlignment="1">
      <alignment horizontal="left" wrapText="1"/>
    </xf>
    <xf numFmtId="49" fontId="14" fillId="2" borderId="0" xfId="0" applyNumberFormat="1" applyFont="1" applyFill="1" applyBorder="1" applyAlignment="1">
      <alignment horizontal="center" wrapText="1"/>
    </xf>
    <xf numFmtId="49" fontId="14" fillId="2" borderId="0" xfId="0" applyNumberFormat="1" applyFont="1" applyFill="1" applyBorder="1" applyAlignment="1">
      <alignment wrapText="1"/>
    </xf>
    <xf numFmtId="2" fontId="15" fillId="2" borderId="0" xfId="0" applyNumberFormat="1" applyFont="1" applyFill="1" applyAlignment="1"/>
    <xf numFmtId="2" fontId="15" fillId="2" borderId="0" xfId="0" applyNumberFormat="1" applyFont="1" applyFill="1" applyAlignment="1">
      <alignment horizontal="left"/>
    </xf>
    <xf numFmtId="2" fontId="15" fillId="2" borderId="0" xfId="0" applyNumberFormat="1" applyFont="1" applyFill="1" applyAlignment="1">
      <alignment horizontal="center"/>
    </xf>
    <xf numFmtId="2" fontId="49" fillId="0" borderId="0" xfId="0" applyNumberFormat="1" applyFont="1" applyAlignment="1"/>
    <xf numFmtId="0" fontId="49" fillId="0" borderId="0" xfId="0" applyNumberFormat="1" applyFont="1" applyBorder="1" applyAlignment="1">
      <alignment horizontal="center" wrapText="1"/>
    </xf>
    <xf numFmtId="0" fontId="49" fillId="0" borderId="0" xfId="0" applyNumberFormat="1" applyFont="1" applyAlignment="1">
      <alignment wrapText="1"/>
    </xf>
    <xf numFmtId="0" fontId="49" fillId="0" borderId="0" xfId="0" applyNumberFormat="1" applyFont="1" applyAlignment="1">
      <alignment horizontal="left"/>
    </xf>
    <xf numFmtId="0" fontId="49" fillId="0" borderId="0" xfId="0" applyNumberFormat="1" applyFont="1" applyBorder="1" applyAlignment="1">
      <alignment wrapText="1"/>
    </xf>
    <xf numFmtId="0" fontId="49" fillId="0" borderId="0" xfId="0" applyNumberFormat="1" applyFont="1" applyBorder="1" applyAlignment="1">
      <alignment horizontal="left" wrapText="1"/>
    </xf>
    <xf numFmtId="0" fontId="50" fillId="0" borderId="0" xfId="0" applyNumberFormat="1" applyFont="1" applyBorder="1" applyAlignment="1">
      <alignment wrapText="1"/>
    </xf>
    <xf numFmtId="0" fontId="50" fillId="0" borderId="0" xfId="0" applyNumberFormat="1" applyFont="1" applyBorder="1" applyAlignment="1">
      <alignment horizontal="left" wrapText="1"/>
    </xf>
    <xf numFmtId="0" fontId="22" fillId="13" borderId="0" xfId="0" applyFont="1" applyFill="1" applyAlignment="1"/>
    <xf numFmtId="0" fontId="22" fillId="4" borderId="0" xfId="0" applyFont="1" applyFill="1" applyAlignment="1">
      <alignment horizontal="left" wrapText="1"/>
    </xf>
    <xf numFmtId="0" fontId="22" fillId="4" borderId="0" xfId="0" applyFont="1" applyFill="1" applyAlignment="1">
      <alignment horizontal="left"/>
    </xf>
    <xf numFmtId="0" fontId="22" fillId="4" borderId="0" xfId="0" applyFont="1" applyFill="1" applyAlignment="1"/>
    <xf numFmtId="0" fontId="22" fillId="4" borderId="0" xfId="0" applyFont="1" applyFill="1" applyAlignment="1">
      <alignment horizontal="center"/>
    </xf>
    <xf numFmtId="0" fontId="14" fillId="0" borderId="0" xfId="0" quotePrefix="1" applyNumberFormat="1" applyFont="1" applyAlignment="1">
      <alignment horizontal="center" wrapText="1"/>
    </xf>
    <xf numFmtId="0" fontId="5" fillId="0" borderId="0" xfId="0" applyFont="1" applyAlignment="1">
      <alignment wrapText="1"/>
    </xf>
    <xf numFmtId="0" fontId="7" fillId="0" borderId="0" xfId="0" applyFont="1" applyAlignment="1">
      <alignment vertical="center"/>
    </xf>
    <xf numFmtId="0" fontId="5" fillId="0" borderId="0" xfId="0" applyFont="1" applyAlignment="1">
      <alignment vertical="top"/>
    </xf>
    <xf numFmtId="0" fontId="5" fillId="0" borderId="17" xfId="0" applyFont="1" applyBorder="1" applyAlignment="1"/>
    <xf numFmtId="2" fontId="31" fillId="2" borderId="0" xfId="0" applyNumberFormat="1" applyFont="1" applyFill="1" applyAlignment="1"/>
    <xf numFmtId="0" fontId="22" fillId="2" borderId="0" xfId="0" applyFont="1" applyFill="1" applyBorder="1" applyAlignment="1">
      <alignment horizontal="right" wrapText="1"/>
    </xf>
    <xf numFmtId="1" fontId="22" fillId="0" borderId="0" xfId="0" applyNumberFormat="1" applyFont="1" applyFill="1" applyBorder="1" applyAlignment="1">
      <alignment horizontal="center" textRotation="90"/>
    </xf>
    <xf numFmtId="0" fontId="22" fillId="2" borderId="0" xfId="0" applyFont="1" applyFill="1" applyBorder="1" applyAlignment="1">
      <alignment horizontal="center" wrapText="1"/>
    </xf>
    <xf numFmtId="49" fontId="17" fillId="2" borderId="0" xfId="0" applyNumberFormat="1" applyFont="1" applyFill="1" applyBorder="1" applyAlignment="1">
      <alignment horizontal="left" vertical="center"/>
    </xf>
    <xf numFmtId="2" fontId="17" fillId="2" borderId="0" xfId="0" applyNumberFormat="1" applyFont="1" applyFill="1" applyAlignment="1">
      <alignment horizontal="right" vertical="center"/>
    </xf>
    <xf numFmtId="2" fontId="17" fillId="2" borderId="0" xfId="0" applyNumberFormat="1" applyFont="1" applyFill="1" applyAlignment="1">
      <alignment horizontal="left" vertical="center" wrapText="1"/>
    </xf>
    <xf numFmtId="1" fontId="17" fillId="0" borderId="0" xfId="0" applyNumberFormat="1" applyFont="1" applyAlignment="1">
      <alignment horizontal="right" vertical="center"/>
    </xf>
    <xf numFmtId="1" fontId="23" fillId="0" borderId="0" xfId="0" applyNumberFormat="1" applyFont="1" applyAlignment="1">
      <alignment horizontal="center" vertical="center" wrapText="1"/>
    </xf>
    <xf numFmtId="49" fontId="23" fillId="0" borderId="0" xfId="0" applyNumberFormat="1" applyFont="1" applyAlignment="1">
      <alignment vertical="center"/>
    </xf>
    <xf numFmtId="1" fontId="12" fillId="2" borderId="0" xfId="0" applyNumberFormat="1" applyFont="1" applyFill="1" applyAlignment="1">
      <alignment vertical="center"/>
    </xf>
    <xf numFmtId="2" fontId="17" fillId="2" borderId="22" xfId="0" applyNumberFormat="1" applyFont="1" applyFill="1" applyBorder="1" applyAlignment="1">
      <alignment vertical="center"/>
    </xf>
    <xf numFmtId="2" fontId="17" fillId="2" borderId="10" xfId="0" applyNumberFormat="1" applyFont="1" applyFill="1" applyBorder="1" applyAlignment="1">
      <alignment horizontal="right" vertical="center"/>
    </xf>
    <xf numFmtId="2" fontId="12" fillId="0" borderId="0" xfId="0" applyNumberFormat="1" applyFont="1" applyAlignment="1">
      <alignment horizontal="center" vertical="center"/>
    </xf>
    <xf numFmtId="2" fontId="17" fillId="0" borderId="19" xfId="0" applyNumberFormat="1" applyFont="1" applyBorder="1" applyAlignment="1">
      <alignment horizontal="right" vertical="center"/>
    </xf>
    <xf numFmtId="0" fontId="28" fillId="14" borderId="1" xfId="0" applyFont="1" applyFill="1" applyBorder="1" applyAlignment="1">
      <alignment vertical="center"/>
    </xf>
    <xf numFmtId="0" fontId="28" fillId="14" borderId="1" xfId="0" applyFont="1" applyFill="1" applyBorder="1" applyAlignment="1">
      <alignment horizontal="center" vertical="center"/>
    </xf>
    <xf numFmtId="2" fontId="21" fillId="0" borderId="7" xfId="0" applyNumberFormat="1" applyFont="1" applyFill="1" applyBorder="1" applyAlignment="1">
      <alignment horizontal="center" vertical="center"/>
    </xf>
    <xf numFmtId="2" fontId="21" fillId="13" borderId="7" xfId="0" applyNumberFormat="1" applyFont="1" applyFill="1" applyBorder="1" applyAlignment="1">
      <alignment horizontal="center" vertical="center"/>
    </xf>
    <xf numFmtId="2" fontId="21" fillId="2" borderId="7" xfId="0" applyNumberFormat="1" applyFont="1" applyFill="1" applyBorder="1" applyAlignment="1">
      <alignment horizontal="center" vertical="center"/>
    </xf>
    <xf numFmtId="2" fontId="21" fillId="2" borderId="7" xfId="0" applyNumberFormat="1" applyFont="1" applyFill="1" applyBorder="1" applyAlignment="1">
      <alignment horizontal="left" vertical="center"/>
    </xf>
    <xf numFmtId="2" fontId="21" fillId="20" borderId="7" xfId="0" applyNumberFormat="1" applyFont="1" applyFill="1" applyBorder="1" applyAlignment="1">
      <alignment horizontal="left" vertical="center"/>
    </xf>
    <xf numFmtId="2" fontId="21" fillId="13" borderId="7" xfId="0" applyNumberFormat="1" applyFont="1" applyFill="1" applyBorder="1" applyAlignment="1">
      <alignment horizontal="left" vertical="center"/>
    </xf>
    <xf numFmtId="49" fontId="21" fillId="0" borderId="34" xfId="0" applyNumberFormat="1" applyFont="1" applyFill="1" applyBorder="1" applyAlignment="1">
      <alignment horizontal="right" vertical="center" wrapText="1"/>
    </xf>
    <xf numFmtId="49" fontId="21" fillId="2" borderId="34" xfId="0" applyNumberFormat="1" applyFont="1" applyFill="1" applyBorder="1" applyAlignment="1">
      <alignment horizontal="right" vertical="center" wrapText="1"/>
    </xf>
    <xf numFmtId="49" fontId="21" fillId="20" borderId="34" xfId="0" applyNumberFormat="1" applyFont="1" applyFill="1" applyBorder="1" applyAlignment="1">
      <alignment horizontal="right" vertical="center" wrapText="1"/>
    </xf>
    <xf numFmtId="49" fontId="21" fillId="13" borderId="34" xfId="0" applyNumberFormat="1" applyFont="1" applyFill="1" applyBorder="1" applyAlignment="1">
      <alignment horizontal="right" vertical="center" wrapText="1"/>
    </xf>
    <xf numFmtId="49" fontId="21" fillId="2" borderId="34" xfId="0" applyNumberFormat="1" applyFont="1" applyFill="1" applyBorder="1" applyAlignment="1">
      <alignment horizontal="center" vertical="center" wrapText="1"/>
    </xf>
    <xf numFmtId="49" fontId="21" fillId="20" borderId="34" xfId="0" applyNumberFormat="1" applyFont="1" applyFill="1" applyBorder="1" applyAlignment="1">
      <alignment horizontal="center" vertical="center" wrapText="1"/>
    </xf>
    <xf numFmtId="49" fontId="21" fillId="13" borderId="34" xfId="0" applyNumberFormat="1" applyFont="1" applyFill="1" applyBorder="1" applyAlignment="1">
      <alignment horizontal="center" vertical="center" wrapText="1"/>
    </xf>
    <xf numFmtId="49" fontId="21" fillId="0" borderId="34" xfId="0" applyNumberFormat="1" applyFont="1" applyFill="1" applyBorder="1" applyAlignment="1">
      <alignment horizontal="center" vertical="center" wrapText="1"/>
    </xf>
    <xf numFmtId="0" fontId="21" fillId="0" borderId="21" xfId="0" applyFont="1" applyFill="1" applyBorder="1" applyAlignment="1">
      <alignment vertical="center"/>
    </xf>
    <xf numFmtId="1" fontId="21" fillId="2" borderId="8" xfId="0" applyNumberFormat="1" applyFont="1" applyFill="1" applyBorder="1" applyAlignment="1">
      <alignment horizontal="left" vertical="center" wrapText="1"/>
    </xf>
    <xf numFmtId="1" fontId="21" fillId="20" borderId="8" xfId="0" applyNumberFormat="1" applyFont="1" applyFill="1" applyBorder="1" applyAlignment="1">
      <alignment horizontal="left" vertical="center" wrapText="1"/>
    </xf>
    <xf numFmtId="1" fontId="21" fillId="13" borderId="8" xfId="0" applyNumberFormat="1" applyFont="1" applyFill="1" applyBorder="1" applyAlignment="1">
      <alignment horizontal="left" vertical="center" wrapText="1"/>
    </xf>
    <xf numFmtId="0" fontId="21" fillId="0" borderId="9" xfId="0" applyFont="1" applyFill="1" applyBorder="1" applyAlignment="1">
      <alignment horizontal="left" vertical="center"/>
    </xf>
    <xf numFmtId="0" fontId="21" fillId="2" borderId="9" xfId="0" applyFont="1" applyFill="1" applyBorder="1" applyAlignment="1">
      <alignment horizontal="left" vertical="center"/>
    </xf>
    <xf numFmtId="0" fontId="21" fillId="20" borderId="9" xfId="0" applyFont="1" applyFill="1" applyBorder="1" applyAlignment="1">
      <alignment horizontal="left" vertical="center"/>
    </xf>
    <xf numFmtId="0" fontId="21" fillId="13" borderId="9" xfId="0" applyFont="1" applyFill="1" applyBorder="1" applyAlignment="1">
      <alignment horizontal="left" vertical="center"/>
    </xf>
    <xf numFmtId="1" fontId="21" fillId="2" borderId="9" xfId="0" applyNumberFormat="1" applyFont="1" applyFill="1" applyBorder="1" applyAlignment="1">
      <alignment horizontal="left" vertical="center" wrapText="1"/>
    </xf>
    <xf numFmtId="0" fontId="15" fillId="2" borderId="0" xfId="0" applyFont="1" applyFill="1" applyBorder="1" applyAlignment="1">
      <alignment horizontal="center"/>
    </xf>
    <xf numFmtId="0" fontId="28" fillId="0" borderId="1" xfId="0" applyFont="1" applyBorder="1" applyAlignment="1">
      <alignment horizontal="right" vertical="center"/>
    </xf>
    <xf numFmtId="0" fontId="28" fillId="2" borderId="0" xfId="0" applyFont="1" applyFill="1" applyAlignment="1">
      <alignment horizontal="center"/>
    </xf>
    <xf numFmtId="0" fontId="0" fillId="0" borderId="0" xfId="0"/>
    <xf numFmtId="0" fontId="0" fillId="0" borderId="0" xfId="0" applyBorder="1"/>
    <xf numFmtId="0" fontId="0" fillId="0" borderId="0" xfId="0" applyAlignment="1">
      <alignment horizontal="center"/>
    </xf>
    <xf numFmtId="0" fontId="15" fillId="0" borderId="0" xfId="0" applyFont="1" applyAlignment="1">
      <alignment horizontal="center" vertical="center"/>
    </xf>
    <xf numFmtId="0" fontId="15" fillId="2" borderId="0" xfId="0" applyNumberFormat="1" applyFont="1" applyFill="1" applyBorder="1" applyAlignment="1"/>
    <xf numFmtId="0" fontId="15" fillId="0" borderId="0" xfId="0" applyNumberFormat="1" applyFont="1" applyBorder="1" applyAlignment="1">
      <alignment horizontal="left"/>
    </xf>
    <xf numFmtId="0" fontId="15" fillId="0" borderId="0" xfId="0" applyNumberFormat="1" applyFont="1" applyBorder="1" applyAlignment="1"/>
    <xf numFmtId="0" fontId="15" fillId="2" borderId="0" xfId="0" applyNumberFormat="1" applyFont="1" applyFill="1" applyBorder="1" applyAlignment="1">
      <alignment horizontal="left"/>
    </xf>
    <xf numFmtId="0" fontId="15" fillId="0" borderId="0" xfId="0" applyNumberFormat="1" applyFont="1" applyBorder="1" applyAlignment="1">
      <alignment horizontal="right"/>
    </xf>
    <xf numFmtId="0" fontId="29" fillId="2" borderId="0" xfId="0" applyNumberFormat="1" applyFont="1" applyFill="1" applyBorder="1" applyAlignment="1">
      <alignment horizontal="right"/>
    </xf>
    <xf numFmtId="0" fontId="29" fillId="2" borderId="0" xfId="0" applyNumberFormat="1" applyFont="1" applyFill="1" applyBorder="1" applyAlignment="1">
      <alignment horizontal="left" wrapText="1"/>
    </xf>
    <xf numFmtId="0" fontId="29" fillId="2" borderId="0" xfId="0" applyNumberFormat="1" applyFont="1" applyFill="1" applyBorder="1" applyAlignment="1">
      <alignment horizontal="center"/>
    </xf>
    <xf numFmtId="0" fontId="29" fillId="2" borderId="0" xfId="0" applyNumberFormat="1" applyFont="1" applyFill="1" applyBorder="1" applyAlignment="1">
      <alignment horizontal="left"/>
    </xf>
    <xf numFmtId="0" fontId="29" fillId="0" borderId="0" xfId="0" applyNumberFormat="1" applyFont="1" applyBorder="1" applyAlignment="1"/>
    <xf numFmtId="0" fontId="29" fillId="0" borderId="0" xfId="0" applyNumberFormat="1" applyFont="1" applyBorder="1" applyAlignment="1">
      <alignment horizontal="left"/>
    </xf>
    <xf numFmtId="0" fontId="29" fillId="0" borderId="0" xfId="0" applyNumberFormat="1" applyFont="1" applyBorder="1" applyAlignment="1">
      <alignment horizontal="center"/>
    </xf>
    <xf numFmtId="0" fontId="29" fillId="0" borderId="0" xfId="0" applyNumberFormat="1" applyFont="1" applyBorder="1" applyAlignment="1">
      <alignment horizontal="right"/>
    </xf>
    <xf numFmtId="0" fontId="15" fillId="2" borderId="0" xfId="0" applyNumberFormat="1" applyFont="1" applyFill="1" applyBorder="1" applyAlignment="1">
      <alignment horizontal="right"/>
    </xf>
    <xf numFmtId="0" fontId="15" fillId="2" borderId="0" xfId="0" applyNumberFormat="1" applyFont="1" applyFill="1" applyBorder="1" applyAlignment="1">
      <alignment horizontal="center"/>
    </xf>
    <xf numFmtId="0" fontId="15" fillId="2" borderId="0" xfId="0" applyNumberFormat="1" applyFont="1" applyFill="1" applyBorder="1" applyAlignment="1">
      <alignment horizontal="center" wrapText="1"/>
    </xf>
    <xf numFmtId="0" fontId="15" fillId="2" borderId="0" xfId="0" applyNumberFormat="1" applyFont="1" applyFill="1" applyBorder="1" applyAlignment="1">
      <alignment horizontal="left" wrapText="1"/>
    </xf>
    <xf numFmtId="0" fontId="40" fillId="0" borderId="0" xfId="0" applyNumberFormat="1" applyFont="1" applyBorder="1" applyAlignment="1"/>
    <xf numFmtId="0" fontId="14" fillId="2" borderId="0" xfId="0" applyNumberFormat="1" applyFont="1" applyFill="1" applyBorder="1" applyAlignment="1">
      <alignment horizontal="center"/>
    </xf>
    <xf numFmtId="0" fontId="29" fillId="2" borderId="0" xfId="0" applyNumberFormat="1" applyFont="1" applyFill="1" applyBorder="1" applyAlignment="1"/>
    <xf numFmtId="0" fontId="16" fillId="0" borderId="0" xfId="0" applyNumberFormat="1" applyFont="1" applyBorder="1" applyAlignment="1">
      <alignment horizontal="center"/>
    </xf>
    <xf numFmtId="0" fontId="16" fillId="2" borderId="0" xfId="0" applyNumberFormat="1" applyFont="1" applyFill="1" applyBorder="1" applyAlignment="1"/>
    <xf numFmtId="0" fontId="41" fillId="2" borderId="0" xfId="0" applyNumberFormat="1" applyFont="1" applyFill="1" applyBorder="1" applyAlignment="1"/>
    <xf numFmtId="0" fontId="41" fillId="2" borderId="0" xfId="0" applyNumberFormat="1" applyFont="1" applyFill="1" applyBorder="1" applyAlignment="1">
      <alignment horizontal="right"/>
    </xf>
    <xf numFmtId="0" fontId="41" fillId="0" borderId="0" xfId="0" applyNumberFormat="1" applyFont="1" applyBorder="1" applyAlignment="1"/>
    <xf numFmtId="0" fontId="15" fillId="2" borderId="0" xfId="0" applyNumberFormat="1" applyFont="1" applyFill="1" applyAlignment="1"/>
    <xf numFmtId="0" fontId="38" fillId="2" borderId="0" xfId="0" applyNumberFormat="1" applyFont="1" applyFill="1" applyAlignment="1">
      <alignment wrapText="1"/>
    </xf>
    <xf numFmtId="0" fontId="15" fillId="0" borderId="0" xfId="0" applyNumberFormat="1" applyFont="1" applyAlignment="1"/>
    <xf numFmtId="0" fontId="14" fillId="2" borderId="35" xfId="0" applyNumberFormat="1" applyFont="1" applyFill="1" applyBorder="1" applyAlignment="1">
      <alignment horizontal="center" wrapText="1"/>
    </xf>
    <xf numFmtId="0" fontId="14" fillId="2" borderId="0" xfId="0" applyNumberFormat="1" applyFont="1" applyFill="1" applyBorder="1" applyAlignment="1">
      <alignment horizontal="right"/>
    </xf>
    <xf numFmtId="0" fontId="14" fillId="2" borderId="0" xfId="0" applyNumberFormat="1" applyFont="1" applyFill="1" applyBorder="1" applyAlignment="1">
      <alignment horizontal="center" wrapText="1"/>
    </xf>
    <xf numFmtId="0" fontId="14" fillId="2" borderId="0" xfId="0" applyNumberFormat="1" applyFont="1" applyFill="1" applyBorder="1" applyAlignment="1">
      <alignment wrapText="1"/>
    </xf>
    <xf numFmtId="0" fontId="14" fillId="2" borderId="0" xfId="0" applyNumberFormat="1" applyFont="1" applyFill="1" applyBorder="1" applyAlignment="1">
      <alignment horizontal="left" wrapText="1"/>
    </xf>
    <xf numFmtId="0" fontId="15" fillId="8" borderId="3" xfId="0" applyNumberFormat="1" applyFont="1" applyFill="1" applyBorder="1" applyAlignment="1">
      <alignment horizontal="center" wrapText="1"/>
    </xf>
    <xf numFmtId="0" fontId="15" fillId="2" borderId="0" xfId="0" applyNumberFormat="1" applyFont="1" applyFill="1" applyBorder="1" applyAlignment="1">
      <alignment horizontal="right" wrapText="1"/>
    </xf>
    <xf numFmtId="0" fontId="15" fillId="2" borderId="0" xfId="0" applyNumberFormat="1" applyFont="1" applyFill="1" applyBorder="1" applyAlignment="1">
      <alignment wrapText="1"/>
    </xf>
    <xf numFmtId="0" fontId="15" fillId="8" borderId="2" xfId="0" applyNumberFormat="1" applyFont="1" applyFill="1" applyBorder="1" applyAlignment="1">
      <alignment horizontal="center"/>
    </xf>
    <xf numFmtId="0" fontId="15" fillId="8" borderId="2" xfId="0" applyNumberFormat="1" applyFont="1" applyFill="1" applyBorder="1" applyAlignment="1">
      <alignment horizontal="center" wrapText="1"/>
    </xf>
    <xf numFmtId="0" fontId="15" fillId="8" borderId="0" xfId="0" applyNumberFormat="1" applyFont="1" applyFill="1" applyBorder="1" applyAlignment="1">
      <alignment horizontal="center" wrapText="1"/>
    </xf>
    <xf numFmtId="0" fontId="15" fillId="8" borderId="4" xfId="0" applyNumberFormat="1" applyFont="1" applyFill="1" applyBorder="1" applyAlignment="1">
      <alignment horizontal="center"/>
    </xf>
    <xf numFmtId="0" fontId="15" fillId="8" borderId="0" xfId="0" applyNumberFormat="1" applyFont="1" applyFill="1" applyBorder="1" applyAlignment="1">
      <alignment horizontal="center"/>
    </xf>
    <xf numFmtId="0" fontId="15" fillId="8" borderId="3" xfId="0" applyNumberFormat="1" applyFont="1" applyFill="1" applyBorder="1" applyAlignment="1">
      <alignment horizontal="center"/>
    </xf>
    <xf numFmtId="2" fontId="21" fillId="20" borderId="7" xfId="0" applyNumberFormat="1" applyFont="1" applyFill="1" applyBorder="1" applyAlignment="1">
      <alignment horizontal="center" vertical="center"/>
    </xf>
    <xf numFmtId="1" fontId="21" fillId="2" borderId="2" xfId="0" applyNumberFormat="1" applyFont="1" applyFill="1" applyBorder="1" applyAlignment="1">
      <alignment horizontal="center" vertical="center"/>
    </xf>
    <xf numFmtId="49" fontId="25" fillId="2" borderId="1" xfId="0" applyNumberFormat="1" applyFont="1" applyFill="1" applyBorder="1" applyAlignment="1">
      <alignment vertical="center" wrapText="1"/>
    </xf>
    <xf numFmtId="49" fontId="21" fillId="2" borderId="8" xfId="0" applyNumberFormat="1" applyFont="1" applyFill="1" applyBorder="1" applyAlignment="1">
      <alignment horizontal="right" vertical="center" wrapText="1"/>
    </xf>
    <xf numFmtId="0" fontId="23" fillId="14" borderId="0" xfId="0" applyFont="1" applyFill="1" applyAlignment="1">
      <alignment vertical="center"/>
    </xf>
    <xf numFmtId="2" fontId="22" fillId="2" borderId="0" xfId="0" applyNumberFormat="1" applyFont="1" applyFill="1" applyAlignment="1">
      <alignment horizontal="center" vertical="center" wrapText="1"/>
    </xf>
    <xf numFmtId="49" fontId="25" fillId="20" borderId="1" xfId="0" applyNumberFormat="1" applyFont="1" applyFill="1" applyBorder="1" applyAlignment="1">
      <alignment vertical="center" wrapText="1"/>
    </xf>
    <xf numFmtId="49" fontId="25" fillId="13" borderId="9" xfId="0" applyNumberFormat="1" applyFont="1" applyFill="1" applyBorder="1" applyAlignment="1">
      <alignment vertical="center" wrapText="1"/>
    </xf>
    <xf numFmtId="49" fontId="25" fillId="20" borderId="9" xfId="0" applyNumberFormat="1" applyFont="1" applyFill="1" applyBorder="1" applyAlignment="1">
      <alignment vertical="center" wrapText="1"/>
    </xf>
    <xf numFmtId="0" fontId="45" fillId="13" borderId="1" xfId="0" applyNumberFormat="1" applyFont="1" applyFill="1" applyBorder="1" applyAlignment="1">
      <alignment horizontal="center" vertical="center"/>
    </xf>
    <xf numFmtId="0" fontId="45" fillId="11" borderId="1" xfId="0" applyNumberFormat="1" applyFont="1" applyFill="1" applyBorder="1" applyAlignment="1">
      <alignment horizontal="center" vertical="center"/>
    </xf>
    <xf numFmtId="0" fontId="45" fillId="20" borderId="1" xfId="0" applyNumberFormat="1" applyFont="1" applyFill="1" applyBorder="1" applyAlignment="1">
      <alignment horizontal="center" vertical="center"/>
    </xf>
    <xf numFmtId="0" fontId="45" fillId="0" borderId="1" xfId="0" applyNumberFormat="1" applyFont="1" applyFill="1" applyBorder="1" applyAlignment="1">
      <alignment horizontal="center" vertical="center"/>
    </xf>
    <xf numFmtId="0" fontId="0" fillId="0" borderId="0" xfId="0"/>
    <xf numFmtId="2" fontId="23" fillId="2" borderId="1" xfId="0" applyNumberFormat="1" applyFont="1" applyFill="1" applyBorder="1" applyAlignment="1">
      <alignment horizontal="left" vertical="center"/>
    </xf>
    <xf numFmtId="1" fontId="23" fillId="2" borderId="1" xfId="0" applyNumberFormat="1" applyFont="1" applyFill="1" applyBorder="1" applyAlignment="1">
      <alignment horizontal="center" vertical="center" wrapText="1"/>
    </xf>
    <xf numFmtId="2" fontId="23" fillId="2" borderId="1" xfId="0" applyNumberFormat="1" applyFont="1" applyFill="1" applyBorder="1" applyAlignment="1">
      <alignment horizontal="center" vertical="center"/>
    </xf>
    <xf numFmtId="1" fontId="23" fillId="2" borderId="1" xfId="0" applyNumberFormat="1" applyFont="1" applyFill="1" applyBorder="1" applyAlignment="1">
      <alignment horizontal="center" vertical="center"/>
    </xf>
    <xf numFmtId="0" fontId="23" fillId="2" borderId="1" xfId="0" applyNumberFormat="1" applyFont="1" applyFill="1" applyBorder="1" applyAlignment="1">
      <alignment horizontal="center" vertical="center"/>
    </xf>
    <xf numFmtId="0" fontId="23" fillId="2" borderId="1" xfId="0" applyNumberFormat="1" applyFont="1" applyFill="1" applyBorder="1" applyAlignment="1">
      <alignment vertical="center"/>
    </xf>
    <xf numFmtId="1" fontId="11" fillId="2" borderId="1" xfId="0" applyNumberFormat="1" applyFont="1" applyFill="1" applyBorder="1" applyAlignment="1">
      <alignment horizontal="center" vertical="center"/>
    </xf>
    <xf numFmtId="0" fontId="23" fillId="2" borderId="7"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23" fillId="2" borderId="1" xfId="0" applyFont="1" applyFill="1" applyBorder="1" applyAlignment="1">
      <alignment vertical="center"/>
    </xf>
    <xf numFmtId="49" fontId="11" fillId="14" borderId="1" xfId="0" applyNumberFormat="1" applyFont="1" applyFill="1" applyBorder="1" applyAlignment="1">
      <alignment horizontal="center" vertical="center" wrapText="1"/>
    </xf>
    <xf numFmtId="0" fontId="23" fillId="2" borderId="1" xfId="0" applyFont="1" applyFill="1" applyBorder="1" applyAlignment="1">
      <alignment horizontal="left" vertical="center"/>
    </xf>
    <xf numFmtId="49" fontId="23" fillId="2" borderId="1" xfId="0" applyNumberFormat="1" applyFont="1" applyFill="1" applyBorder="1" applyAlignment="1">
      <alignment horizontal="center" vertical="center"/>
    </xf>
    <xf numFmtId="0" fontId="23" fillId="2" borderId="1" xfId="0" applyFont="1" applyFill="1" applyBorder="1" applyAlignment="1">
      <alignment vertical="center" wrapText="1"/>
    </xf>
    <xf numFmtId="0" fontId="23" fillId="2" borderId="1" xfId="0" applyNumberFormat="1" applyFont="1" applyFill="1" applyBorder="1" applyAlignment="1">
      <alignment horizontal="left" vertical="center"/>
    </xf>
    <xf numFmtId="49" fontId="23" fillId="2" borderId="1" xfId="0" applyNumberFormat="1" applyFont="1" applyFill="1" applyBorder="1" applyAlignment="1">
      <alignment horizontal="left" vertical="center"/>
    </xf>
    <xf numFmtId="0" fontId="11" fillId="2" borderId="1" xfId="0" applyFont="1" applyFill="1" applyBorder="1" applyAlignment="1">
      <alignment horizontal="center" vertical="center"/>
    </xf>
    <xf numFmtId="1" fontId="11" fillId="2" borderId="1" xfId="0" applyNumberFormat="1" applyFont="1" applyFill="1" applyBorder="1" applyAlignment="1">
      <alignment horizontal="right" vertical="center"/>
    </xf>
    <xf numFmtId="2" fontId="11" fillId="2" borderId="1" xfId="0" applyNumberFormat="1" applyFont="1" applyFill="1" applyBorder="1" applyAlignment="1">
      <alignment horizontal="center" vertical="center"/>
    </xf>
    <xf numFmtId="0" fontId="11" fillId="13" borderId="0" xfId="0" applyNumberFormat="1" applyFont="1" applyFill="1" applyBorder="1" applyAlignment="1">
      <alignment horizontal="center" vertical="center"/>
    </xf>
    <xf numFmtId="0" fontId="11" fillId="13" borderId="1" xfId="0" applyFont="1" applyFill="1" applyBorder="1" applyAlignment="1">
      <alignment horizontal="center" vertical="center"/>
    </xf>
    <xf numFmtId="0" fontId="11" fillId="13" borderId="1" xfId="0" applyFont="1" applyFill="1" applyBorder="1" applyAlignment="1">
      <alignment horizontal="left" vertical="center"/>
    </xf>
    <xf numFmtId="49" fontId="11" fillId="13" borderId="1" xfId="0" applyNumberFormat="1" applyFont="1" applyFill="1" applyBorder="1" applyAlignment="1">
      <alignment horizontal="center" vertical="center" textRotation="90"/>
    </xf>
    <xf numFmtId="49" fontId="11" fillId="13" borderId="1" xfId="0" applyNumberFormat="1" applyFont="1" applyFill="1" applyBorder="1" applyAlignment="1">
      <alignment horizontal="center" vertical="center"/>
    </xf>
    <xf numFmtId="0" fontId="11" fillId="13" borderId="1" xfId="0" applyNumberFormat="1" applyFont="1" applyFill="1" applyBorder="1" applyAlignment="1">
      <alignment horizontal="center" vertical="center"/>
    </xf>
    <xf numFmtId="0" fontId="11" fillId="13" borderId="7" xfId="0" applyFont="1" applyFill="1" applyBorder="1" applyAlignment="1">
      <alignment horizontal="left" vertical="center"/>
    </xf>
    <xf numFmtId="0" fontId="11" fillId="13" borderId="13" xfId="0" applyNumberFormat="1" applyFont="1" applyFill="1" applyBorder="1" applyAlignment="1">
      <alignment horizontal="left" vertical="center"/>
    </xf>
    <xf numFmtId="2" fontId="11" fillId="13" borderId="1" xfId="0" applyNumberFormat="1" applyFont="1" applyFill="1" applyBorder="1" applyAlignment="1">
      <alignment horizontal="right" vertical="center"/>
    </xf>
    <xf numFmtId="2" fontId="11" fillId="13" borderId="8" xfId="0" applyNumberFormat="1" applyFont="1" applyFill="1" applyBorder="1" applyAlignment="1">
      <alignment horizontal="center" vertical="center"/>
    </xf>
    <xf numFmtId="0" fontId="11" fillId="13" borderId="8" xfId="0" applyNumberFormat="1" applyFont="1" applyFill="1" applyBorder="1" applyAlignment="1">
      <alignment horizontal="center" vertical="center"/>
    </xf>
    <xf numFmtId="2" fontId="11" fillId="13" borderId="1" xfId="0" applyNumberFormat="1" applyFont="1" applyFill="1" applyBorder="1" applyAlignment="1">
      <alignment horizontal="left" vertical="center"/>
    </xf>
    <xf numFmtId="1" fontId="11" fillId="13" borderId="7" xfId="0" applyNumberFormat="1" applyFont="1" applyFill="1" applyBorder="1" applyAlignment="1">
      <alignment horizontal="center" vertical="center"/>
    </xf>
    <xf numFmtId="1" fontId="11" fillId="13" borderId="1" xfId="0" applyNumberFormat="1" applyFont="1" applyFill="1" applyBorder="1" applyAlignment="1">
      <alignment horizontal="center" vertical="center"/>
    </xf>
    <xf numFmtId="1" fontId="11" fillId="13" borderId="28" xfId="0" applyNumberFormat="1" applyFont="1" applyFill="1" applyBorder="1" applyAlignment="1">
      <alignment horizontal="center" vertical="center"/>
    </xf>
    <xf numFmtId="0" fontId="11" fillId="13" borderId="9" xfId="0" applyFont="1" applyFill="1" applyBorder="1" applyAlignment="1">
      <alignment vertical="center"/>
    </xf>
    <xf numFmtId="0" fontId="11" fillId="13" borderId="1" xfId="0" applyFont="1" applyFill="1" applyBorder="1" applyAlignment="1">
      <alignment vertical="center"/>
    </xf>
    <xf numFmtId="1" fontId="11" fillId="13" borderId="15" xfId="0" applyNumberFormat="1" applyFont="1" applyFill="1" applyBorder="1" applyAlignment="1">
      <alignment horizontal="center" vertical="center"/>
    </xf>
    <xf numFmtId="1" fontId="11" fillId="13" borderId="9" xfId="0" applyNumberFormat="1" applyFont="1" applyFill="1" applyBorder="1" applyAlignment="1">
      <alignment horizontal="center" vertical="center"/>
    </xf>
    <xf numFmtId="0" fontId="11" fillId="13" borderId="1" xfId="0" applyNumberFormat="1" applyFont="1" applyFill="1" applyBorder="1" applyAlignment="1">
      <alignment horizontal="left" vertical="center"/>
    </xf>
    <xf numFmtId="49" fontId="11" fillId="13" borderId="0" xfId="0" applyNumberFormat="1" applyFont="1" applyFill="1" applyBorder="1" applyAlignment="1">
      <alignment vertical="center"/>
    </xf>
    <xf numFmtId="0" fontId="11" fillId="13" borderId="0" xfId="0" applyNumberFormat="1" applyFont="1" applyFill="1" applyBorder="1" applyAlignment="1">
      <alignment vertical="center"/>
    </xf>
    <xf numFmtId="0" fontId="11" fillId="13" borderId="0" xfId="0" applyNumberFormat="1" applyFont="1" applyFill="1" applyBorder="1" applyAlignment="1">
      <alignment horizontal="left" vertical="center"/>
    </xf>
    <xf numFmtId="0" fontId="11" fillId="13" borderId="0" xfId="0" applyFont="1" applyFill="1" applyAlignment="1">
      <alignment vertical="center"/>
    </xf>
    <xf numFmtId="49" fontId="11" fillId="13" borderId="0" xfId="0" applyNumberFormat="1" applyFont="1" applyFill="1" applyBorder="1" applyAlignment="1">
      <alignment horizontal="left" vertical="center"/>
    </xf>
    <xf numFmtId="0" fontId="11" fillId="13" borderId="0" xfId="0" applyNumberFormat="1" applyFont="1" applyFill="1" applyAlignment="1">
      <alignment horizontal="center" vertical="center"/>
    </xf>
    <xf numFmtId="2" fontId="11" fillId="13" borderId="0" xfId="0" applyNumberFormat="1" applyFont="1" applyFill="1" applyBorder="1" applyAlignment="1">
      <alignment horizontal="left" vertical="center"/>
    </xf>
    <xf numFmtId="1" fontId="11" fillId="13" borderId="0" xfId="0" applyNumberFormat="1" applyFont="1" applyFill="1" applyBorder="1" applyAlignment="1">
      <alignment horizontal="center" vertical="center"/>
    </xf>
    <xf numFmtId="0" fontId="11" fillId="13" borderId="0" xfId="0" applyFont="1" applyFill="1" applyBorder="1" applyAlignment="1">
      <alignment horizontal="center" vertical="center"/>
    </xf>
    <xf numFmtId="2" fontId="11" fillId="13" borderId="0" xfId="0" applyNumberFormat="1" applyFont="1" applyFill="1" applyBorder="1" applyAlignment="1">
      <alignment horizontal="center" vertical="center"/>
    </xf>
    <xf numFmtId="1" fontId="11" fillId="13" borderId="0" xfId="0" applyNumberFormat="1" applyFont="1" applyFill="1" applyBorder="1" applyAlignment="1">
      <alignment horizontal="right" vertical="center"/>
    </xf>
    <xf numFmtId="0" fontId="11" fillId="13" borderId="0" xfId="0" applyFont="1" applyFill="1" applyBorder="1" applyAlignment="1">
      <alignment vertical="center"/>
    </xf>
    <xf numFmtId="0" fontId="55" fillId="2" borderId="7" xfId="0" applyNumberFormat="1" applyFont="1" applyFill="1" applyBorder="1" applyAlignment="1">
      <alignment vertical="center" wrapText="1"/>
    </xf>
    <xf numFmtId="0" fontId="55" fillId="2" borderId="9" xfId="0" applyNumberFormat="1" applyFont="1" applyFill="1" applyBorder="1" applyAlignment="1">
      <alignment horizontal="left" vertical="center" wrapText="1"/>
    </xf>
    <xf numFmtId="49" fontId="55" fillId="0" borderId="7" xfId="0" applyNumberFormat="1" applyFont="1" applyBorder="1" applyAlignment="1">
      <alignment horizontal="right" vertical="center"/>
    </xf>
    <xf numFmtId="0" fontId="55" fillId="0" borderId="9" xfId="0" applyNumberFormat="1" applyFont="1" applyBorder="1" applyAlignment="1">
      <alignment horizontal="left" vertical="center"/>
    </xf>
    <xf numFmtId="0" fontId="55" fillId="2" borderId="7" xfId="0" applyNumberFormat="1" applyFont="1" applyFill="1" applyBorder="1" applyAlignment="1">
      <alignment horizontal="right" vertical="center" wrapText="1"/>
    </xf>
    <xf numFmtId="0" fontId="55" fillId="2" borderId="1" xfId="0" applyFont="1" applyFill="1" applyBorder="1" applyAlignment="1">
      <alignment horizontal="center" vertical="center"/>
    </xf>
    <xf numFmtId="0" fontId="55" fillId="2" borderId="1" xfId="0" applyFont="1" applyFill="1" applyBorder="1" applyAlignment="1">
      <alignment horizontal="left" vertical="center" wrapText="1"/>
    </xf>
    <xf numFmtId="49" fontId="55" fillId="2" borderId="1" xfId="0" applyNumberFormat="1" applyFont="1" applyFill="1" applyBorder="1" applyAlignment="1">
      <alignment horizontal="center" vertical="center" textRotation="90" wrapText="1"/>
    </xf>
    <xf numFmtId="49" fontId="55" fillId="2" borderId="1" xfId="0" applyNumberFormat="1" applyFont="1" applyFill="1" applyBorder="1" applyAlignment="1">
      <alignment horizontal="center" vertical="center" wrapText="1"/>
    </xf>
    <xf numFmtId="0" fontId="55" fillId="2" borderId="1" xfId="0" applyNumberFormat="1" applyFont="1" applyFill="1" applyBorder="1" applyAlignment="1">
      <alignment horizontal="center" vertical="center" wrapText="1"/>
    </xf>
    <xf numFmtId="0" fontId="55" fillId="2" borderId="13" xfId="0" applyNumberFormat="1" applyFont="1" applyFill="1" applyBorder="1" applyAlignment="1">
      <alignment horizontal="left" vertical="center" wrapText="1"/>
    </xf>
    <xf numFmtId="2" fontId="55" fillId="2" borderId="1" xfId="0" applyNumberFormat="1" applyFont="1" applyFill="1" applyBorder="1" applyAlignment="1">
      <alignment horizontal="right" vertical="center"/>
    </xf>
    <xf numFmtId="2" fontId="55" fillId="2" borderId="1" xfId="0" applyNumberFormat="1" applyFont="1" applyFill="1" applyBorder="1" applyAlignment="1">
      <alignment horizontal="center" vertical="center" wrapText="1"/>
    </xf>
    <xf numFmtId="2" fontId="55" fillId="2" borderId="1" xfId="0" applyNumberFormat="1" applyFont="1" applyFill="1" applyBorder="1" applyAlignment="1">
      <alignment horizontal="center" vertical="center"/>
    </xf>
    <xf numFmtId="0" fontId="55" fillId="2" borderId="14" xfId="0" applyNumberFormat="1" applyFont="1" applyFill="1" applyBorder="1" applyAlignment="1">
      <alignment horizontal="left" vertical="center" wrapText="1"/>
    </xf>
    <xf numFmtId="2" fontId="55" fillId="2" borderId="13" xfId="0" applyNumberFormat="1" applyFont="1" applyFill="1" applyBorder="1" applyAlignment="1">
      <alignment horizontal="center" vertical="center"/>
    </xf>
    <xf numFmtId="2" fontId="55" fillId="2" borderId="7" xfId="0" applyNumberFormat="1" applyFont="1" applyFill="1" applyBorder="1" applyAlignment="1">
      <alignment horizontal="center" vertical="center"/>
    </xf>
    <xf numFmtId="2" fontId="55" fillId="2" borderId="1" xfId="0" applyNumberFormat="1" applyFont="1" applyFill="1" applyBorder="1" applyAlignment="1">
      <alignment horizontal="left" vertical="center"/>
    </xf>
    <xf numFmtId="1" fontId="56" fillId="2" borderId="7" xfId="0" applyNumberFormat="1" applyFont="1" applyFill="1" applyBorder="1" applyAlignment="1">
      <alignment horizontal="center" vertical="center"/>
    </xf>
    <xf numFmtId="1" fontId="55" fillId="2" borderId="1" xfId="0" applyNumberFormat="1" applyFont="1" applyFill="1" applyBorder="1" applyAlignment="1">
      <alignment horizontal="center" vertical="center" wrapText="1"/>
    </xf>
    <xf numFmtId="1" fontId="55" fillId="2" borderId="1" xfId="0" applyNumberFormat="1" applyFont="1" applyFill="1" applyBorder="1" applyAlignment="1">
      <alignment horizontal="center" vertical="center"/>
    </xf>
    <xf numFmtId="0" fontId="56" fillId="2" borderId="1" xfId="0" applyFont="1" applyFill="1" applyBorder="1" applyAlignment="1">
      <alignment horizontal="center" vertical="center"/>
    </xf>
    <xf numFmtId="2" fontId="55" fillId="5" borderId="1" xfId="0" applyNumberFormat="1" applyFont="1" applyFill="1" applyBorder="1" applyAlignment="1">
      <alignment horizontal="center" vertical="center"/>
    </xf>
    <xf numFmtId="1" fontId="55" fillId="2" borderId="28" xfId="0" applyNumberFormat="1" applyFont="1" applyFill="1" applyBorder="1" applyAlignment="1">
      <alignment horizontal="center" vertical="center"/>
    </xf>
    <xf numFmtId="0" fontId="55" fillId="2" borderId="9" xfId="0" applyFont="1" applyFill="1" applyBorder="1" applyAlignment="1">
      <alignment vertical="center"/>
    </xf>
    <xf numFmtId="0" fontId="55" fillId="2" borderId="1" xfId="0" applyFont="1" applyFill="1" applyBorder="1" applyAlignment="1">
      <alignment vertical="center"/>
    </xf>
    <xf numFmtId="1" fontId="56" fillId="2" borderId="1" xfId="0" applyNumberFormat="1" applyFont="1" applyFill="1" applyBorder="1" applyAlignment="1">
      <alignment horizontal="center" vertical="center"/>
    </xf>
    <xf numFmtId="1" fontId="56" fillId="2" borderId="15" xfId="0" applyNumberFormat="1" applyFont="1" applyFill="1" applyBorder="1" applyAlignment="1">
      <alignment horizontal="center" vertical="center" wrapText="1"/>
    </xf>
    <xf numFmtId="1" fontId="55" fillId="2" borderId="9" xfId="0" applyNumberFormat="1" applyFont="1" applyFill="1" applyBorder="1" applyAlignment="1">
      <alignment horizontal="center" vertical="center"/>
    </xf>
    <xf numFmtId="0" fontId="55" fillId="2" borderId="1" xfId="0" applyNumberFormat="1" applyFont="1" applyFill="1" applyBorder="1" applyAlignment="1">
      <alignment horizontal="left" vertical="center" wrapText="1"/>
    </xf>
    <xf numFmtId="0" fontId="55" fillId="2" borderId="0" xfId="0" applyFont="1" applyFill="1" applyAlignment="1">
      <alignment vertical="center"/>
    </xf>
    <xf numFmtId="0" fontId="55" fillId="2" borderId="0" xfId="0" applyNumberFormat="1" applyFont="1" applyFill="1" applyAlignment="1">
      <alignment horizontal="center" vertical="center"/>
    </xf>
    <xf numFmtId="1" fontId="23" fillId="2" borderId="0" xfId="0" applyNumberFormat="1" applyFont="1" applyFill="1" applyBorder="1" applyAlignment="1">
      <alignment horizontal="center" vertical="center"/>
    </xf>
    <xf numFmtId="49" fontId="23" fillId="2" borderId="0" xfId="0" applyNumberFormat="1" applyFont="1" applyFill="1" applyBorder="1" applyAlignment="1">
      <alignment horizontal="center" vertical="center"/>
    </xf>
    <xf numFmtId="0" fontId="23" fillId="2" borderId="0" xfId="0" applyNumberFormat="1" applyFont="1" applyFill="1" applyBorder="1" applyAlignment="1">
      <alignment horizontal="center" vertical="center" wrapText="1"/>
    </xf>
    <xf numFmtId="0" fontId="23" fillId="2" borderId="0" xfId="0" applyNumberFormat="1" applyFont="1" applyFill="1" applyBorder="1" applyAlignment="1">
      <alignment vertical="center"/>
    </xf>
    <xf numFmtId="0" fontId="23" fillId="2" borderId="0" xfId="0" applyNumberFormat="1" applyFont="1" applyFill="1" applyBorder="1" applyAlignment="1">
      <alignment horizontal="center" vertical="center"/>
    </xf>
    <xf numFmtId="0" fontId="23" fillId="2" borderId="0" xfId="0" applyNumberFormat="1" applyFont="1" applyFill="1" applyBorder="1" applyAlignment="1">
      <alignment horizontal="left" vertical="center"/>
    </xf>
    <xf numFmtId="0" fontId="23" fillId="2" borderId="0" xfId="0" applyFont="1" applyFill="1" applyBorder="1" applyAlignment="1">
      <alignment vertical="center"/>
    </xf>
    <xf numFmtId="0" fontId="23" fillId="2" borderId="0" xfId="0" applyFont="1" applyFill="1" applyBorder="1" applyAlignment="1">
      <alignment horizontal="left" vertical="center"/>
    </xf>
    <xf numFmtId="0" fontId="23" fillId="2" borderId="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xf>
    <xf numFmtId="2" fontId="23" fillId="2" borderId="0" xfId="0" applyNumberFormat="1" applyFont="1" applyFill="1" applyBorder="1" applyAlignment="1">
      <alignment horizontal="left" vertical="center"/>
    </xf>
    <xf numFmtId="0" fontId="11" fillId="2" borderId="0" xfId="0" applyNumberFormat="1" applyFont="1" applyFill="1" applyBorder="1" applyAlignment="1">
      <alignment horizontal="center" vertical="center" wrapText="1"/>
    </xf>
    <xf numFmtId="1" fontId="11" fillId="2" borderId="0" xfId="0" applyNumberFormat="1" applyFont="1" applyFill="1" applyBorder="1" applyAlignment="1">
      <alignment horizontal="center" vertical="center"/>
    </xf>
    <xf numFmtId="1" fontId="23" fillId="2" borderId="0" xfId="0" applyNumberFormat="1" applyFont="1" applyFill="1" applyBorder="1" applyAlignment="1">
      <alignment horizontal="center" vertical="center" wrapText="1"/>
    </xf>
    <xf numFmtId="1" fontId="11" fillId="2" borderId="0" xfId="0" applyNumberFormat="1" applyFont="1" applyFill="1" applyBorder="1" applyAlignment="1">
      <alignment horizontal="right" vertical="center"/>
    </xf>
    <xf numFmtId="0" fontId="23" fillId="14" borderId="0" xfId="0" applyNumberFormat="1" applyFont="1" applyFill="1" applyBorder="1" applyAlignment="1">
      <alignment horizontal="center" vertical="center" wrapText="1"/>
    </xf>
    <xf numFmtId="0" fontId="23" fillId="14" borderId="0" xfId="0" applyNumberFormat="1" applyFont="1" applyFill="1" applyAlignment="1">
      <alignment horizontal="center" wrapText="1"/>
    </xf>
    <xf numFmtId="0" fontId="23" fillId="14" borderId="0" xfId="0" applyNumberFormat="1" applyFont="1" applyFill="1" applyAlignment="1">
      <alignment wrapText="1"/>
    </xf>
    <xf numFmtId="0" fontId="57" fillId="14" borderId="0" xfId="0" applyNumberFormat="1" applyFont="1" applyFill="1" applyBorder="1" applyAlignment="1">
      <alignment wrapText="1"/>
    </xf>
    <xf numFmtId="0" fontId="57" fillId="14" borderId="0" xfId="0" applyNumberFormat="1" applyFont="1" applyFill="1" applyBorder="1" applyAlignment="1">
      <alignment horizontal="left" wrapText="1"/>
    </xf>
    <xf numFmtId="0" fontId="57" fillId="14" borderId="0" xfId="0" applyNumberFormat="1" applyFont="1" applyFill="1" applyBorder="1" applyAlignment="1">
      <alignment horizontal="center" wrapText="1"/>
    </xf>
    <xf numFmtId="2" fontId="23" fillId="14" borderId="0" xfId="0" applyNumberFormat="1" applyFont="1" applyFill="1" applyBorder="1" applyAlignment="1">
      <alignment horizontal="center" vertical="center"/>
    </xf>
    <xf numFmtId="0" fontId="11" fillId="14" borderId="0" xfId="0" applyNumberFormat="1" applyFont="1" applyFill="1" applyBorder="1" applyAlignment="1"/>
    <xf numFmtId="0" fontId="23" fillId="14" borderId="0" xfId="0" applyFont="1" applyFill="1" applyBorder="1" applyAlignment="1">
      <alignment horizontal="left" vertical="center"/>
    </xf>
    <xf numFmtId="0" fontId="23" fillId="14" borderId="0" xfId="0" applyNumberFormat="1" applyFont="1" applyFill="1" applyBorder="1" applyAlignment="1">
      <alignment horizontal="left" vertical="center" wrapText="1"/>
    </xf>
    <xf numFmtId="49" fontId="23" fillId="14" borderId="0" xfId="0" applyNumberFormat="1" applyFont="1" applyFill="1" applyBorder="1" applyAlignment="1">
      <alignment horizontal="center" vertical="center"/>
    </xf>
    <xf numFmtId="0" fontId="23" fillId="14" borderId="0" xfId="0" applyFont="1" applyFill="1" applyAlignment="1">
      <alignment vertical="center" wrapText="1"/>
    </xf>
    <xf numFmtId="0" fontId="23" fillId="14" borderId="0" xfId="0" applyNumberFormat="1" applyFont="1" applyFill="1" applyBorder="1" applyAlignment="1">
      <alignment vertical="center"/>
    </xf>
    <xf numFmtId="0" fontId="23" fillId="14" borderId="0" xfId="0" applyNumberFormat="1" applyFont="1" applyFill="1" applyBorder="1" applyAlignment="1">
      <alignment horizontal="center" vertical="center"/>
    </xf>
    <xf numFmtId="0" fontId="23" fillId="14" borderId="0" xfId="0" applyNumberFormat="1" applyFont="1" applyFill="1" applyBorder="1" applyAlignment="1">
      <alignment horizontal="left" vertical="center"/>
    </xf>
    <xf numFmtId="49" fontId="23" fillId="14" borderId="0" xfId="0" applyNumberFormat="1" applyFont="1" applyFill="1" applyBorder="1" applyAlignment="1">
      <alignment horizontal="left" vertical="center"/>
    </xf>
    <xf numFmtId="0" fontId="23" fillId="14" borderId="0" xfId="0" applyNumberFormat="1" applyFont="1" applyFill="1" applyAlignment="1">
      <alignment horizontal="center" vertical="center"/>
    </xf>
    <xf numFmtId="2" fontId="23" fillId="14" borderId="0" xfId="0" applyNumberFormat="1" applyFont="1" applyFill="1" applyBorder="1" applyAlignment="1">
      <alignment horizontal="left" vertical="center"/>
    </xf>
    <xf numFmtId="0" fontId="11" fillId="14" borderId="0" xfId="0" applyNumberFormat="1" applyFont="1" applyFill="1" applyBorder="1" applyAlignment="1">
      <alignment horizontal="center" vertical="center" wrapText="1"/>
    </xf>
    <xf numFmtId="1" fontId="11" fillId="14" borderId="0" xfId="0" applyNumberFormat="1" applyFont="1" applyFill="1" applyBorder="1" applyAlignment="1">
      <alignment horizontal="center" vertical="center"/>
    </xf>
    <xf numFmtId="1" fontId="23" fillId="14" borderId="0" xfId="0" applyNumberFormat="1" applyFont="1" applyFill="1" applyBorder="1" applyAlignment="1">
      <alignment horizontal="center" vertical="center" wrapText="1"/>
    </xf>
    <xf numFmtId="1" fontId="23" fillId="14" borderId="0" xfId="0" applyNumberFormat="1" applyFont="1" applyFill="1" applyBorder="1" applyAlignment="1">
      <alignment horizontal="center" vertical="center"/>
    </xf>
    <xf numFmtId="0" fontId="11" fillId="14" borderId="0" xfId="0" applyFont="1" applyFill="1" applyBorder="1" applyAlignment="1">
      <alignment horizontal="center" vertical="center"/>
    </xf>
    <xf numFmtId="1" fontId="11" fillId="14" borderId="0" xfId="0" applyNumberFormat="1" applyFont="1" applyFill="1" applyBorder="1" applyAlignment="1">
      <alignment horizontal="right" vertical="center"/>
    </xf>
    <xf numFmtId="2" fontId="11" fillId="14" borderId="0" xfId="0" applyNumberFormat="1" applyFont="1" applyFill="1" applyBorder="1" applyAlignment="1">
      <alignment horizontal="center" vertical="center"/>
    </xf>
    <xf numFmtId="0" fontId="23" fillId="14" borderId="0" xfId="0" applyFont="1" applyFill="1" applyBorder="1" applyAlignment="1">
      <alignment vertical="center"/>
    </xf>
    <xf numFmtId="0" fontId="55" fillId="2" borderId="7" xfId="0" applyNumberFormat="1" applyFont="1" applyFill="1" applyBorder="1" applyAlignment="1">
      <alignment horizontal="center" vertical="center" wrapText="1"/>
    </xf>
    <xf numFmtId="0" fontId="55" fillId="13" borderId="7" xfId="0" applyFont="1" applyFill="1" applyBorder="1" applyAlignment="1">
      <alignment horizontal="left" vertical="center" wrapText="1"/>
    </xf>
    <xf numFmtId="49" fontId="55" fillId="13" borderId="8" xfId="0" applyNumberFormat="1" applyFont="1" applyFill="1" applyBorder="1" applyAlignment="1">
      <alignment horizontal="center" vertical="center"/>
    </xf>
    <xf numFmtId="0" fontId="55" fillId="2" borderId="8" xfId="0" applyFont="1" applyFill="1" applyBorder="1" applyAlignment="1">
      <alignment vertical="center"/>
    </xf>
    <xf numFmtId="0" fontId="55" fillId="2" borderId="8" xfId="0" applyNumberFormat="1" applyFont="1" applyFill="1" applyBorder="1" applyAlignment="1">
      <alignment horizontal="left" vertical="center" wrapText="1"/>
    </xf>
    <xf numFmtId="1" fontId="56" fillId="2" borderId="14" xfId="0" applyNumberFormat="1" applyFont="1" applyFill="1" applyBorder="1" applyAlignment="1">
      <alignment horizontal="center" vertical="center"/>
    </xf>
    <xf numFmtId="2" fontId="56" fillId="2" borderId="9" xfId="0" applyNumberFormat="1" applyFont="1" applyFill="1" applyBorder="1" applyAlignment="1">
      <alignment horizontal="center" vertical="center"/>
    </xf>
    <xf numFmtId="49" fontId="55" fillId="2" borderId="9" xfId="0" applyNumberFormat="1" applyFont="1" applyFill="1" applyBorder="1" applyAlignment="1">
      <alignment vertical="center"/>
    </xf>
    <xf numFmtId="0" fontId="55" fillId="2" borderId="8" xfId="0" applyNumberFormat="1" applyFont="1" applyFill="1" applyBorder="1" applyAlignment="1">
      <alignment vertical="center"/>
    </xf>
    <xf numFmtId="0" fontId="55" fillId="2" borderId="13" xfId="0" applyNumberFormat="1" applyFont="1" applyFill="1" applyBorder="1" applyAlignment="1">
      <alignment horizontal="center" vertical="center"/>
    </xf>
    <xf numFmtId="0" fontId="55" fillId="2" borderId="1" xfId="0" applyNumberFormat="1" applyFont="1" applyFill="1" applyBorder="1" applyAlignment="1">
      <alignment horizontal="left" vertical="center"/>
    </xf>
    <xf numFmtId="49" fontId="55" fillId="2" borderId="9" xfId="0" applyNumberFormat="1" applyFont="1" applyFill="1" applyBorder="1" applyAlignment="1">
      <alignment horizontal="left" vertical="center"/>
    </xf>
    <xf numFmtId="0" fontId="56" fillId="2" borderId="1" xfId="0" applyNumberFormat="1" applyFont="1" applyFill="1" applyBorder="1" applyAlignment="1">
      <alignment horizontal="center" vertical="center" wrapText="1"/>
    </xf>
    <xf numFmtId="1" fontId="56" fillId="2" borderId="7" xfId="0" applyNumberFormat="1" applyFont="1" applyFill="1" applyBorder="1" applyAlignment="1">
      <alignment horizontal="right" vertical="center"/>
    </xf>
    <xf numFmtId="2" fontId="56" fillId="2" borderId="1" xfId="0" applyNumberFormat="1" applyFont="1" applyFill="1" applyBorder="1" applyAlignment="1">
      <alignment horizontal="center" vertical="center"/>
    </xf>
    <xf numFmtId="0" fontId="17" fillId="0" borderId="0" xfId="0" applyNumberFormat="1" applyFont="1" applyBorder="1" applyAlignment="1">
      <alignment vertical="center"/>
    </xf>
    <xf numFmtId="1" fontId="17" fillId="0" borderId="0" xfId="0" applyNumberFormat="1" applyFont="1" applyBorder="1" applyAlignment="1">
      <alignment horizontal="right" vertical="center"/>
    </xf>
    <xf numFmtId="1" fontId="23" fillId="0" borderId="0" xfId="0" applyNumberFormat="1" applyFont="1" applyBorder="1" applyAlignment="1">
      <alignment horizontal="center" vertical="center" wrapText="1"/>
    </xf>
    <xf numFmtId="2" fontId="17" fillId="0" borderId="0" xfId="0" applyNumberFormat="1" applyFont="1" applyBorder="1" applyAlignment="1">
      <alignment vertical="center"/>
    </xf>
    <xf numFmtId="0" fontId="28" fillId="0" borderId="0" xfId="0" applyFont="1" applyFill="1" applyBorder="1" applyAlignment="1">
      <alignment horizontal="left"/>
    </xf>
    <xf numFmtId="2" fontId="55" fillId="0" borderId="8" xfId="0" applyNumberFormat="1" applyFont="1" applyBorder="1" applyAlignment="1">
      <alignment horizontal="left" vertical="center"/>
    </xf>
    <xf numFmtId="0" fontId="55" fillId="2" borderId="8" xfId="0" applyFont="1" applyFill="1" applyBorder="1" applyAlignment="1">
      <alignment horizontal="left" vertical="center"/>
    </xf>
    <xf numFmtId="49" fontId="22" fillId="2" borderId="0" xfId="0" applyNumberFormat="1" applyFont="1" applyFill="1" applyBorder="1" applyAlignment="1">
      <alignment horizontal="left" vertical="center" wrapText="1"/>
    </xf>
    <xf numFmtId="2" fontId="31" fillId="2" borderId="0" xfId="0" applyNumberFormat="1" applyFont="1" applyFill="1" applyAlignment="1">
      <alignment horizontal="left"/>
    </xf>
    <xf numFmtId="49" fontId="21" fillId="2" borderId="18" xfId="0" applyNumberFormat="1" applyFont="1" applyFill="1" applyBorder="1" applyAlignment="1">
      <alignment horizontal="left" vertical="center"/>
    </xf>
    <xf numFmtId="0" fontId="14" fillId="2" borderId="0" xfId="0" applyNumberFormat="1" applyFont="1" applyFill="1" applyBorder="1" applyAlignment="1">
      <alignment horizontal="left"/>
    </xf>
    <xf numFmtId="49" fontId="55" fillId="0" borderId="8" xfId="0" applyNumberFormat="1" applyFont="1" applyBorder="1" applyAlignment="1">
      <alignment horizontal="left" vertical="center"/>
    </xf>
    <xf numFmtId="49" fontId="55" fillId="13" borderId="8" xfId="0" applyNumberFormat="1" applyFont="1" applyFill="1" applyBorder="1" applyAlignment="1">
      <alignment horizontal="left" vertical="center"/>
    </xf>
    <xf numFmtId="2" fontId="21" fillId="0" borderId="21" xfId="0" applyNumberFormat="1" applyFont="1" applyFill="1" applyBorder="1" applyAlignment="1">
      <alignment horizontal="center" vertical="center"/>
    </xf>
    <xf numFmtId="2" fontId="21" fillId="0" borderId="20" xfId="0" applyNumberFormat="1" applyFont="1" applyFill="1" applyBorder="1" applyAlignment="1">
      <alignment horizontal="center" vertical="center"/>
    </xf>
    <xf numFmtId="0" fontId="21" fillId="0" borderId="20" xfId="0" applyFont="1" applyFill="1" applyBorder="1" applyAlignment="1">
      <alignment horizontal="left" vertical="center"/>
    </xf>
    <xf numFmtId="49" fontId="21" fillId="20" borderId="18" xfId="0" applyNumberFormat="1" applyFont="1" applyFill="1" applyBorder="1" applyAlignment="1">
      <alignment horizontal="left" vertical="center"/>
    </xf>
    <xf numFmtId="49" fontId="21" fillId="0" borderId="18" xfId="0" applyNumberFormat="1" applyFont="1" applyFill="1" applyBorder="1" applyAlignment="1">
      <alignment horizontal="left" vertical="center"/>
    </xf>
    <xf numFmtId="0" fontId="55" fillId="13" borderId="9" xfId="0" applyNumberFormat="1" applyFont="1" applyFill="1" applyBorder="1" applyAlignment="1">
      <alignment horizontal="left" vertical="center"/>
    </xf>
    <xf numFmtId="0" fontId="55" fillId="2" borderId="7" xfId="0" applyFont="1" applyFill="1" applyBorder="1" applyAlignment="1">
      <alignment vertical="center"/>
    </xf>
    <xf numFmtId="0" fontId="38" fillId="0" borderId="0" xfId="0" applyNumberFormat="1" applyFont="1" applyBorder="1" applyAlignment="1">
      <alignment horizontal="left" wrapText="1"/>
    </xf>
    <xf numFmtId="2" fontId="22" fillId="2" borderId="0" xfId="0" applyNumberFormat="1" applyFont="1" applyFill="1" applyBorder="1" applyAlignment="1">
      <alignment horizontal="left"/>
    </xf>
    <xf numFmtId="49" fontId="55" fillId="0" borderId="9" xfId="0" applyNumberFormat="1" applyFont="1" applyBorder="1" applyAlignment="1">
      <alignment horizontal="left" vertical="center"/>
    </xf>
    <xf numFmtId="2" fontId="17" fillId="0" borderId="0" xfId="0" applyNumberFormat="1" applyFont="1" applyBorder="1" applyAlignment="1">
      <alignment horizontal="left" vertical="center"/>
    </xf>
    <xf numFmtId="2" fontId="17" fillId="0" borderId="0" xfId="0" applyNumberFormat="1" applyFont="1" applyAlignment="1">
      <alignment horizontal="left" vertical="center"/>
    </xf>
    <xf numFmtId="2" fontId="31" fillId="2" borderId="0" xfId="0" applyNumberFormat="1" applyFont="1" applyFill="1" applyAlignment="1">
      <alignment wrapText="1"/>
    </xf>
    <xf numFmtId="0" fontId="28" fillId="2" borderId="0" xfId="0" applyFont="1" applyFill="1" applyBorder="1" applyAlignment="1">
      <alignment horizontal="right" wrapText="1"/>
    </xf>
    <xf numFmtId="2" fontId="55" fillId="2" borderId="1" xfId="0" applyNumberFormat="1" applyFont="1" applyFill="1" applyBorder="1" applyAlignment="1">
      <alignment horizontal="left" vertical="center" wrapText="1"/>
    </xf>
    <xf numFmtId="1" fontId="11" fillId="13" borderId="26" xfId="0" applyNumberFormat="1" applyFont="1" applyFill="1" applyBorder="1" applyAlignment="1">
      <alignment horizontal="center" vertical="center" wrapText="1"/>
    </xf>
    <xf numFmtId="0" fontId="21" fillId="2" borderId="0" xfId="0" applyNumberFormat="1" applyFont="1" applyFill="1" applyAlignment="1">
      <alignment horizontal="center" vertical="center" wrapText="1"/>
    </xf>
    <xf numFmtId="2" fontId="21" fillId="2" borderId="18" xfId="0" applyNumberFormat="1" applyFont="1" applyFill="1" applyBorder="1" applyAlignment="1">
      <alignment horizontal="left" vertical="center"/>
    </xf>
    <xf numFmtId="0" fontId="11" fillId="14" borderId="1" xfId="0" applyNumberFormat="1" applyFont="1" applyFill="1" applyBorder="1" applyAlignment="1">
      <alignment horizontal="center" vertical="center" wrapText="1"/>
    </xf>
    <xf numFmtId="0" fontId="21" fillId="0" borderId="18" xfId="0" applyFont="1" applyBorder="1" applyAlignment="1">
      <alignment horizontal="left"/>
    </xf>
    <xf numFmtId="49" fontId="21" fillId="2" borderId="0" xfId="0" applyNumberFormat="1" applyFont="1" applyFill="1" applyBorder="1" applyAlignment="1">
      <alignment horizontal="left" vertical="center"/>
    </xf>
    <xf numFmtId="2" fontId="21" fillId="0" borderId="18" xfId="0" applyNumberFormat="1" applyFont="1" applyFill="1" applyBorder="1" applyAlignment="1">
      <alignment horizontal="left" vertical="center"/>
    </xf>
    <xf numFmtId="1" fontId="21" fillId="0" borderId="20" xfId="0" applyNumberFormat="1" applyFont="1" applyFill="1" applyBorder="1" applyAlignment="1">
      <alignment horizontal="left" vertical="center"/>
    </xf>
    <xf numFmtId="0" fontId="15" fillId="0" borderId="0" xfId="0" applyFont="1" applyAlignment="1">
      <alignment horizontal="left" vertical="center"/>
    </xf>
    <xf numFmtId="0" fontId="28" fillId="2" borderId="0" xfId="0" applyFont="1" applyFill="1" applyBorder="1" applyAlignment="1">
      <alignment horizontal="left"/>
    </xf>
    <xf numFmtId="1" fontId="28" fillId="2" borderId="1" xfId="0" applyNumberFormat="1" applyFont="1" applyFill="1" applyBorder="1" applyAlignment="1">
      <alignment horizontal="left" vertical="center" wrapText="1"/>
    </xf>
    <xf numFmtId="0" fontId="17" fillId="0" borderId="0" xfId="0" applyFont="1" applyBorder="1" applyAlignment="1">
      <alignment horizontal="left" vertical="center"/>
    </xf>
    <xf numFmtId="0" fontId="21" fillId="2" borderId="18" xfId="0" applyNumberFormat="1" applyFont="1" applyFill="1" applyBorder="1" applyAlignment="1">
      <alignment horizontal="left" vertical="center"/>
    </xf>
    <xf numFmtId="0" fontId="21" fillId="20" borderId="18" xfId="0" applyNumberFormat="1" applyFont="1" applyFill="1" applyBorder="1" applyAlignment="1">
      <alignment horizontal="left" vertical="center"/>
    </xf>
    <xf numFmtId="0" fontId="21" fillId="13" borderId="18" xfId="0" applyNumberFormat="1" applyFont="1" applyFill="1" applyBorder="1" applyAlignment="1">
      <alignment horizontal="left" vertical="center"/>
    </xf>
    <xf numFmtId="2" fontId="21" fillId="13" borderId="18" xfId="0" applyNumberFormat="1" applyFont="1" applyFill="1" applyBorder="1" applyAlignment="1">
      <alignment horizontal="left" vertical="center"/>
    </xf>
    <xf numFmtId="49" fontId="21" fillId="13" borderId="18" xfId="0" applyNumberFormat="1" applyFont="1" applyFill="1" applyBorder="1" applyAlignment="1">
      <alignment horizontal="left" vertical="center"/>
    </xf>
    <xf numFmtId="49" fontId="21" fillId="13" borderId="0" xfId="0" applyNumberFormat="1" applyFont="1" applyFill="1" applyBorder="1" applyAlignment="1">
      <alignment horizontal="left" vertical="center"/>
    </xf>
    <xf numFmtId="49" fontId="21" fillId="20" borderId="1" xfId="0" applyNumberFormat="1" applyFont="1" applyFill="1" applyBorder="1" applyAlignment="1">
      <alignment vertical="center"/>
    </xf>
    <xf numFmtId="2" fontId="21" fillId="20" borderId="21" xfId="0" applyNumberFormat="1" applyFont="1" applyFill="1" applyBorder="1" applyAlignment="1">
      <alignment horizontal="center" vertical="center"/>
    </xf>
    <xf numFmtId="1" fontId="21" fillId="20" borderId="20" xfId="0" applyNumberFormat="1" applyFont="1" applyFill="1" applyBorder="1" applyAlignment="1">
      <alignment horizontal="left" vertical="center"/>
    </xf>
    <xf numFmtId="49" fontId="21" fillId="20" borderId="21" xfId="0" applyNumberFormat="1" applyFont="1" applyFill="1" applyBorder="1" applyAlignment="1">
      <alignment horizontal="right" vertical="center" wrapText="1"/>
    </xf>
    <xf numFmtId="1" fontId="21" fillId="20" borderId="9" xfId="0" applyNumberFormat="1" applyFont="1" applyFill="1" applyBorder="1" applyAlignment="1">
      <alignment horizontal="left" vertical="center" wrapText="1"/>
    </xf>
    <xf numFmtId="0" fontId="6" fillId="26" borderId="9" xfId="0" applyFont="1" applyFill="1" applyBorder="1" applyAlignment="1">
      <alignment horizontal="center" vertical="center"/>
    </xf>
    <xf numFmtId="0" fontId="0" fillId="0" borderId="0" xfId="0" applyAlignment="1">
      <alignment horizontal="center"/>
    </xf>
    <xf numFmtId="0" fontId="6" fillId="26" borderId="1" xfId="0" applyFont="1" applyFill="1" applyBorder="1" applyAlignment="1">
      <alignment horizontal="center" vertical="center"/>
    </xf>
    <xf numFmtId="0" fontId="6" fillId="26" borderId="1" xfId="0" applyFont="1" applyFill="1" applyBorder="1" applyAlignment="1">
      <alignment horizontal="center" vertical="center"/>
    </xf>
    <xf numFmtId="49" fontId="22" fillId="2" borderId="0" xfId="0" applyNumberFormat="1" applyFont="1" applyFill="1" applyBorder="1" applyAlignment="1">
      <alignment horizontal="center"/>
    </xf>
    <xf numFmtId="49" fontId="55" fillId="2" borderId="7" xfId="0" applyNumberFormat="1" applyFont="1" applyFill="1" applyBorder="1" applyAlignment="1">
      <alignment horizontal="center" vertical="center"/>
    </xf>
    <xf numFmtId="0" fontId="2" fillId="0" borderId="20" xfId="0" applyFont="1" applyBorder="1" applyAlignment="1">
      <alignment horizontal="center" vertical="center" wrapText="1"/>
    </xf>
    <xf numFmtId="0" fontId="6" fillId="26" borderId="0" xfId="0" applyFont="1" applyFill="1"/>
    <xf numFmtId="0" fontId="58" fillId="26" borderId="7" xfId="0" applyFont="1" applyFill="1" applyBorder="1" applyAlignment="1">
      <alignment horizontal="right" vertical="center"/>
    </xf>
    <xf numFmtId="0" fontId="58" fillId="26" borderId="8" xfId="0" applyFont="1" applyFill="1" applyBorder="1" applyAlignment="1">
      <alignment horizontal="left" vertical="center"/>
    </xf>
    <xf numFmtId="0" fontId="6" fillId="26" borderId="0" xfId="0" applyFont="1" applyFill="1" applyAlignment="1">
      <alignment horizontal="left"/>
    </xf>
    <xf numFmtId="2" fontId="21" fillId="2" borderId="21" xfId="0" applyNumberFormat="1" applyFont="1" applyFill="1" applyBorder="1" applyAlignment="1">
      <alignment horizontal="center" vertical="center"/>
    </xf>
    <xf numFmtId="2" fontId="21" fillId="2" borderId="20" xfId="0" applyNumberFormat="1" applyFont="1" applyFill="1" applyBorder="1" applyAlignment="1">
      <alignment horizontal="center" vertical="center"/>
    </xf>
    <xf numFmtId="1" fontId="21" fillId="2" borderId="1" xfId="0" applyNumberFormat="1" applyFont="1" applyFill="1" applyBorder="1" applyAlignment="1">
      <alignment horizontal="right" vertical="center"/>
    </xf>
    <xf numFmtId="2" fontId="21" fillId="2" borderId="33" xfId="0" applyNumberFormat="1" applyFont="1" applyFill="1" applyBorder="1" applyAlignment="1">
      <alignment horizontal="left" vertical="center"/>
    </xf>
    <xf numFmtId="0" fontId="0" fillId="13" borderId="0" xfId="0" applyFill="1" applyAlignment="1">
      <alignment horizontal="left"/>
    </xf>
    <xf numFmtId="0" fontId="15" fillId="13" borderId="0" xfId="0" applyFont="1" applyFill="1" applyAlignment="1">
      <alignment vertical="center"/>
    </xf>
    <xf numFmtId="0" fontId="6" fillId="26" borderId="1" xfId="0" applyFont="1" applyFill="1" applyBorder="1" applyAlignment="1">
      <alignment horizontal="center" vertical="center"/>
    </xf>
    <xf numFmtId="2" fontId="11" fillId="13" borderId="1" xfId="0" applyNumberFormat="1" applyFont="1" applyFill="1" applyBorder="1" applyAlignment="1">
      <alignment horizontal="center" vertical="center"/>
    </xf>
    <xf numFmtId="0" fontId="6" fillId="26" borderId="1" xfId="0" applyFont="1" applyFill="1" applyBorder="1" applyAlignment="1">
      <alignment horizontal="left" vertical="center"/>
    </xf>
    <xf numFmtId="0" fontId="15" fillId="0" borderId="0" xfId="0" applyFont="1" applyAlignment="1">
      <alignment horizontal="right" vertical="center"/>
    </xf>
    <xf numFmtId="0" fontId="3" fillId="13" borderId="21" xfId="0" applyFont="1" applyFill="1" applyBorder="1" applyAlignment="1">
      <alignment horizontal="center" vertical="center" wrapText="1"/>
    </xf>
    <xf numFmtId="2" fontId="11" fillId="13" borderId="14" xfId="0" applyNumberFormat="1" applyFont="1" applyFill="1" applyBorder="1" applyAlignment="1">
      <alignment horizontal="right" vertical="center"/>
    </xf>
    <xf numFmtId="2" fontId="11" fillId="13" borderId="24" xfId="0" applyNumberFormat="1" applyFont="1" applyFill="1" applyBorder="1" applyAlignment="1">
      <alignment horizontal="center" vertical="center"/>
    </xf>
    <xf numFmtId="2" fontId="55" fillId="2" borderId="14" xfId="0" applyNumberFormat="1" applyFont="1" applyFill="1" applyBorder="1" applyAlignment="1">
      <alignment horizontal="right" vertical="center"/>
    </xf>
    <xf numFmtId="2" fontId="55" fillId="2" borderId="24" xfId="0" applyNumberFormat="1" applyFont="1" applyFill="1" applyBorder="1" applyAlignment="1">
      <alignment horizontal="center" vertical="center" wrapText="1"/>
    </xf>
    <xf numFmtId="0" fontId="55" fillId="13" borderId="14" xfId="0" applyNumberFormat="1" applyFont="1" applyFill="1" applyBorder="1" applyAlignment="1">
      <alignment horizontal="center" vertical="center"/>
    </xf>
    <xf numFmtId="0" fontId="55" fillId="13" borderId="13" xfId="0" applyNumberFormat="1" applyFont="1" applyFill="1" applyBorder="1" applyAlignment="1">
      <alignment horizontal="left" vertical="center" wrapText="1"/>
    </xf>
    <xf numFmtId="49" fontId="55" fillId="0" borderId="1" xfId="0" applyNumberFormat="1" applyFont="1" applyBorder="1" applyAlignment="1">
      <alignment horizontal="right" vertical="center"/>
    </xf>
    <xf numFmtId="2" fontId="55" fillId="0" borderId="1" xfId="0" applyNumberFormat="1" applyFont="1" applyBorder="1" applyAlignment="1">
      <alignment horizontal="left" vertical="center"/>
    </xf>
    <xf numFmtId="0" fontId="56" fillId="2" borderId="1" xfId="0" applyFont="1" applyFill="1" applyBorder="1" applyAlignment="1">
      <alignment horizontal="left" vertical="center"/>
    </xf>
    <xf numFmtId="0" fontId="21" fillId="13" borderId="0" xfId="0" applyNumberFormat="1" applyFont="1" applyFill="1" applyBorder="1" applyAlignment="1">
      <alignment horizontal="left" vertical="center" wrapText="1"/>
    </xf>
    <xf numFmtId="0" fontId="23" fillId="0" borderId="0" xfId="0" applyFont="1" applyAlignment="1">
      <alignment vertical="center"/>
    </xf>
    <xf numFmtId="0" fontId="11" fillId="0" borderId="1" xfId="0" applyFont="1" applyBorder="1" applyAlignment="1">
      <alignment horizontal="center" vertical="center" wrapText="1"/>
    </xf>
    <xf numFmtId="0" fontId="11" fillId="14" borderId="1" xfId="0" applyFont="1" applyFill="1" applyBorder="1" applyAlignment="1">
      <alignment horizontal="center" vertical="center" wrapText="1"/>
    </xf>
    <xf numFmtId="0" fontId="11" fillId="0" borderId="6" xfId="0" applyFont="1" applyBorder="1" applyAlignment="1">
      <alignment vertical="center" wrapText="1"/>
    </xf>
    <xf numFmtId="0" fontId="23" fillId="2" borderId="0" xfId="0" applyFont="1" applyFill="1" applyAlignment="1">
      <alignment horizontal="right" vertical="center"/>
    </xf>
    <xf numFmtId="0" fontId="23" fillId="2" borderId="0" xfId="0" applyFont="1" applyFill="1" applyAlignment="1">
      <alignment horizontal="left" vertical="center"/>
    </xf>
    <xf numFmtId="0" fontId="11" fillId="0" borderId="10" xfId="0" applyFont="1" applyBorder="1" applyAlignment="1">
      <alignment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3" xfId="0" applyFont="1" applyBorder="1" applyAlignment="1">
      <alignment vertical="center" wrapText="1"/>
    </xf>
    <xf numFmtId="1" fontId="59" fillId="14" borderId="1" xfId="0" applyNumberFormat="1" applyFont="1" applyFill="1" applyBorder="1" applyAlignment="1">
      <alignment horizontal="center" vertical="center" textRotation="90" wrapText="1"/>
    </xf>
    <xf numFmtId="0" fontId="23" fillId="0" borderId="0" xfId="0" applyFont="1" applyBorder="1" applyAlignment="1">
      <alignment vertical="center"/>
    </xf>
    <xf numFmtId="0" fontId="11" fillId="0" borderId="8" xfId="0" applyFont="1" applyBorder="1" applyAlignment="1">
      <alignment vertical="center" wrapText="1"/>
    </xf>
    <xf numFmtId="0" fontId="23" fillId="0" borderId="0" xfId="0" applyFont="1" applyAlignment="1">
      <alignment horizontal="left" vertical="center"/>
    </xf>
    <xf numFmtId="49" fontId="23" fillId="2" borderId="21" xfId="0" applyNumberFormat="1" applyFont="1" applyFill="1" applyBorder="1" applyAlignment="1">
      <alignment horizontal="center" vertical="center" wrapText="1"/>
    </xf>
    <xf numFmtId="49" fontId="23" fillId="2" borderId="18" xfId="0" applyNumberFormat="1" applyFont="1" applyFill="1" applyBorder="1" applyAlignment="1">
      <alignment horizontal="left" vertical="center" wrapText="1"/>
    </xf>
    <xf numFmtId="49" fontId="23" fillId="2" borderId="18" xfId="0" applyNumberFormat="1" applyFont="1" applyFill="1" applyBorder="1" applyAlignment="1">
      <alignment horizontal="center" vertical="center" wrapText="1"/>
    </xf>
    <xf numFmtId="0" fontId="23" fillId="2" borderId="20" xfId="0" applyNumberFormat="1" applyFont="1" applyFill="1" applyBorder="1" applyAlignment="1">
      <alignment horizontal="left" vertical="center" wrapText="1"/>
    </xf>
    <xf numFmtId="2" fontId="23" fillId="13" borderId="1" xfId="0" applyNumberFormat="1" applyFont="1" applyFill="1" applyBorder="1" applyAlignment="1">
      <alignment horizontal="left" vertical="center"/>
    </xf>
    <xf numFmtId="1" fontId="23" fillId="13" borderId="9" xfId="0" applyNumberFormat="1" applyFont="1" applyFill="1" applyBorder="1" applyAlignment="1">
      <alignment horizontal="center" vertical="center"/>
    </xf>
    <xf numFmtId="49" fontId="23" fillId="13" borderId="1" xfId="0" applyNumberFormat="1" applyFont="1" applyFill="1" applyBorder="1" applyAlignment="1">
      <alignment vertical="center"/>
    </xf>
    <xf numFmtId="0" fontId="60" fillId="13" borderId="13" xfId="0" applyNumberFormat="1" applyFont="1" applyFill="1" applyBorder="1" applyAlignment="1">
      <alignment horizontal="left" vertical="center" wrapText="1"/>
    </xf>
    <xf numFmtId="0" fontId="23" fillId="2" borderId="7" xfId="0" applyNumberFormat="1" applyFont="1" applyFill="1" applyBorder="1" applyAlignment="1">
      <alignment horizontal="left" vertical="center" wrapText="1"/>
    </xf>
    <xf numFmtId="0" fontId="55" fillId="13" borderId="13" xfId="0" applyNumberFormat="1" applyFont="1" applyFill="1" applyBorder="1" applyAlignment="1">
      <alignment horizontal="center" vertical="center" wrapText="1"/>
    </xf>
    <xf numFmtId="0" fontId="23" fillId="2" borderId="24" xfId="0" applyNumberFormat="1" applyFont="1" applyFill="1" applyBorder="1" applyAlignment="1">
      <alignment horizontal="left" vertical="center" wrapText="1"/>
    </xf>
    <xf numFmtId="0" fontId="23" fillId="13" borderId="13" xfId="0" applyNumberFormat="1" applyFont="1" applyFill="1" applyBorder="1" applyAlignment="1">
      <alignment vertical="center" wrapText="1"/>
    </xf>
    <xf numFmtId="2" fontId="23" fillId="2" borderId="31" xfId="0" applyNumberFormat="1" applyFont="1" applyFill="1" applyBorder="1" applyAlignment="1">
      <alignment horizontal="center" vertical="center"/>
    </xf>
    <xf numFmtId="2" fontId="23" fillId="2" borderId="32" xfId="0" applyNumberFormat="1" applyFont="1" applyFill="1" applyBorder="1" applyAlignment="1">
      <alignment vertical="center"/>
    </xf>
    <xf numFmtId="0" fontId="23" fillId="13" borderId="14" xfId="0" applyFont="1" applyFill="1" applyBorder="1" applyAlignment="1">
      <alignment vertical="center"/>
    </xf>
    <xf numFmtId="0" fontId="46" fillId="0" borderId="1" xfId="0" applyFont="1" applyFill="1" applyBorder="1" applyAlignment="1">
      <alignment vertical="center"/>
    </xf>
    <xf numFmtId="0" fontId="23" fillId="2" borderId="7" xfId="0" applyNumberFormat="1" applyFont="1" applyFill="1" applyBorder="1" applyAlignment="1">
      <alignment horizontal="right" vertical="center"/>
    </xf>
    <xf numFmtId="0" fontId="23" fillId="2" borderId="18" xfId="0" applyNumberFormat="1" applyFont="1" applyFill="1" applyBorder="1" applyAlignment="1">
      <alignment horizontal="left" vertical="center"/>
    </xf>
    <xf numFmtId="0" fontId="23" fillId="2" borderId="20" xfId="0" applyNumberFormat="1" applyFont="1" applyFill="1" applyBorder="1" applyAlignment="1">
      <alignment horizontal="left" vertical="center"/>
    </xf>
    <xf numFmtId="2" fontId="23" fillId="0" borderId="1" xfId="0" applyNumberFormat="1" applyFont="1" applyFill="1" applyBorder="1" applyAlignment="1">
      <alignment horizontal="center" vertical="center"/>
    </xf>
    <xf numFmtId="2" fontId="23" fillId="0" borderId="7" xfId="0" applyNumberFormat="1" applyFont="1" applyFill="1" applyBorder="1" applyAlignment="1">
      <alignment horizontal="center" vertical="center"/>
    </xf>
    <xf numFmtId="2" fontId="23" fillId="0" borderId="21" xfId="0" applyNumberFormat="1" applyFont="1" applyFill="1" applyBorder="1" applyAlignment="1">
      <alignment horizontal="center" vertical="center"/>
    </xf>
    <xf numFmtId="2" fontId="23" fillId="0" borderId="18" xfId="0" applyNumberFormat="1" applyFont="1" applyFill="1" applyBorder="1" applyAlignment="1">
      <alignment horizontal="left" vertical="center"/>
    </xf>
    <xf numFmtId="2" fontId="23" fillId="0" borderId="18" xfId="0" applyNumberFormat="1" applyFont="1" applyFill="1" applyBorder="1" applyAlignment="1">
      <alignment horizontal="center" vertical="center"/>
    </xf>
    <xf numFmtId="1" fontId="23" fillId="0" borderId="20" xfId="0" applyNumberFormat="1" applyFont="1" applyFill="1" applyBorder="1" applyAlignment="1">
      <alignment horizontal="left" vertical="center"/>
    </xf>
    <xf numFmtId="0" fontId="11" fillId="6" borderId="14" xfId="0" applyFont="1" applyFill="1" applyBorder="1" applyAlignment="1">
      <alignment horizontal="center" vertical="center"/>
    </xf>
    <xf numFmtId="0" fontId="23" fillId="2" borderId="13" xfId="0" applyFont="1" applyFill="1" applyBorder="1" applyAlignment="1">
      <alignment horizontal="left" vertical="center"/>
    </xf>
    <xf numFmtId="1" fontId="23" fillId="2" borderId="7" xfId="0" applyNumberFormat="1" applyFont="1" applyFill="1" applyBorder="1" applyAlignment="1">
      <alignment horizontal="right" vertical="center"/>
    </xf>
    <xf numFmtId="2" fontId="23" fillId="2" borderId="18" xfId="0" applyNumberFormat="1" applyFont="1" applyFill="1" applyBorder="1" applyAlignment="1">
      <alignment horizontal="left" vertical="center"/>
    </xf>
    <xf numFmtId="1" fontId="23" fillId="2" borderId="33" xfId="0" applyNumberFormat="1" applyFont="1" applyFill="1" applyBorder="1" applyAlignment="1">
      <alignment horizontal="left" vertical="center"/>
    </xf>
    <xf numFmtId="2" fontId="23" fillId="2" borderId="7" xfId="0" applyNumberFormat="1" applyFont="1" applyFill="1" applyBorder="1" applyAlignment="1">
      <alignment horizontal="left" vertical="center"/>
    </xf>
    <xf numFmtId="49" fontId="23" fillId="2" borderId="21" xfId="0" applyNumberFormat="1" applyFont="1" applyFill="1" applyBorder="1" applyAlignment="1">
      <alignment horizontal="right" vertical="center"/>
    </xf>
    <xf numFmtId="49" fontId="23" fillId="2" borderId="18" xfId="0" applyNumberFormat="1" applyFont="1" applyFill="1" applyBorder="1" applyAlignment="1">
      <alignment horizontal="left" vertical="center"/>
    </xf>
    <xf numFmtId="49" fontId="23" fillId="2" borderId="18" xfId="0" applyNumberFormat="1" applyFont="1" applyFill="1" applyBorder="1" applyAlignment="1">
      <alignment horizontal="center" vertical="center"/>
    </xf>
    <xf numFmtId="0" fontId="23" fillId="2" borderId="8" xfId="0" applyNumberFormat="1" applyFont="1" applyFill="1" applyBorder="1" applyAlignment="1">
      <alignment horizontal="left" vertical="center" wrapText="1"/>
    </xf>
    <xf numFmtId="49" fontId="61" fillId="2" borderId="9" xfId="0" applyNumberFormat="1" applyFont="1" applyFill="1" applyBorder="1" applyAlignment="1">
      <alignment vertical="center" wrapText="1"/>
    </xf>
    <xf numFmtId="0" fontId="55" fillId="11" borderId="1" xfId="0" applyNumberFormat="1" applyFont="1" applyFill="1" applyBorder="1" applyAlignment="1">
      <alignment horizontal="center" vertical="center"/>
    </xf>
    <xf numFmtId="1" fontId="55" fillId="13" borderId="1" xfId="0" applyNumberFormat="1" applyFont="1" applyFill="1" applyBorder="1" applyAlignment="1">
      <alignment horizontal="center" vertical="center"/>
    </xf>
    <xf numFmtId="0" fontId="23" fillId="2" borderId="1" xfId="0" applyFont="1" applyFill="1" applyBorder="1" applyAlignment="1">
      <alignment horizontal="center" vertical="center"/>
    </xf>
    <xf numFmtId="1" fontId="23" fillId="2" borderId="8" xfId="0" applyNumberFormat="1" applyFont="1" applyFill="1" applyBorder="1" applyAlignment="1">
      <alignment horizontal="right" vertical="center" wrapText="1"/>
    </xf>
    <xf numFmtId="1" fontId="23" fillId="2" borderId="9" xfId="0" applyNumberFormat="1" applyFont="1" applyFill="1" applyBorder="1" applyAlignment="1">
      <alignment horizontal="left" vertical="center" wrapText="1"/>
    </xf>
    <xf numFmtId="49" fontId="23" fillId="2" borderId="21" xfId="0" applyNumberFormat="1" applyFont="1" applyFill="1" applyBorder="1" applyAlignment="1">
      <alignment horizontal="right" vertical="center" wrapText="1"/>
    </xf>
    <xf numFmtId="49" fontId="23" fillId="0" borderId="18" xfId="0" applyNumberFormat="1" applyFont="1" applyFill="1" applyBorder="1" applyAlignment="1">
      <alignment horizontal="left" vertical="center"/>
    </xf>
    <xf numFmtId="49" fontId="23" fillId="0" borderId="33" xfId="0" applyNumberFormat="1" applyFont="1" applyFill="1" applyBorder="1" applyAlignment="1">
      <alignment horizontal="right" vertical="center" wrapText="1"/>
    </xf>
    <xf numFmtId="49" fontId="23" fillId="0" borderId="8" xfId="0" applyNumberFormat="1" applyFont="1" applyFill="1" applyBorder="1" applyAlignment="1">
      <alignment horizontal="left" vertical="center"/>
    </xf>
    <xf numFmtId="0" fontId="23" fillId="0" borderId="9" xfId="0" applyNumberFormat="1" applyFont="1" applyFill="1" applyBorder="1" applyAlignment="1">
      <alignment horizontal="left" vertical="center" wrapText="1"/>
    </xf>
    <xf numFmtId="0" fontId="11" fillId="13" borderId="14" xfId="0" applyFont="1" applyFill="1" applyBorder="1" applyAlignment="1">
      <alignment horizontal="center" vertical="center"/>
    </xf>
    <xf numFmtId="0" fontId="34" fillId="2" borderId="13" xfId="0" applyFont="1" applyFill="1" applyBorder="1" applyAlignment="1">
      <alignment horizontal="left" vertical="center"/>
    </xf>
    <xf numFmtId="1" fontId="23" fillId="2" borderId="7" xfId="0" applyNumberFormat="1" applyFont="1" applyFill="1" applyBorder="1" applyAlignment="1">
      <alignment horizontal="right" vertical="center" wrapText="1"/>
    </xf>
    <xf numFmtId="0" fontId="23" fillId="2" borderId="9" xfId="0" applyFont="1" applyFill="1" applyBorder="1" applyAlignment="1">
      <alignment horizontal="left" vertical="center"/>
    </xf>
    <xf numFmtId="49" fontId="23" fillId="2" borderId="8" xfId="0" applyNumberFormat="1" applyFont="1" applyFill="1" applyBorder="1" applyAlignment="1">
      <alignment horizontal="right" vertical="center" wrapText="1"/>
    </xf>
    <xf numFmtId="49" fontId="23" fillId="2" borderId="8" xfId="0" applyNumberFormat="1" applyFont="1" applyFill="1" applyBorder="1" applyAlignment="1">
      <alignment horizontal="left" vertical="center"/>
    </xf>
    <xf numFmtId="49" fontId="61" fillId="2" borderId="9" xfId="0" applyNumberFormat="1" applyFont="1" applyFill="1" applyBorder="1" applyAlignment="1">
      <alignment vertical="center"/>
    </xf>
    <xf numFmtId="0" fontId="62" fillId="4" borderId="1" xfId="0" applyNumberFormat="1" applyFont="1" applyFill="1" applyBorder="1" applyAlignment="1">
      <alignment horizontal="center" vertical="center"/>
    </xf>
    <xf numFmtId="0" fontId="23" fillId="23" borderId="1" xfId="0" applyNumberFormat="1" applyFont="1" applyFill="1" applyBorder="1" applyAlignment="1">
      <alignment horizontal="left" vertical="center" wrapText="1"/>
    </xf>
    <xf numFmtId="1" fontId="23" fillId="2" borderId="7" xfId="0" applyNumberFormat="1" applyFont="1" applyFill="1" applyBorder="1" applyAlignment="1">
      <alignment horizontal="center" vertical="center"/>
    </xf>
    <xf numFmtId="0" fontId="23" fillId="4" borderId="1" xfId="0" applyFont="1" applyFill="1" applyBorder="1" applyAlignment="1">
      <alignment vertical="center"/>
    </xf>
    <xf numFmtId="0" fontId="23" fillId="2" borderId="14" xfId="0" applyNumberFormat="1" applyFont="1" applyFill="1" applyBorder="1" applyAlignment="1">
      <alignment horizontal="center" vertical="center"/>
    </xf>
    <xf numFmtId="0" fontId="23" fillId="2" borderId="15" xfId="0" applyNumberFormat="1" applyFont="1" applyFill="1" applyBorder="1" applyAlignment="1">
      <alignment horizontal="center" vertical="center" wrapText="1"/>
    </xf>
    <xf numFmtId="0" fontId="23" fillId="2" borderId="13" xfId="0" applyNumberFormat="1" applyFont="1" applyFill="1" applyBorder="1" applyAlignment="1">
      <alignment horizontal="center" vertical="center"/>
    </xf>
    <xf numFmtId="1" fontId="11" fillId="2" borderId="7" xfId="0" applyNumberFormat="1" applyFont="1" applyFill="1" applyBorder="1" applyAlignment="1">
      <alignment horizontal="right" vertical="center"/>
    </xf>
    <xf numFmtId="2" fontId="34" fillId="2" borderId="1" xfId="0" applyNumberFormat="1" applyFont="1" applyFill="1" applyBorder="1" applyAlignment="1">
      <alignment horizontal="center" vertical="center"/>
    </xf>
    <xf numFmtId="0" fontId="23" fillId="2" borderId="14" xfId="0" applyFont="1" applyFill="1" applyBorder="1" applyAlignment="1">
      <alignment vertical="center"/>
    </xf>
    <xf numFmtId="0" fontId="23" fillId="2" borderId="13" xfId="0" applyFont="1" applyFill="1" applyBorder="1" applyAlignment="1">
      <alignment vertical="center"/>
    </xf>
    <xf numFmtId="1" fontId="11" fillId="2" borderId="8" xfId="0" applyNumberFormat="1" applyFont="1" applyFill="1" applyBorder="1" applyAlignment="1">
      <alignment horizontal="center" vertical="center"/>
    </xf>
    <xf numFmtId="1" fontId="11" fillId="2" borderId="24" xfId="0" applyNumberFormat="1" applyFont="1" applyFill="1" applyBorder="1" applyAlignment="1">
      <alignment horizontal="center" vertical="center" wrapText="1"/>
    </xf>
    <xf numFmtId="0" fontId="23" fillId="2" borderId="13" xfId="0" applyNumberFormat="1" applyFont="1" applyFill="1" applyBorder="1" applyAlignment="1">
      <alignment horizontal="center" vertical="center" wrapText="1"/>
    </xf>
    <xf numFmtId="0" fontId="23" fillId="2" borderId="8" xfId="0" applyNumberFormat="1" applyFont="1" applyFill="1" applyBorder="1" applyAlignment="1">
      <alignment horizontal="center" vertical="center" wrapText="1"/>
    </xf>
    <xf numFmtId="0" fontId="23" fillId="2" borderId="9" xfId="0" applyNumberFormat="1" applyFont="1" applyFill="1" applyBorder="1" applyAlignment="1">
      <alignment horizontal="center" vertical="center"/>
    </xf>
    <xf numFmtId="0" fontId="23" fillId="2" borderId="20" xfId="0" applyNumberFormat="1" applyFont="1" applyFill="1" applyBorder="1" applyAlignment="1">
      <alignment horizontal="right" vertical="center" wrapText="1"/>
    </xf>
    <xf numFmtId="0" fontId="23" fillId="2" borderId="33" xfId="0" applyNumberFormat="1" applyFont="1" applyFill="1" applyBorder="1" applyAlignment="1">
      <alignment horizontal="center" vertical="center" wrapText="1"/>
    </xf>
    <xf numFmtId="0" fontId="23" fillId="2" borderId="8" xfId="0" applyFont="1" applyFill="1" applyBorder="1" applyAlignment="1">
      <alignment vertical="center"/>
    </xf>
    <xf numFmtId="0" fontId="63" fillId="14" borderId="8" xfId="0" applyFont="1" applyFill="1" applyBorder="1" applyAlignment="1">
      <alignment vertical="center"/>
    </xf>
    <xf numFmtId="0" fontId="23" fillId="0" borderId="8" xfId="0" applyFont="1" applyFill="1" applyBorder="1" applyAlignment="1">
      <alignment vertical="center"/>
    </xf>
    <xf numFmtId="0" fontId="55" fillId="13" borderId="1" xfId="0" applyNumberFormat="1" applyFont="1" applyFill="1" applyBorder="1" applyAlignment="1">
      <alignment horizontal="center" vertical="center" wrapText="1"/>
    </xf>
    <xf numFmtId="0" fontId="23" fillId="0" borderId="13" xfId="0" applyFont="1" applyBorder="1" applyAlignment="1">
      <alignment horizontal="center" vertical="center"/>
    </xf>
    <xf numFmtId="0" fontId="23" fillId="14" borderId="1" xfId="0" applyFont="1" applyFill="1" applyBorder="1" applyAlignment="1">
      <alignment vertical="center"/>
    </xf>
    <xf numFmtId="0" fontId="23" fillId="14" borderId="3" xfId="0" applyFont="1" applyFill="1" applyBorder="1" applyAlignment="1">
      <alignment vertical="center"/>
    </xf>
    <xf numFmtId="0" fontId="22" fillId="2" borderId="0" xfId="0" applyFont="1" applyFill="1" applyBorder="1" applyAlignment="1">
      <alignment horizontal="left" wrapText="1"/>
    </xf>
    <xf numFmtId="0" fontId="0" fillId="0" borderId="0" xfId="0" applyAlignment="1">
      <alignment horizontal="center"/>
    </xf>
    <xf numFmtId="0" fontId="11" fillId="0" borderId="1" xfId="0" applyFont="1" applyBorder="1" applyAlignment="1">
      <alignment horizontal="center" vertical="center" wrapText="1"/>
    </xf>
    <xf numFmtId="0" fontId="2" fillId="0" borderId="0" xfId="0" applyFont="1" applyAlignment="1">
      <alignment horizontal="center"/>
    </xf>
    <xf numFmtId="0" fontId="14" fillId="0" borderId="0" xfId="0" applyFont="1" applyAlignment="1">
      <alignment wrapText="1"/>
    </xf>
    <xf numFmtId="0" fontId="23" fillId="0" borderId="13" xfId="0" applyFont="1" applyBorder="1" applyAlignment="1">
      <alignment horizontal="center" vertical="center" wrapText="1"/>
    </xf>
    <xf numFmtId="0" fontId="14" fillId="0" borderId="0" xfId="0" applyFont="1" applyAlignment="1">
      <alignment vertical="center" wrapText="1"/>
    </xf>
    <xf numFmtId="2" fontId="64" fillId="2" borderId="0" xfId="0" applyNumberFormat="1" applyFont="1" applyFill="1" applyAlignment="1">
      <alignment horizontal="left"/>
    </xf>
    <xf numFmtId="2" fontId="28" fillId="2" borderId="0" xfId="0" applyNumberFormat="1" applyFont="1" applyFill="1" applyAlignment="1">
      <alignment horizontal="left" wrapText="1"/>
    </xf>
    <xf numFmtId="2" fontId="64" fillId="2" borderId="0" xfId="0" applyNumberFormat="1" applyFont="1" applyFill="1" applyAlignment="1">
      <alignment horizontal="left" wrapText="1"/>
    </xf>
    <xf numFmtId="2" fontId="64" fillId="2" borderId="0" xfId="0" applyNumberFormat="1" applyFont="1" applyFill="1" applyAlignment="1">
      <alignment horizontal="center"/>
    </xf>
    <xf numFmtId="2" fontId="64" fillId="2" borderId="0" xfId="0" applyNumberFormat="1" applyFont="1" applyFill="1" applyAlignment="1"/>
    <xf numFmtId="0" fontId="22" fillId="2" borderId="0" xfId="0" applyNumberFormat="1" applyFont="1" applyFill="1" applyAlignment="1">
      <alignment horizontal="right"/>
    </xf>
    <xf numFmtId="0" fontId="22" fillId="2" borderId="0" xfId="0" applyNumberFormat="1" applyFont="1" applyFill="1" applyBorder="1" applyAlignment="1">
      <alignment horizontal="left"/>
    </xf>
    <xf numFmtId="0" fontId="11" fillId="0" borderId="1" xfId="0" applyFont="1" applyBorder="1" applyAlignment="1">
      <alignment vertical="center" wrapText="1"/>
    </xf>
    <xf numFmtId="0" fontId="11" fillId="0" borderId="7" xfId="0" applyFont="1" applyBorder="1" applyAlignment="1">
      <alignment vertical="center" wrapText="1"/>
    </xf>
    <xf numFmtId="0" fontId="11" fillId="14" borderId="3" xfId="0" applyFont="1" applyFill="1" applyBorder="1" applyAlignment="1">
      <alignment vertical="center" wrapText="1"/>
    </xf>
    <xf numFmtId="0" fontId="23" fillId="0" borderId="14" xfId="0" applyFont="1" applyBorder="1" applyAlignment="1">
      <alignment horizontal="center" vertical="center" wrapText="1"/>
    </xf>
    <xf numFmtId="0" fontId="57" fillId="26" borderId="0" xfId="0" applyFont="1" applyFill="1" applyAlignment="1">
      <alignment horizontal="center" vertical="center"/>
    </xf>
    <xf numFmtId="0" fontId="57" fillId="26" borderId="1" xfId="0" applyFont="1" applyFill="1" applyBorder="1" applyAlignment="1">
      <alignment horizontal="center" vertical="center" wrapText="1"/>
    </xf>
    <xf numFmtId="0" fontId="11" fillId="25" borderId="0" xfId="0" applyFont="1" applyFill="1" applyAlignment="1">
      <alignment horizontal="center" vertical="center"/>
    </xf>
    <xf numFmtId="0" fontId="11" fillId="25" borderId="1" xfId="0" applyFont="1" applyFill="1" applyBorder="1" applyAlignment="1">
      <alignment horizontal="center" vertical="center"/>
    </xf>
    <xf numFmtId="0" fontId="11" fillId="25" borderId="1" xfId="0" applyFont="1" applyFill="1" applyBorder="1" applyAlignment="1">
      <alignment horizontal="center" vertical="center" wrapText="1"/>
    </xf>
    <xf numFmtId="0" fontId="11" fillId="14" borderId="1" xfId="0" applyFont="1" applyFill="1" applyBorder="1" applyAlignment="1">
      <alignment horizontal="center" vertical="center"/>
    </xf>
    <xf numFmtId="0" fontId="11" fillId="25" borderId="7" xfId="0" applyFont="1" applyFill="1" applyBorder="1" applyAlignment="1">
      <alignment vertical="center"/>
    </xf>
    <xf numFmtId="0" fontId="11" fillId="14" borderId="1" xfId="0" applyFont="1" applyFill="1" applyBorder="1" applyAlignment="1">
      <alignment vertical="center"/>
    </xf>
    <xf numFmtId="0" fontId="11" fillId="25" borderId="14" xfId="0" applyFont="1" applyFill="1" applyBorder="1" applyAlignment="1">
      <alignment horizontal="center" vertical="center" wrapText="1"/>
    </xf>
    <xf numFmtId="0" fontId="11" fillId="25" borderId="24" xfId="0" applyFont="1" applyFill="1" applyBorder="1" applyAlignment="1">
      <alignment horizontal="center" vertical="center"/>
    </xf>
    <xf numFmtId="0" fontId="11" fillId="25" borderId="13" xfId="0" applyFont="1" applyFill="1" applyBorder="1" applyAlignment="1">
      <alignment horizontal="center" vertical="center"/>
    </xf>
    <xf numFmtId="0" fontId="11" fillId="25" borderId="7" xfId="0" applyFont="1" applyFill="1" applyBorder="1" applyAlignment="1">
      <alignment horizontal="center" vertical="center"/>
    </xf>
    <xf numFmtId="0" fontId="11" fillId="25" borderId="9" xfId="0" applyFont="1" applyFill="1" applyBorder="1" applyAlignment="1">
      <alignment horizontal="center" vertical="center"/>
    </xf>
    <xf numFmtId="0" fontId="11" fillId="25" borderId="8" xfId="0" applyFont="1" applyFill="1" applyBorder="1" applyAlignment="1">
      <alignment horizontal="center" vertical="center"/>
    </xf>
    <xf numFmtId="0" fontId="11" fillId="25" borderId="8" xfId="0" applyFont="1" applyFill="1" applyBorder="1" applyAlignment="1">
      <alignment horizontal="left" vertical="center"/>
    </xf>
    <xf numFmtId="0" fontId="11" fillId="24" borderId="8" xfId="0" applyFont="1" applyFill="1" applyBorder="1" applyAlignment="1">
      <alignment horizontal="center" vertical="center" textRotation="90"/>
    </xf>
    <xf numFmtId="0" fontId="11" fillId="24" borderId="9" xfId="0" applyFont="1" applyFill="1" applyBorder="1" applyAlignment="1">
      <alignment horizontal="center" vertical="center"/>
    </xf>
    <xf numFmtId="0" fontId="11" fillId="24" borderId="7" xfId="0" applyFont="1" applyFill="1" applyBorder="1" applyAlignment="1">
      <alignment horizontal="center" vertical="center"/>
    </xf>
    <xf numFmtId="0" fontId="11" fillId="14" borderId="9" xfId="0" applyFont="1" applyFill="1" applyBorder="1" applyAlignment="1">
      <alignment horizontal="center" vertical="center"/>
    </xf>
    <xf numFmtId="0" fontId="11" fillId="14" borderId="0" xfId="0" applyFont="1" applyFill="1" applyAlignment="1">
      <alignment horizontal="left" vertical="center"/>
    </xf>
    <xf numFmtId="0" fontId="11" fillId="14" borderId="0" xfId="0" applyFont="1" applyFill="1" applyAlignment="1">
      <alignment horizontal="center" vertical="center"/>
    </xf>
    <xf numFmtId="0" fontId="11" fillId="14" borderId="0" xfId="0" applyFont="1" applyFill="1" applyAlignment="1">
      <alignment horizontal="center" wrapText="1"/>
    </xf>
    <xf numFmtId="0" fontId="11" fillId="14" borderId="0" xfId="0" applyFont="1" applyFill="1" applyAlignment="1">
      <alignment horizontal="left" wrapText="1"/>
    </xf>
    <xf numFmtId="0" fontId="57" fillId="26" borderId="13" xfId="0" applyFont="1" applyFill="1" applyBorder="1" applyAlignment="1">
      <alignment horizontal="center" vertical="center"/>
    </xf>
    <xf numFmtId="0" fontId="11" fillId="25" borderId="21" xfId="0" applyFont="1" applyFill="1" applyBorder="1" applyAlignment="1">
      <alignment horizontal="center" vertical="center"/>
    </xf>
    <xf numFmtId="0" fontId="11" fillId="25" borderId="20" xfId="0" applyFont="1" applyFill="1" applyBorder="1" applyAlignment="1">
      <alignment horizontal="center" vertical="center" wrapText="1"/>
    </xf>
    <xf numFmtId="0" fontId="11" fillId="25" borderId="9" xfId="0" applyFont="1" applyFill="1" applyBorder="1" applyAlignment="1">
      <alignment horizontal="left" vertical="center"/>
    </xf>
    <xf numFmtId="0" fontId="11" fillId="25" borderId="8" xfId="0" applyFont="1" applyFill="1" applyBorder="1" applyAlignment="1">
      <alignment horizontal="center" vertical="center" wrapText="1"/>
    </xf>
    <xf numFmtId="0" fontId="55" fillId="13" borderId="1" xfId="0" applyFont="1" applyFill="1" applyBorder="1" applyAlignment="1">
      <alignment horizontal="center" vertical="center"/>
    </xf>
    <xf numFmtId="0" fontId="28" fillId="0" borderId="1" xfId="0" applyFont="1" applyBorder="1" applyAlignment="1">
      <alignment horizontal="center" vertical="center" wrapText="1"/>
    </xf>
    <xf numFmtId="0" fontId="0" fillId="0" borderId="0" xfId="0" applyAlignment="1">
      <alignment horizontal="center" wrapText="1"/>
    </xf>
    <xf numFmtId="0" fontId="55" fillId="13" borderId="24" xfId="0" applyFont="1" applyFill="1" applyBorder="1" applyAlignment="1">
      <alignment horizontal="center" vertical="center" wrapText="1"/>
    </xf>
    <xf numFmtId="0" fontId="21" fillId="13" borderId="2" xfId="0" applyNumberFormat="1" applyFont="1" applyFill="1" applyBorder="1" applyAlignment="1">
      <alignment horizontal="center" vertical="center" wrapText="1"/>
    </xf>
    <xf numFmtId="1" fontId="21" fillId="13" borderId="9" xfId="0" applyNumberFormat="1" applyFont="1" applyFill="1" applyBorder="1" applyAlignment="1">
      <alignment horizontal="left" vertical="center" wrapText="1"/>
    </xf>
    <xf numFmtId="0" fontId="23" fillId="2" borderId="1" xfId="0" applyFont="1" applyFill="1" applyBorder="1" applyAlignment="1">
      <alignment horizontal="left" vertical="center" wrapText="1"/>
    </xf>
    <xf numFmtId="49" fontId="23" fillId="2" borderId="1" xfId="0" applyNumberFormat="1" applyFont="1" applyFill="1" applyBorder="1" applyAlignment="1">
      <alignment horizontal="center" vertical="center" textRotation="90" wrapText="1"/>
    </xf>
    <xf numFmtId="49" fontId="23" fillId="2" borderId="1" xfId="0" applyNumberFormat="1" applyFont="1" applyFill="1" applyBorder="1" applyAlignment="1">
      <alignment horizontal="center" vertical="center" wrapText="1"/>
    </xf>
    <xf numFmtId="0" fontId="23" fillId="13" borderId="7" xfId="0" applyFont="1" applyFill="1" applyBorder="1" applyAlignment="1">
      <alignment horizontal="left" vertical="center" wrapText="1"/>
    </xf>
    <xf numFmtId="0" fontId="23" fillId="2" borderId="13" xfId="0" applyNumberFormat="1" applyFont="1" applyFill="1" applyBorder="1" applyAlignment="1">
      <alignment horizontal="left" vertical="center" wrapText="1"/>
    </xf>
    <xf numFmtId="2" fontId="23" fillId="2" borderId="1" xfId="0" applyNumberFormat="1" applyFont="1" applyFill="1" applyBorder="1" applyAlignment="1">
      <alignment horizontal="right" vertical="center"/>
    </xf>
    <xf numFmtId="2" fontId="23" fillId="2" borderId="14" xfId="0" applyNumberFormat="1" applyFont="1" applyFill="1" applyBorder="1" applyAlignment="1">
      <alignment horizontal="right" vertical="center"/>
    </xf>
    <xf numFmtId="2" fontId="23" fillId="2" borderId="24" xfId="0" applyNumberFormat="1" applyFont="1" applyFill="1" applyBorder="1" applyAlignment="1">
      <alignment horizontal="center" vertical="center" wrapText="1"/>
    </xf>
    <xf numFmtId="2" fontId="23" fillId="2" borderId="13" xfId="0" applyNumberFormat="1" applyFont="1" applyFill="1" applyBorder="1" applyAlignment="1">
      <alignment horizontal="center" vertical="center"/>
    </xf>
    <xf numFmtId="0" fontId="23" fillId="2" borderId="14" xfId="0" applyNumberFormat="1" applyFont="1" applyFill="1" applyBorder="1" applyAlignment="1">
      <alignment horizontal="left" vertical="center" wrapText="1"/>
    </xf>
    <xf numFmtId="2" fontId="23" fillId="2" borderId="7" xfId="0" applyNumberFormat="1" applyFont="1" applyFill="1" applyBorder="1" applyAlignment="1">
      <alignment horizontal="center" vertical="center"/>
    </xf>
    <xf numFmtId="0" fontId="23" fillId="2" borderId="7" xfId="0" applyNumberFormat="1" applyFont="1" applyFill="1" applyBorder="1" applyAlignment="1">
      <alignment vertical="center" wrapText="1"/>
    </xf>
    <xf numFmtId="2" fontId="23" fillId="2" borderId="1" xfId="0" applyNumberFormat="1" applyFont="1" applyFill="1" applyBorder="1" applyAlignment="1">
      <alignment horizontal="center" vertical="center" wrapText="1"/>
    </xf>
    <xf numFmtId="0" fontId="23" fillId="2" borderId="7" xfId="0" applyNumberFormat="1" applyFont="1" applyFill="1" applyBorder="1" applyAlignment="1">
      <alignment horizontal="right" vertical="center" wrapText="1"/>
    </xf>
    <xf numFmtId="49" fontId="23" fillId="13" borderId="8" xfId="0" applyNumberFormat="1" applyFont="1" applyFill="1" applyBorder="1" applyAlignment="1">
      <alignment horizontal="center" vertical="center"/>
    </xf>
    <xf numFmtId="49" fontId="23" fillId="13" borderId="8" xfId="0" applyNumberFormat="1" applyFont="1" applyFill="1" applyBorder="1" applyAlignment="1">
      <alignment horizontal="left" vertical="center"/>
    </xf>
    <xf numFmtId="0" fontId="23" fillId="13" borderId="9" xfId="0" applyNumberFormat="1" applyFont="1" applyFill="1" applyBorder="1" applyAlignment="1">
      <alignment horizontal="left" vertical="center"/>
    </xf>
    <xf numFmtId="0" fontId="23" fillId="13" borderId="14" xfId="0" applyNumberFormat="1" applyFont="1" applyFill="1" applyBorder="1" applyAlignment="1">
      <alignment horizontal="center" vertical="center"/>
    </xf>
    <xf numFmtId="0" fontId="23" fillId="13" borderId="13" xfId="0" applyNumberFormat="1" applyFont="1" applyFill="1" applyBorder="1" applyAlignment="1">
      <alignment horizontal="left" vertical="center" wrapText="1"/>
    </xf>
    <xf numFmtId="0" fontId="23" fillId="2" borderId="7" xfId="0" applyFont="1" applyFill="1" applyBorder="1" applyAlignment="1">
      <alignment vertical="center"/>
    </xf>
    <xf numFmtId="0" fontId="23" fillId="2" borderId="8" xfId="0" applyFont="1" applyFill="1" applyBorder="1" applyAlignment="1">
      <alignment horizontal="left" vertical="center"/>
    </xf>
    <xf numFmtId="49" fontId="23" fillId="0" borderId="9" xfId="0" applyNumberFormat="1" applyFont="1" applyBorder="1" applyAlignment="1">
      <alignment horizontal="left" vertical="center"/>
    </xf>
    <xf numFmtId="49" fontId="23" fillId="0" borderId="7" xfId="0" applyNumberFormat="1" applyFont="1" applyBorder="1" applyAlignment="1">
      <alignment horizontal="right" vertical="center"/>
    </xf>
    <xf numFmtId="2" fontId="23" fillId="0" borderId="8" xfId="0" applyNumberFormat="1" applyFont="1" applyBorder="1" applyAlignment="1">
      <alignment horizontal="left" vertical="center"/>
    </xf>
    <xf numFmtId="49" fontId="23" fillId="2" borderId="7" xfId="0" applyNumberFormat="1" applyFont="1" applyFill="1" applyBorder="1" applyAlignment="1">
      <alignment horizontal="center" vertical="center"/>
    </xf>
    <xf numFmtId="49" fontId="23" fillId="0" borderId="8" xfId="0" applyNumberFormat="1" applyFont="1" applyBorder="1" applyAlignment="1">
      <alignment horizontal="left" vertical="center"/>
    </xf>
    <xf numFmtId="0" fontId="23" fillId="0" borderId="9" xfId="0" applyNumberFormat="1" applyFont="1" applyBorder="1" applyAlignment="1">
      <alignment horizontal="left" vertical="center"/>
    </xf>
    <xf numFmtId="1" fontId="21" fillId="13" borderId="2" xfId="0" applyNumberFormat="1" applyFont="1" applyFill="1" applyBorder="1" applyAlignment="1">
      <alignment horizontal="center" vertical="center"/>
    </xf>
    <xf numFmtId="0" fontId="21" fillId="13" borderId="2" xfId="0" applyFont="1" applyFill="1" applyBorder="1" applyAlignment="1">
      <alignment horizontal="center" vertical="center"/>
    </xf>
    <xf numFmtId="49" fontId="23" fillId="13" borderId="1" xfId="0" applyNumberFormat="1" applyFont="1" applyFill="1" applyBorder="1" applyAlignment="1">
      <alignment vertical="center" wrapText="1"/>
    </xf>
    <xf numFmtId="2" fontId="23" fillId="13" borderId="7" xfId="0" applyNumberFormat="1" applyFont="1" applyFill="1" applyBorder="1" applyAlignment="1">
      <alignment horizontal="right" vertical="center"/>
    </xf>
    <xf numFmtId="0" fontId="14" fillId="0" borderId="0" xfId="0" applyNumberFormat="1" applyFont="1" applyBorder="1" applyAlignment="1">
      <alignment horizontal="center" wrapText="1"/>
    </xf>
    <xf numFmtId="0" fontId="51" fillId="0" borderId="0" xfId="0" applyFont="1" applyAlignment="1">
      <alignment horizontal="center" vertical="center"/>
    </xf>
    <xf numFmtId="1" fontId="21" fillId="0" borderId="20" xfId="0" applyNumberFormat="1" applyFont="1" applyFill="1" applyBorder="1" applyAlignment="1">
      <alignment vertical="center"/>
    </xf>
    <xf numFmtId="0" fontId="44" fillId="2" borderId="24" xfId="0" applyNumberFormat="1" applyFont="1" applyFill="1" applyBorder="1" applyAlignment="1">
      <alignment horizontal="left" vertical="center" wrapText="1"/>
    </xf>
    <xf numFmtId="0" fontId="17" fillId="2" borderId="3" xfId="0" applyNumberFormat="1" applyFont="1" applyFill="1" applyBorder="1" applyAlignment="1">
      <alignment horizontal="center" vertical="center" wrapText="1"/>
    </xf>
    <xf numFmtId="0" fontId="17" fillId="2" borderId="15" xfId="0" applyNumberFormat="1" applyFont="1" applyFill="1" applyBorder="1" applyAlignment="1">
      <alignment horizontal="center" vertical="center"/>
    </xf>
    <xf numFmtId="0" fontId="17" fillId="2" borderId="8" xfId="0" applyNumberFormat="1" applyFont="1" applyFill="1" applyBorder="1" applyAlignment="1">
      <alignment horizontal="center" vertical="center"/>
    </xf>
    <xf numFmtId="0" fontId="17" fillId="2" borderId="8" xfId="0" applyNumberFormat="1" applyFont="1" applyFill="1" applyBorder="1" applyAlignment="1">
      <alignment horizontal="left" vertical="center"/>
    </xf>
    <xf numFmtId="0" fontId="17" fillId="2" borderId="9" xfId="0" applyNumberFormat="1" applyFont="1" applyFill="1" applyBorder="1" applyAlignment="1">
      <alignment horizontal="center" vertical="center" wrapText="1"/>
    </xf>
    <xf numFmtId="2" fontId="17" fillId="2" borderId="7" xfId="0" applyNumberFormat="1" applyFont="1" applyFill="1" applyBorder="1" applyAlignment="1">
      <alignment horizontal="left" vertical="center"/>
    </xf>
    <xf numFmtId="0" fontId="18" fillId="2" borderId="9" xfId="0" applyNumberFormat="1" applyFont="1" applyFill="1" applyBorder="1" applyAlignment="1">
      <alignment horizontal="center" vertical="center" wrapText="1"/>
    </xf>
    <xf numFmtId="1" fontId="17" fillId="2" borderId="8" xfId="0" applyNumberFormat="1" applyFont="1" applyFill="1" applyBorder="1" applyAlignment="1">
      <alignment horizontal="center" vertical="center" wrapText="1"/>
    </xf>
    <xf numFmtId="1" fontId="19" fillId="2" borderId="9" xfId="0" applyNumberFormat="1" applyFont="1" applyFill="1" applyBorder="1" applyAlignment="1">
      <alignment horizontal="center" vertical="center"/>
    </xf>
    <xf numFmtId="1" fontId="18" fillId="2" borderId="8" xfId="0" applyNumberFormat="1" applyFont="1" applyFill="1" applyBorder="1" applyAlignment="1">
      <alignment horizontal="center" vertical="center"/>
    </xf>
    <xf numFmtId="0" fontId="18" fillId="2" borderId="9" xfId="0" applyFont="1" applyFill="1" applyBorder="1" applyAlignment="1">
      <alignment horizontal="center" vertical="center"/>
    </xf>
    <xf numFmtId="1" fontId="12" fillId="2" borderId="8" xfId="0" applyNumberFormat="1" applyFont="1" applyFill="1" applyBorder="1" applyAlignment="1">
      <alignment horizontal="right" vertical="center"/>
    </xf>
    <xf numFmtId="2" fontId="18" fillId="2" borderId="7" xfId="0" applyNumberFormat="1" applyFont="1" applyFill="1" applyBorder="1" applyAlignment="1">
      <alignment horizontal="center" vertical="center"/>
    </xf>
    <xf numFmtId="0" fontId="19" fillId="2" borderId="8" xfId="0" applyFont="1" applyFill="1" applyBorder="1" applyAlignment="1">
      <alignment vertical="center"/>
    </xf>
    <xf numFmtId="0" fontId="23" fillId="13" borderId="0" xfId="0" applyFont="1" applyFill="1" applyBorder="1" applyAlignment="1">
      <alignment vertical="center"/>
    </xf>
    <xf numFmtId="0" fontId="45" fillId="0" borderId="1" xfId="0" applyNumberFormat="1" applyFont="1" applyFill="1" applyBorder="1" applyAlignment="1">
      <alignment horizontal="center" vertical="center" wrapText="1"/>
    </xf>
    <xf numFmtId="2" fontId="17" fillId="2" borderId="0" xfId="0" applyNumberFormat="1" applyFont="1" applyFill="1" applyBorder="1" applyAlignment="1">
      <alignment vertical="center"/>
    </xf>
    <xf numFmtId="2" fontId="17" fillId="2" borderId="0"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0" fontId="17" fillId="0" borderId="17" xfId="0" applyFont="1" applyBorder="1" applyAlignment="1">
      <alignment horizontal="left" vertical="center"/>
    </xf>
    <xf numFmtId="0" fontId="21" fillId="17" borderId="25" xfId="0" applyNumberFormat="1" applyFont="1" applyFill="1" applyBorder="1" applyAlignment="1">
      <alignment vertical="center" wrapText="1"/>
    </xf>
    <xf numFmtId="0" fontId="21" fillId="27" borderId="25" xfId="0" applyNumberFormat="1" applyFont="1" applyFill="1" applyBorder="1" applyAlignment="1">
      <alignment vertical="center" wrapText="1"/>
    </xf>
    <xf numFmtId="0" fontId="55" fillId="13" borderId="0" xfId="0" applyNumberFormat="1" applyFont="1" applyFill="1" applyBorder="1" applyAlignment="1">
      <alignment horizontal="center" vertical="center" wrapText="1"/>
    </xf>
    <xf numFmtId="49" fontId="23" fillId="2" borderId="0" xfId="0" applyNumberFormat="1" applyFont="1" applyFill="1" applyBorder="1" applyAlignment="1">
      <alignment horizontal="center" vertical="center" wrapText="1"/>
    </xf>
    <xf numFmtId="49" fontId="23" fillId="2" borderId="0" xfId="0" applyNumberFormat="1" applyFont="1" applyFill="1" applyBorder="1" applyAlignment="1">
      <alignment horizontal="left" vertical="center" wrapText="1"/>
    </xf>
    <xf numFmtId="2" fontId="23" fillId="13" borderId="0" xfId="0" applyNumberFormat="1" applyFont="1" applyFill="1" applyBorder="1" applyAlignment="1">
      <alignment horizontal="left" vertical="center"/>
    </xf>
    <xf numFmtId="1" fontId="23" fillId="13" borderId="0" xfId="0" applyNumberFormat="1" applyFont="1" applyFill="1" applyBorder="1" applyAlignment="1">
      <alignment horizontal="center" vertical="center"/>
    </xf>
    <xf numFmtId="49" fontId="23" fillId="13" borderId="0" xfId="0" applyNumberFormat="1" applyFont="1" applyFill="1" applyBorder="1" applyAlignment="1">
      <alignment vertical="center"/>
    </xf>
    <xf numFmtId="0" fontId="60" fillId="13" borderId="0" xfId="0" applyNumberFormat="1" applyFont="1" applyFill="1" applyBorder="1" applyAlignment="1">
      <alignment horizontal="left" vertical="center" wrapText="1"/>
    </xf>
    <xf numFmtId="0" fontId="44" fillId="2" borderId="0" xfId="0" applyNumberFormat="1" applyFont="1" applyFill="1" applyBorder="1" applyAlignment="1">
      <alignment horizontal="left" vertical="center" wrapText="1"/>
    </xf>
    <xf numFmtId="0" fontId="23" fillId="13" borderId="0" xfId="0" applyNumberFormat="1" applyFont="1" applyFill="1" applyBorder="1" applyAlignment="1">
      <alignment vertical="center" wrapText="1"/>
    </xf>
    <xf numFmtId="2" fontId="23" fillId="2" borderId="0" xfId="0" applyNumberFormat="1" applyFont="1" applyFill="1" applyBorder="1" applyAlignment="1">
      <alignment vertical="center"/>
    </xf>
    <xf numFmtId="0" fontId="55" fillId="13" borderId="0" xfId="0" applyFont="1" applyFill="1" applyBorder="1" applyAlignment="1">
      <alignment horizontal="center" vertical="center" wrapText="1"/>
    </xf>
    <xf numFmtId="0" fontId="23" fillId="0" borderId="0" xfId="0" applyFont="1" applyBorder="1" applyAlignment="1">
      <alignment horizontal="center" vertical="center"/>
    </xf>
    <xf numFmtId="0" fontId="46" fillId="0" borderId="0" xfId="0" applyFont="1" applyFill="1" applyBorder="1" applyAlignment="1">
      <alignment vertical="center"/>
    </xf>
    <xf numFmtId="0" fontId="23" fillId="2" borderId="0" xfId="0" applyNumberFormat="1" applyFont="1" applyFill="1" applyBorder="1" applyAlignment="1">
      <alignment horizontal="right" vertical="center"/>
    </xf>
    <xf numFmtId="2" fontId="23" fillId="0" borderId="0" xfId="0" applyNumberFormat="1" applyFont="1" applyFill="1" applyBorder="1" applyAlignment="1">
      <alignment horizontal="center" vertical="center"/>
    </xf>
    <xf numFmtId="2" fontId="23" fillId="0" borderId="0" xfId="0" applyNumberFormat="1" applyFont="1" applyFill="1" applyBorder="1" applyAlignment="1">
      <alignment horizontal="left" vertical="center"/>
    </xf>
    <xf numFmtId="1" fontId="23" fillId="0" borderId="0" xfId="0" applyNumberFormat="1" applyFont="1" applyFill="1" applyBorder="1" applyAlignment="1">
      <alignment horizontal="left" vertical="center"/>
    </xf>
    <xf numFmtId="0" fontId="11" fillId="6" borderId="0" xfId="0" applyFont="1" applyFill="1" applyBorder="1" applyAlignment="1">
      <alignment horizontal="center" vertical="center"/>
    </xf>
    <xf numFmtId="1" fontId="23" fillId="2" borderId="0" xfId="0" applyNumberFormat="1" applyFont="1" applyFill="1" applyBorder="1" applyAlignment="1">
      <alignment horizontal="right" vertical="center"/>
    </xf>
    <xf numFmtId="1" fontId="23" fillId="2" borderId="0" xfId="0" applyNumberFormat="1" applyFont="1" applyFill="1" applyBorder="1" applyAlignment="1">
      <alignment horizontal="left" vertical="center"/>
    </xf>
    <xf numFmtId="49" fontId="23" fillId="2" borderId="0" xfId="0" applyNumberFormat="1" applyFont="1" applyFill="1" applyBorder="1" applyAlignment="1">
      <alignment horizontal="right" vertical="center"/>
    </xf>
    <xf numFmtId="49" fontId="61" fillId="2" borderId="0" xfId="0" applyNumberFormat="1" applyFont="1" applyFill="1" applyBorder="1" applyAlignment="1">
      <alignment vertical="center" wrapText="1"/>
    </xf>
    <xf numFmtId="0" fontId="55" fillId="11" borderId="0" xfId="0" applyNumberFormat="1" applyFont="1" applyFill="1" applyBorder="1" applyAlignment="1">
      <alignment horizontal="center" vertical="center"/>
    </xf>
    <xf numFmtId="1" fontId="55" fillId="13" borderId="0" xfId="0" applyNumberFormat="1" applyFont="1" applyFill="1" applyBorder="1" applyAlignment="1">
      <alignment horizontal="center" vertical="center"/>
    </xf>
    <xf numFmtId="0" fontId="23" fillId="2" borderId="0" xfId="0" applyFont="1" applyFill="1" applyBorder="1" applyAlignment="1">
      <alignment horizontal="center" vertical="center"/>
    </xf>
    <xf numFmtId="1" fontId="23" fillId="2" borderId="0" xfId="0" applyNumberFormat="1" applyFont="1" applyFill="1" applyBorder="1" applyAlignment="1">
      <alignment horizontal="right" vertical="center" wrapText="1"/>
    </xf>
    <xf numFmtId="1" fontId="23" fillId="2" borderId="0" xfId="0" applyNumberFormat="1" applyFont="1" applyFill="1" applyBorder="1" applyAlignment="1">
      <alignment horizontal="left" vertical="center" wrapText="1"/>
    </xf>
    <xf numFmtId="49" fontId="23" fillId="2" borderId="0" xfId="0" applyNumberFormat="1" applyFont="1" applyFill="1" applyBorder="1" applyAlignment="1">
      <alignment horizontal="right" vertical="center" wrapText="1"/>
    </xf>
    <xf numFmtId="49" fontId="23" fillId="0" borderId="0" xfId="0" applyNumberFormat="1" applyFont="1" applyFill="1" applyBorder="1" applyAlignment="1">
      <alignment horizontal="left" vertical="center"/>
    </xf>
    <xf numFmtId="49" fontId="23" fillId="0" borderId="0" xfId="0" applyNumberFormat="1" applyFont="1" applyFill="1" applyBorder="1" applyAlignment="1">
      <alignment horizontal="right" vertical="center" wrapText="1"/>
    </xf>
    <xf numFmtId="0" fontId="23" fillId="0" borderId="0" xfId="0" applyNumberFormat="1" applyFont="1" applyFill="1" applyBorder="1" applyAlignment="1">
      <alignment horizontal="left" vertical="center" wrapText="1"/>
    </xf>
    <xf numFmtId="0" fontId="34" fillId="2" borderId="0" xfId="0" applyFont="1" applyFill="1" applyBorder="1" applyAlignment="1">
      <alignment horizontal="left" vertical="center"/>
    </xf>
    <xf numFmtId="49" fontId="61" fillId="2" borderId="0" xfId="0" applyNumberFormat="1" applyFont="1" applyFill="1" applyBorder="1" applyAlignment="1">
      <alignment vertical="center"/>
    </xf>
    <xf numFmtId="0" fontId="62" fillId="4" borderId="0" xfId="0" applyNumberFormat="1" applyFont="1" applyFill="1" applyBorder="1" applyAlignment="1">
      <alignment horizontal="center" vertical="center"/>
    </xf>
    <xf numFmtId="0" fontId="55" fillId="13" borderId="0" xfId="0" applyFont="1" applyFill="1" applyBorder="1" applyAlignment="1">
      <alignment horizontal="center" vertical="center"/>
    </xf>
    <xf numFmtId="0" fontId="23" fillId="23" borderId="0" xfId="0" applyNumberFormat="1" applyFont="1" applyFill="1" applyBorder="1" applyAlignment="1">
      <alignment horizontal="left" vertical="center" wrapText="1"/>
    </xf>
    <xf numFmtId="0" fontId="23" fillId="4" borderId="0" xfId="0" applyFont="1" applyFill="1" applyBorder="1" applyAlignment="1">
      <alignment vertical="center"/>
    </xf>
    <xf numFmtId="2" fontId="34" fillId="2" borderId="0" xfId="0" applyNumberFormat="1" applyFont="1" applyFill="1" applyBorder="1" applyAlignment="1">
      <alignment horizontal="center" vertical="center"/>
    </xf>
    <xf numFmtId="1" fontId="11" fillId="2" borderId="0" xfId="0" applyNumberFormat="1" applyFont="1" applyFill="1" applyBorder="1" applyAlignment="1">
      <alignment horizontal="center" vertical="center" wrapText="1"/>
    </xf>
    <xf numFmtId="0" fontId="23" fillId="2" borderId="0" xfId="0" applyNumberFormat="1" applyFont="1" applyFill="1" applyBorder="1" applyAlignment="1">
      <alignment horizontal="right" vertical="center" wrapText="1"/>
    </xf>
    <xf numFmtId="0" fontId="63" fillId="14" borderId="0" xfId="0" applyFont="1" applyFill="1" applyBorder="1" applyAlignment="1">
      <alignment vertical="center"/>
    </xf>
    <xf numFmtId="0" fontId="23" fillId="0" borderId="0" xfId="0" applyFont="1" applyFill="1" applyBorder="1" applyAlignment="1">
      <alignment vertical="center"/>
    </xf>
    <xf numFmtId="0" fontId="17" fillId="2" borderId="10" xfId="0" applyNumberFormat="1" applyFont="1" applyFill="1" applyBorder="1" applyAlignment="1">
      <alignment horizontal="center" vertical="center" wrapText="1"/>
    </xf>
    <xf numFmtId="0" fontId="17" fillId="2" borderId="29" xfId="0" applyNumberFormat="1" applyFont="1" applyFill="1" applyBorder="1" applyAlignment="1">
      <alignment horizontal="left" vertical="center"/>
    </xf>
    <xf numFmtId="0" fontId="17" fillId="2" borderId="30" xfId="0" applyNumberFormat="1" applyFont="1" applyFill="1" applyBorder="1" applyAlignment="1">
      <alignment horizontal="center" vertical="center"/>
    </xf>
    <xf numFmtId="0" fontId="17" fillId="2" borderId="29" xfId="0" applyNumberFormat="1" applyFont="1" applyFill="1" applyBorder="1" applyAlignment="1">
      <alignment vertical="center"/>
    </xf>
    <xf numFmtId="0" fontId="17" fillId="2" borderId="17" xfId="0" applyNumberFormat="1" applyFont="1" applyFill="1" applyBorder="1" applyAlignment="1">
      <alignment vertical="center"/>
    </xf>
    <xf numFmtId="0" fontId="17" fillId="2" borderId="17" xfId="0" applyNumberFormat="1" applyFont="1" applyFill="1" applyBorder="1" applyAlignment="1">
      <alignment horizontal="center" vertical="center"/>
    </xf>
    <xf numFmtId="0" fontId="17" fillId="2" borderId="17" xfId="0" applyNumberFormat="1" applyFont="1" applyFill="1" applyBorder="1" applyAlignment="1">
      <alignment horizontal="left" vertical="center"/>
    </xf>
    <xf numFmtId="0" fontId="17" fillId="2" borderId="11" xfId="0" applyNumberFormat="1" applyFont="1" applyFill="1" applyBorder="1" applyAlignment="1">
      <alignment horizontal="center" vertical="center" wrapText="1"/>
    </xf>
    <xf numFmtId="49" fontId="24" fillId="2" borderId="11" xfId="0" applyNumberFormat="1" applyFont="1" applyFill="1" applyBorder="1" applyAlignment="1">
      <alignment horizontal="left" vertical="center"/>
    </xf>
    <xf numFmtId="2" fontId="17" fillId="2" borderId="6" xfId="0" applyNumberFormat="1" applyFont="1" applyFill="1" applyBorder="1" applyAlignment="1">
      <alignment horizontal="left" vertical="center"/>
    </xf>
    <xf numFmtId="0" fontId="18" fillId="2" borderId="11" xfId="0" applyNumberFormat="1" applyFont="1" applyFill="1" applyBorder="1" applyAlignment="1">
      <alignment horizontal="center" vertical="center" wrapText="1"/>
    </xf>
    <xf numFmtId="1" fontId="12" fillId="2" borderId="6" xfId="0" applyNumberFormat="1" applyFont="1" applyFill="1" applyBorder="1" applyAlignment="1">
      <alignment horizontal="center" vertical="center"/>
    </xf>
    <xf numFmtId="1" fontId="17" fillId="2" borderId="17" xfId="0" applyNumberFormat="1" applyFont="1" applyFill="1" applyBorder="1" applyAlignment="1">
      <alignment horizontal="center" vertical="center" wrapText="1"/>
    </xf>
    <xf numFmtId="1" fontId="19" fillId="2" borderId="11" xfId="0" applyNumberFormat="1" applyFont="1" applyFill="1" applyBorder="1" applyAlignment="1">
      <alignment horizontal="center" vertical="center"/>
    </xf>
    <xf numFmtId="1" fontId="18" fillId="2" borderId="17" xfId="0" applyNumberFormat="1" applyFont="1" applyFill="1" applyBorder="1" applyAlignment="1">
      <alignment horizontal="center" vertical="center"/>
    </xf>
    <xf numFmtId="0" fontId="18" fillId="2" borderId="11" xfId="0" applyFont="1" applyFill="1" applyBorder="1" applyAlignment="1">
      <alignment horizontal="center" vertical="center"/>
    </xf>
    <xf numFmtId="2" fontId="19" fillId="2" borderId="16" xfId="0" applyNumberFormat="1" applyFont="1" applyFill="1" applyBorder="1" applyAlignment="1">
      <alignment horizontal="center" vertical="center"/>
    </xf>
    <xf numFmtId="1" fontId="12" fillId="2" borderId="17" xfId="0" applyNumberFormat="1" applyFont="1" applyFill="1" applyBorder="1" applyAlignment="1">
      <alignment horizontal="right" vertical="center"/>
    </xf>
    <xf numFmtId="2" fontId="18" fillId="2" borderId="6" xfId="0" applyNumberFormat="1" applyFont="1" applyFill="1" applyBorder="1" applyAlignment="1">
      <alignment horizontal="center" vertical="center"/>
    </xf>
    <xf numFmtId="0" fontId="19" fillId="2" borderId="17" xfId="0" applyFont="1" applyFill="1" applyBorder="1" applyAlignment="1">
      <alignment vertical="center"/>
    </xf>
    <xf numFmtId="0" fontId="23" fillId="0" borderId="8" xfId="0" applyFont="1" applyBorder="1" applyAlignment="1">
      <alignment vertical="center"/>
    </xf>
    <xf numFmtId="0" fontId="0" fillId="0" borderId="0" xfId="0" applyBorder="1"/>
    <xf numFmtId="0" fontId="0" fillId="0" borderId="0" xfId="0" applyAlignment="1">
      <alignment horizontal="center"/>
    </xf>
    <xf numFmtId="0" fontId="57" fillId="26" borderId="7" xfId="0" applyFont="1" applyFill="1" applyBorder="1" applyAlignment="1">
      <alignment horizontal="center" vertical="center"/>
    </xf>
    <xf numFmtId="0" fontId="57" fillId="26" borderId="1" xfId="0" applyFont="1" applyFill="1" applyBorder="1" applyAlignment="1">
      <alignment horizontal="center" vertical="center"/>
    </xf>
    <xf numFmtId="0" fontId="21" fillId="27" borderId="33" xfId="0" applyFont="1" applyFill="1" applyBorder="1" applyAlignment="1">
      <alignment vertical="center"/>
    </xf>
    <xf numFmtId="49" fontId="22" fillId="2" borderId="0" xfId="0" applyNumberFormat="1" applyFont="1" applyFill="1" applyBorder="1" applyAlignment="1">
      <alignment horizontal="right" vertical="center" wrapText="1"/>
    </xf>
    <xf numFmtId="2" fontId="31" fillId="2" borderId="0" xfId="0" applyNumberFormat="1" applyFont="1" applyFill="1" applyAlignment="1">
      <alignment horizontal="right"/>
    </xf>
    <xf numFmtId="0" fontId="39" fillId="2" borderId="0" xfId="0" applyNumberFormat="1" applyFont="1" applyFill="1" applyBorder="1" applyAlignment="1">
      <alignment horizontal="right"/>
    </xf>
    <xf numFmtId="0" fontId="22" fillId="0" borderId="0" xfId="0" applyFont="1" applyFill="1" applyBorder="1" applyAlignment="1">
      <alignment horizontal="right"/>
    </xf>
    <xf numFmtId="0" fontId="11" fillId="25" borderId="7" xfId="0" applyFont="1" applyFill="1" applyBorder="1" applyAlignment="1">
      <alignment horizontal="right" vertical="center" wrapText="1"/>
    </xf>
    <xf numFmtId="0" fontId="11" fillId="14" borderId="0" xfId="0" applyFont="1" applyFill="1" applyAlignment="1">
      <alignment horizontal="right" wrapText="1"/>
    </xf>
    <xf numFmtId="1" fontId="21" fillId="20" borderId="8" xfId="0" applyNumberFormat="1" applyFont="1" applyFill="1" applyBorder="1" applyAlignment="1">
      <alignment horizontal="right" vertical="center"/>
    </xf>
    <xf numFmtId="2" fontId="21" fillId="20" borderId="8" xfId="0" applyNumberFormat="1" applyFont="1" applyFill="1" applyBorder="1" applyAlignment="1">
      <alignment horizontal="left" vertical="center"/>
    </xf>
    <xf numFmtId="2" fontId="21" fillId="13" borderId="21" xfId="0" applyNumberFormat="1" applyFont="1" applyFill="1" applyBorder="1" applyAlignment="1">
      <alignment horizontal="center" vertical="center"/>
    </xf>
    <xf numFmtId="2" fontId="21" fillId="13" borderId="20" xfId="0" applyNumberFormat="1" applyFont="1" applyFill="1" applyBorder="1" applyAlignment="1">
      <alignment horizontal="center" vertical="center"/>
    </xf>
    <xf numFmtId="2" fontId="21" fillId="0" borderId="0" xfId="0" applyNumberFormat="1" applyFont="1" applyFill="1" applyBorder="1" applyAlignment="1">
      <alignment horizontal="left" vertical="center"/>
    </xf>
    <xf numFmtId="0" fontId="21" fillId="13" borderId="0" xfId="0" applyFont="1" applyFill="1" applyBorder="1"/>
    <xf numFmtId="49" fontId="21" fillId="2" borderId="1" xfId="0" applyNumberFormat="1" applyFont="1" applyFill="1" applyBorder="1" applyAlignment="1">
      <alignment horizontal="left" vertical="center" wrapText="1"/>
    </xf>
    <xf numFmtId="0" fontId="36" fillId="13" borderId="1" xfId="0" applyNumberFormat="1" applyFont="1" applyFill="1" applyBorder="1" applyAlignment="1">
      <alignment horizontal="left" vertical="center" wrapText="1"/>
    </xf>
    <xf numFmtId="49" fontId="21" fillId="13" borderId="1" xfId="0" applyNumberFormat="1" applyFont="1" applyFill="1" applyBorder="1" applyAlignment="1">
      <alignment horizontal="center" vertical="center" wrapText="1"/>
    </xf>
    <xf numFmtId="0" fontId="21" fillId="22" borderId="1" xfId="0" applyNumberFormat="1" applyFont="1" applyFill="1" applyBorder="1" applyAlignment="1">
      <alignment horizontal="left" vertical="center" wrapText="1"/>
    </xf>
    <xf numFmtId="49" fontId="21" fillId="20" borderId="1" xfId="0" applyNumberFormat="1" applyFont="1" applyFill="1" applyBorder="1" applyAlignment="1">
      <alignment horizontal="center" vertical="center" wrapText="1"/>
    </xf>
    <xf numFmtId="49" fontId="21" fillId="20" borderId="1" xfId="0" applyNumberFormat="1" applyFont="1" applyFill="1" applyBorder="1" applyAlignment="1">
      <alignment horizontal="left" vertical="center" wrapText="1"/>
    </xf>
    <xf numFmtId="0" fontId="36" fillId="20" borderId="1" xfId="0" applyNumberFormat="1" applyFont="1" applyFill="1" applyBorder="1" applyAlignment="1">
      <alignment horizontal="left" vertical="center" wrapText="1"/>
    </xf>
    <xf numFmtId="0" fontId="21" fillId="12" borderId="1" xfId="0" applyFont="1" applyFill="1" applyBorder="1" applyAlignment="1">
      <alignment vertical="center"/>
    </xf>
    <xf numFmtId="0" fontId="21" fillId="2" borderId="12" xfId="0" applyNumberFormat="1" applyFont="1" applyFill="1" applyBorder="1" applyAlignment="1">
      <alignment horizontal="left" vertical="center" wrapText="1"/>
    </xf>
    <xf numFmtId="0" fontId="21" fillId="4" borderId="12" xfId="0" applyNumberFormat="1" applyFont="1" applyFill="1" applyBorder="1" applyAlignment="1">
      <alignment horizontal="left" vertical="center" wrapText="1"/>
    </xf>
    <xf numFmtId="0" fontId="21" fillId="20" borderId="12" xfId="0" applyNumberFormat="1" applyFont="1" applyFill="1" applyBorder="1" applyAlignment="1">
      <alignment horizontal="left" vertical="center" wrapText="1"/>
    </xf>
    <xf numFmtId="0" fontId="21" fillId="2" borderId="12" xfId="0" applyNumberFormat="1" applyFont="1" applyFill="1" applyBorder="1" applyAlignment="1">
      <alignment vertical="center" wrapText="1"/>
    </xf>
    <xf numFmtId="0" fontId="21" fillId="2" borderId="12" xfId="0" applyNumberFormat="1" applyFont="1" applyFill="1" applyBorder="1" applyAlignment="1">
      <alignment horizontal="left" vertical="center"/>
    </xf>
    <xf numFmtId="0" fontId="21" fillId="13" borderId="12" xfId="0" applyNumberFormat="1" applyFont="1" applyFill="1" applyBorder="1" applyAlignment="1">
      <alignment horizontal="left" vertical="center" wrapText="1"/>
    </xf>
    <xf numFmtId="0" fontId="21" fillId="20" borderId="12" xfId="0" applyNumberFormat="1" applyFont="1" applyFill="1" applyBorder="1" applyAlignment="1">
      <alignment horizontal="left" vertical="center"/>
    </xf>
    <xf numFmtId="0" fontId="21" fillId="27" borderId="8" xfId="0" applyFont="1" applyFill="1" applyBorder="1" applyAlignment="1">
      <alignment vertical="center"/>
    </xf>
    <xf numFmtId="0" fontId="21" fillId="2" borderId="8" xfId="0" applyNumberFormat="1" applyFont="1" applyFill="1" applyBorder="1" applyAlignment="1">
      <alignment horizontal="right" vertical="center"/>
    </xf>
    <xf numFmtId="0" fontId="23" fillId="2" borderId="9" xfId="0" applyNumberFormat="1" applyFont="1" applyFill="1" applyBorder="1" applyAlignment="1">
      <alignment horizontal="left" vertical="center" wrapText="1"/>
    </xf>
    <xf numFmtId="0" fontId="23" fillId="2" borderId="1" xfId="0" applyNumberFormat="1" applyFont="1" applyFill="1" applyBorder="1" applyAlignment="1">
      <alignment horizontal="center" vertical="center" wrapText="1"/>
    </xf>
    <xf numFmtId="0" fontId="21" fillId="13" borderId="1" xfId="0" applyNumberFormat="1" applyFont="1" applyFill="1" applyBorder="1" applyAlignment="1">
      <alignment horizontal="center" vertical="center" wrapText="1"/>
    </xf>
    <xf numFmtId="0" fontId="21" fillId="13" borderId="1" xfId="0" applyNumberFormat="1" applyFont="1" applyFill="1" applyBorder="1" applyAlignment="1">
      <alignment horizontal="left" vertical="center" wrapText="1"/>
    </xf>
    <xf numFmtId="0" fontId="21" fillId="13" borderId="13" xfId="0" applyNumberFormat="1" applyFont="1" applyFill="1" applyBorder="1" applyAlignment="1">
      <alignment horizontal="center" vertical="center" wrapText="1"/>
    </xf>
    <xf numFmtId="0" fontId="21" fillId="13" borderId="24" xfId="0" applyNumberFormat="1" applyFont="1" applyFill="1" applyBorder="1" applyAlignment="1">
      <alignment horizontal="left" vertical="center"/>
    </xf>
    <xf numFmtId="1" fontId="21" fillId="13" borderId="1" xfId="0" applyNumberFormat="1" applyFont="1" applyFill="1" applyBorder="1" applyAlignment="1">
      <alignment horizontal="center" vertical="center"/>
    </xf>
    <xf numFmtId="2" fontId="21" fillId="13" borderId="1" xfId="0" applyNumberFormat="1" applyFont="1" applyFill="1" applyBorder="1" applyAlignment="1">
      <alignment horizontal="center" vertical="center"/>
    </xf>
    <xf numFmtId="49" fontId="21" fillId="13" borderId="21" xfId="0" applyNumberFormat="1" applyFont="1" applyFill="1" applyBorder="1" applyAlignment="1">
      <alignment horizontal="right" vertical="center"/>
    </xf>
    <xf numFmtId="49" fontId="21" fillId="13" borderId="18" xfId="0" applyNumberFormat="1" applyFont="1" applyFill="1" applyBorder="1" applyAlignment="1">
      <alignment horizontal="center" vertical="center"/>
    </xf>
    <xf numFmtId="1" fontId="21" fillId="13" borderId="1" xfId="0" applyNumberFormat="1" applyFont="1" applyFill="1" applyBorder="1" applyAlignment="1">
      <alignment horizontal="center" vertical="center" wrapText="1"/>
    </xf>
    <xf numFmtId="0" fontId="20" fillId="13" borderId="14" xfId="0" applyFont="1" applyFill="1" applyBorder="1" applyAlignment="1">
      <alignment horizontal="center" vertical="center"/>
    </xf>
    <xf numFmtId="0" fontId="21" fillId="13" borderId="1" xfId="0" applyFont="1" applyFill="1" applyBorder="1" applyAlignment="1">
      <alignment horizontal="center" vertical="center"/>
    </xf>
    <xf numFmtId="1" fontId="21" fillId="13" borderId="8" xfId="0" applyNumberFormat="1" applyFont="1" applyFill="1" applyBorder="1" applyAlignment="1">
      <alignment horizontal="right" vertical="center" wrapText="1"/>
    </xf>
    <xf numFmtId="1" fontId="21" fillId="13" borderId="7" xfId="0" applyNumberFormat="1" applyFont="1" applyFill="1" applyBorder="1" applyAlignment="1">
      <alignment horizontal="right" vertical="center" wrapText="1"/>
    </xf>
    <xf numFmtId="49" fontId="21" fillId="13" borderId="21" xfId="0" applyNumberFormat="1" applyFont="1" applyFill="1" applyBorder="1" applyAlignment="1">
      <alignment horizontal="right" vertical="center" wrapText="1"/>
    </xf>
    <xf numFmtId="0" fontId="20" fillId="13" borderId="1" xfId="0" applyNumberFormat="1" applyFont="1" applyFill="1" applyBorder="1" applyAlignment="1">
      <alignment horizontal="center" vertical="center" wrapText="1"/>
    </xf>
    <xf numFmtId="1" fontId="21" fillId="13" borderId="7" xfId="0" applyNumberFormat="1" applyFont="1" applyFill="1" applyBorder="1" applyAlignment="1">
      <alignment horizontal="center" vertical="center"/>
    </xf>
    <xf numFmtId="0" fontId="21" fillId="13" borderId="1" xfId="0" applyFont="1" applyFill="1" applyBorder="1" applyAlignment="1">
      <alignment vertical="center"/>
    </xf>
    <xf numFmtId="0" fontId="21" fillId="13" borderId="1" xfId="0" applyNumberFormat="1" applyFont="1" applyFill="1" applyBorder="1" applyAlignment="1">
      <alignment horizontal="center" vertical="center"/>
    </xf>
    <xf numFmtId="0" fontId="21" fillId="13" borderId="14" xfId="0" applyNumberFormat="1" applyFont="1" applyFill="1" applyBorder="1" applyAlignment="1">
      <alignment horizontal="center" vertical="center"/>
    </xf>
    <xf numFmtId="0" fontId="21" fillId="13" borderId="15" xfId="0" applyNumberFormat="1" applyFont="1" applyFill="1" applyBorder="1" applyAlignment="1">
      <alignment horizontal="center" vertical="center" wrapText="1"/>
    </xf>
    <xf numFmtId="0" fontId="21" fillId="13" borderId="13" xfId="0" applyNumberFormat="1" applyFont="1" applyFill="1" applyBorder="1" applyAlignment="1">
      <alignment horizontal="center" vertical="center"/>
    </xf>
    <xf numFmtId="1" fontId="20" fillId="13" borderId="7" xfId="0" applyNumberFormat="1" applyFont="1" applyFill="1" applyBorder="1" applyAlignment="1">
      <alignment horizontal="right" vertical="center"/>
    </xf>
    <xf numFmtId="0" fontId="21" fillId="13" borderId="14" xfId="0" applyFont="1" applyFill="1" applyBorder="1" applyAlignment="1">
      <alignment vertical="center"/>
    </xf>
    <xf numFmtId="0" fontId="21" fillId="13" borderId="13" xfId="0" applyFont="1" applyFill="1" applyBorder="1" applyAlignment="1">
      <alignment vertical="center"/>
    </xf>
    <xf numFmtId="1" fontId="20" fillId="13" borderId="8" xfId="0" applyNumberFormat="1" applyFont="1" applyFill="1" applyBorder="1" applyAlignment="1">
      <alignment horizontal="center" vertical="center"/>
    </xf>
    <xf numFmtId="1" fontId="20" fillId="13" borderId="24" xfId="0" applyNumberFormat="1" applyFont="1" applyFill="1" applyBorder="1" applyAlignment="1">
      <alignment horizontal="center" vertical="center" wrapText="1"/>
    </xf>
    <xf numFmtId="0" fontId="21" fillId="13" borderId="9" xfId="0" applyNumberFormat="1" applyFont="1" applyFill="1" applyBorder="1" applyAlignment="1">
      <alignment horizontal="center" vertical="center"/>
    </xf>
    <xf numFmtId="0" fontId="21" fillId="13" borderId="1" xfId="0" applyNumberFormat="1" applyFont="1" applyFill="1" applyBorder="1" applyAlignment="1">
      <alignment horizontal="left" vertical="center"/>
    </xf>
    <xf numFmtId="0" fontId="21" fillId="13" borderId="1" xfId="0" applyNumberFormat="1" applyFont="1" applyFill="1" applyBorder="1" applyAlignment="1">
      <alignment vertical="center"/>
    </xf>
    <xf numFmtId="0" fontId="21" fillId="13" borderId="9" xfId="0" applyNumberFormat="1" applyFont="1" applyFill="1" applyBorder="1" applyAlignment="1">
      <alignment horizontal="left" vertical="center" wrapText="1"/>
    </xf>
    <xf numFmtId="0" fontId="21" fillId="13" borderId="20" xfId="0" applyNumberFormat="1" applyFont="1" applyFill="1" applyBorder="1" applyAlignment="1">
      <alignment horizontal="right" vertical="center" wrapText="1"/>
    </xf>
    <xf numFmtId="0" fontId="21" fillId="13" borderId="33" xfId="0" applyNumberFormat="1" applyFont="1" applyFill="1" applyBorder="1" applyAlignment="1">
      <alignment horizontal="center" vertical="center" wrapText="1"/>
    </xf>
    <xf numFmtId="1" fontId="20" fillId="13" borderId="1" xfId="0" applyNumberFormat="1" applyFont="1" applyFill="1" applyBorder="1" applyAlignment="1">
      <alignment horizontal="center" vertical="center"/>
    </xf>
    <xf numFmtId="0" fontId="21" fillId="13" borderId="8" xfId="0" applyFont="1" applyFill="1" applyBorder="1" applyAlignment="1">
      <alignment vertical="center"/>
    </xf>
    <xf numFmtId="0" fontId="21" fillId="13" borderId="20" xfId="0" applyNumberFormat="1" applyFont="1" applyFill="1" applyBorder="1" applyAlignment="1">
      <alignment horizontal="left" vertical="center" wrapText="1"/>
    </xf>
    <xf numFmtId="0" fontId="21" fillId="13" borderId="8" xfId="0" applyNumberFormat="1" applyFont="1" applyFill="1" applyBorder="1" applyAlignment="1">
      <alignment horizontal="center" vertical="center" wrapText="1"/>
    </xf>
    <xf numFmtId="49" fontId="21" fillId="13" borderId="9" xfId="0" applyNumberFormat="1" applyFont="1" applyFill="1" applyBorder="1" applyAlignment="1">
      <alignment vertical="center"/>
    </xf>
    <xf numFmtId="49" fontId="21" fillId="13" borderId="0" xfId="0" applyNumberFormat="1" applyFont="1" applyFill="1" applyBorder="1" applyAlignment="1">
      <alignment horizontal="center" vertical="center"/>
    </xf>
    <xf numFmtId="0" fontId="20" fillId="13" borderId="13" xfId="0" applyFont="1" applyFill="1" applyBorder="1" applyAlignment="1">
      <alignment horizontal="left" vertical="center"/>
    </xf>
    <xf numFmtId="2" fontId="20" fillId="13" borderId="1" xfId="0" applyNumberFormat="1" applyFont="1" applyFill="1" applyBorder="1" applyAlignment="1">
      <alignment horizontal="center" vertical="center"/>
    </xf>
    <xf numFmtId="0" fontId="21" fillId="13" borderId="0" xfId="0" applyFont="1" applyFill="1" applyAlignment="1">
      <alignment vertical="center"/>
    </xf>
    <xf numFmtId="49" fontId="21" fillId="13" borderId="34" xfId="0" applyNumberFormat="1" applyFont="1" applyFill="1" applyBorder="1" applyAlignment="1">
      <alignment horizontal="center" vertical="center" wrapText="1"/>
    </xf>
    <xf numFmtId="1" fontId="21" fillId="13" borderId="8" xfId="0" applyNumberFormat="1" applyFont="1" applyFill="1" applyBorder="1" applyAlignment="1">
      <alignment horizontal="left" vertical="center" wrapText="1"/>
    </xf>
    <xf numFmtId="0" fontId="55" fillId="2" borderId="1" xfId="0" applyFont="1" applyFill="1" applyBorder="1" applyAlignment="1">
      <alignment horizontal="center" vertical="center"/>
    </xf>
    <xf numFmtId="49" fontId="21" fillId="13" borderId="18" xfId="0" applyNumberFormat="1" applyFont="1" applyFill="1" applyBorder="1" applyAlignment="1">
      <alignment horizontal="left" vertical="center"/>
    </xf>
    <xf numFmtId="0" fontId="23" fillId="2" borderId="8" xfId="0" applyNumberFormat="1" applyFont="1" applyFill="1" applyBorder="1" applyAlignment="1">
      <alignment horizontal="left" vertical="center" wrapText="1"/>
    </xf>
    <xf numFmtId="0" fontId="21" fillId="13" borderId="2" xfId="0" applyNumberFormat="1" applyFont="1" applyFill="1" applyBorder="1" applyAlignment="1">
      <alignment horizontal="center" vertical="center" wrapText="1"/>
    </xf>
    <xf numFmtId="1" fontId="21" fillId="13" borderId="9" xfId="0" applyNumberFormat="1" applyFont="1" applyFill="1" applyBorder="1" applyAlignment="1">
      <alignment horizontal="left" vertical="center" wrapText="1"/>
    </xf>
    <xf numFmtId="0" fontId="23" fillId="2" borderId="1" xfId="0" applyFont="1" applyFill="1" applyBorder="1" applyAlignment="1">
      <alignment horizontal="left" vertical="center" wrapText="1"/>
    </xf>
    <xf numFmtId="49" fontId="23" fillId="2" borderId="1" xfId="0" applyNumberFormat="1" applyFont="1" applyFill="1" applyBorder="1" applyAlignment="1">
      <alignment horizontal="center" vertical="center" textRotation="90" wrapText="1"/>
    </xf>
    <xf numFmtId="49" fontId="23" fillId="2" borderId="1" xfId="0" applyNumberFormat="1" applyFont="1" applyFill="1" applyBorder="1" applyAlignment="1">
      <alignment horizontal="center" vertical="center" wrapText="1"/>
    </xf>
    <xf numFmtId="0" fontId="23" fillId="13" borderId="7" xfId="0" applyFont="1" applyFill="1" applyBorder="1" applyAlignment="1">
      <alignment horizontal="left" vertical="center" wrapText="1"/>
    </xf>
    <xf numFmtId="0" fontId="23" fillId="2" borderId="13" xfId="0" applyNumberFormat="1" applyFont="1" applyFill="1" applyBorder="1" applyAlignment="1">
      <alignment horizontal="left" vertical="center" wrapText="1"/>
    </xf>
    <xf numFmtId="2" fontId="23" fillId="2" borderId="1" xfId="0" applyNumberFormat="1" applyFont="1" applyFill="1" applyBorder="1" applyAlignment="1">
      <alignment horizontal="right" vertical="center"/>
    </xf>
    <xf numFmtId="2" fontId="23" fillId="2" borderId="14" xfId="0" applyNumberFormat="1" applyFont="1" applyFill="1" applyBorder="1" applyAlignment="1">
      <alignment horizontal="right" vertical="center"/>
    </xf>
    <xf numFmtId="2" fontId="23" fillId="2" borderId="24" xfId="0" applyNumberFormat="1" applyFont="1" applyFill="1" applyBorder="1" applyAlignment="1">
      <alignment horizontal="center" vertical="center" wrapText="1"/>
    </xf>
    <xf numFmtId="2" fontId="23" fillId="2" borderId="13" xfId="0" applyNumberFormat="1" applyFont="1" applyFill="1" applyBorder="1" applyAlignment="1">
      <alignment horizontal="center" vertical="center"/>
    </xf>
    <xf numFmtId="0" fontId="23" fillId="2" borderId="14" xfId="0" applyNumberFormat="1" applyFont="1" applyFill="1" applyBorder="1" applyAlignment="1">
      <alignment horizontal="left" vertical="center" wrapText="1"/>
    </xf>
    <xf numFmtId="2" fontId="23" fillId="2" borderId="7" xfId="0" applyNumberFormat="1" applyFont="1" applyFill="1" applyBorder="1" applyAlignment="1">
      <alignment horizontal="center" vertical="center"/>
    </xf>
    <xf numFmtId="0" fontId="23" fillId="2" borderId="7" xfId="0" applyNumberFormat="1" applyFont="1" applyFill="1" applyBorder="1" applyAlignment="1">
      <alignment vertical="center" wrapText="1"/>
    </xf>
    <xf numFmtId="2" fontId="23" fillId="2" borderId="1" xfId="0" applyNumberFormat="1" applyFont="1" applyFill="1" applyBorder="1" applyAlignment="1">
      <alignment horizontal="center" vertical="center" wrapText="1"/>
    </xf>
    <xf numFmtId="0" fontId="23" fillId="2" borderId="7" xfId="0" applyNumberFormat="1" applyFont="1" applyFill="1" applyBorder="1" applyAlignment="1">
      <alignment horizontal="right" vertical="center" wrapText="1"/>
    </xf>
    <xf numFmtId="49" fontId="23" fillId="13" borderId="8" xfId="0" applyNumberFormat="1" applyFont="1" applyFill="1" applyBorder="1" applyAlignment="1">
      <alignment horizontal="center" vertical="center"/>
    </xf>
    <xf numFmtId="49" fontId="23" fillId="13" borderId="8" xfId="0" applyNumberFormat="1" applyFont="1" applyFill="1" applyBorder="1" applyAlignment="1">
      <alignment horizontal="left" vertical="center"/>
    </xf>
    <xf numFmtId="0" fontId="23" fillId="13" borderId="9" xfId="0" applyNumberFormat="1" applyFont="1" applyFill="1" applyBorder="1" applyAlignment="1">
      <alignment horizontal="left" vertical="center"/>
    </xf>
    <xf numFmtId="0" fontId="23" fillId="13" borderId="14" xfId="0" applyNumberFormat="1" applyFont="1" applyFill="1" applyBorder="1" applyAlignment="1">
      <alignment horizontal="center" vertical="center"/>
    </xf>
    <xf numFmtId="0" fontId="23" fillId="13" borderId="13" xfId="0" applyNumberFormat="1" applyFont="1" applyFill="1" applyBorder="1" applyAlignment="1">
      <alignment horizontal="left" vertical="center" wrapText="1"/>
    </xf>
    <xf numFmtId="0" fontId="23" fillId="2" borderId="7" xfId="0" applyFont="1" applyFill="1" applyBorder="1" applyAlignment="1">
      <alignment vertical="center"/>
    </xf>
    <xf numFmtId="0" fontId="23" fillId="2" borderId="8" xfId="0" applyFont="1" applyFill="1" applyBorder="1" applyAlignment="1">
      <alignment horizontal="left" vertical="center"/>
    </xf>
    <xf numFmtId="49" fontId="23" fillId="0" borderId="9" xfId="0" applyNumberFormat="1" applyFont="1" applyBorder="1" applyAlignment="1">
      <alignment horizontal="left" vertical="center"/>
    </xf>
    <xf numFmtId="49" fontId="23" fillId="0" borderId="7" xfId="0" applyNumberFormat="1" applyFont="1" applyBorder="1" applyAlignment="1">
      <alignment horizontal="right" vertical="center"/>
    </xf>
    <xf numFmtId="2" fontId="23" fillId="0" borderId="8" xfId="0" applyNumberFormat="1" applyFont="1" applyBorder="1" applyAlignment="1">
      <alignment horizontal="left" vertical="center"/>
    </xf>
    <xf numFmtId="49" fontId="23" fillId="2" borderId="7" xfId="0" applyNumberFormat="1" applyFont="1" applyFill="1" applyBorder="1" applyAlignment="1">
      <alignment horizontal="center" vertical="center"/>
    </xf>
    <xf numFmtId="49" fontId="23" fillId="0" borderId="8" xfId="0" applyNumberFormat="1" applyFont="1" applyBorder="1" applyAlignment="1">
      <alignment horizontal="left" vertical="center"/>
    </xf>
    <xf numFmtId="0" fontId="23" fillId="0" borderId="9" xfId="0" applyNumberFormat="1" applyFont="1" applyBorder="1" applyAlignment="1">
      <alignment horizontal="left" vertical="center"/>
    </xf>
    <xf numFmtId="1" fontId="21" fillId="13" borderId="2" xfId="0" applyNumberFormat="1" applyFont="1" applyFill="1" applyBorder="1" applyAlignment="1">
      <alignment horizontal="center" vertical="center"/>
    </xf>
    <xf numFmtId="0" fontId="21" fillId="13" borderId="2" xfId="0" applyFont="1" applyFill="1" applyBorder="1" applyAlignment="1">
      <alignment horizontal="center" vertical="center"/>
    </xf>
    <xf numFmtId="49" fontId="23" fillId="13" borderId="1" xfId="0" applyNumberFormat="1" applyFont="1" applyFill="1" applyBorder="1" applyAlignment="1">
      <alignment vertical="center" wrapText="1"/>
    </xf>
    <xf numFmtId="2" fontId="23" fillId="13" borderId="7" xfId="0" applyNumberFormat="1" applyFont="1" applyFill="1" applyBorder="1" applyAlignment="1">
      <alignment horizontal="right" vertical="center"/>
    </xf>
    <xf numFmtId="0" fontId="11" fillId="0" borderId="1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4" fillId="0" borderId="0" xfId="0" applyNumberFormat="1" applyFont="1" applyBorder="1" applyAlignment="1">
      <alignment horizontal="center" vertical="top" wrapText="1"/>
    </xf>
    <xf numFmtId="0" fontId="14" fillId="0" borderId="0" xfId="0" applyNumberFormat="1" applyFont="1" applyBorder="1" applyAlignment="1">
      <alignment horizontal="center" vertical="top"/>
    </xf>
    <xf numFmtId="0" fontId="14" fillId="0" borderId="0" xfId="0" applyNumberFormat="1" applyFont="1" applyAlignment="1">
      <alignment horizontal="center"/>
    </xf>
    <xf numFmtId="0" fontId="51" fillId="0" borderId="0" xfId="0" applyFont="1" applyAlignment="1">
      <alignment horizontal="center" vertical="center"/>
    </xf>
    <xf numFmtId="0" fontId="14" fillId="0" borderId="0" xfId="0" applyNumberFormat="1" applyFont="1" applyBorder="1" applyAlignment="1">
      <alignment horizontal="center" wrapText="1"/>
    </xf>
    <xf numFmtId="0" fontId="0" fillId="0" borderId="0" xfId="0"/>
    <xf numFmtId="0" fontId="21" fillId="13" borderId="0" xfId="0" applyFont="1" applyFill="1" applyBorder="1" applyAlignment="1">
      <alignment wrapText="1"/>
    </xf>
    <xf numFmtId="2" fontId="21" fillId="0" borderId="7" xfId="0" quotePrefix="1" applyNumberFormat="1" applyFont="1" applyFill="1" applyBorder="1" applyAlignment="1">
      <alignment horizontal="center" vertical="center"/>
    </xf>
    <xf numFmtId="0" fontId="14" fillId="0" borderId="0" xfId="0" applyNumberFormat="1" applyFont="1" applyBorder="1" applyAlignment="1">
      <alignment horizontal="right" wrapText="1"/>
    </xf>
    <xf numFmtId="49" fontId="23" fillId="2" borderId="33" xfId="0" applyNumberFormat="1" applyFont="1" applyFill="1" applyBorder="1" applyAlignment="1">
      <alignment horizontal="right" vertical="center" wrapText="1"/>
    </xf>
    <xf numFmtId="49" fontId="21" fillId="2" borderId="18" xfId="0" applyNumberFormat="1" applyFont="1" applyFill="1" applyBorder="1" applyAlignment="1">
      <alignment horizontal="right" vertical="center"/>
    </xf>
    <xf numFmtId="49" fontId="21" fillId="20" borderId="18" xfId="0" applyNumberFormat="1" applyFont="1" applyFill="1" applyBorder="1" applyAlignment="1">
      <alignment horizontal="right" vertical="center"/>
    </xf>
    <xf numFmtId="49" fontId="21" fillId="13" borderId="18" xfId="0" applyNumberFormat="1" applyFont="1" applyFill="1" applyBorder="1" applyAlignment="1">
      <alignment horizontal="right" vertical="center"/>
    </xf>
    <xf numFmtId="0" fontId="11" fillId="0" borderId="4" xfId="0" applyFont="1" applyBorder="1" applyAlignment="1">
      <alignment vertical="center" wrapText="1"/>
    </xf>
    <xf numFmtId="49" fontId="23" fillId="2" borderId="33" xfId="0" applyNumberFormat="1" applyFont="1" applyFill="1" applyBorder="1" applyAlignment="1">
      <alignment horizontal="left" vertical="center"/>
    </xf>
    <xf numFmtId="1" fontId="21" fillId="13" borderId="8" xfId="0" applyNumberFormat="1" applyFont="1" applyFill="1" applyBorder="1" applyAlignment="1">
      <alignment horizontal="right" vertical="center"/>
    </xf>
    <xf numFmtId="2" fontId="21" fillId="13" borderId="8" xfId="0" applyNumberFormat="1" applyFont="1" applyFill="1" applyBorder="1" applyAlignment="1">
      <alignment horizontal="left" vertical="center"/>
    </xf>
    <xf numFmtId="0" fontId="14" fillId="2" borderId="0" xfId="0" applyFont="1" applyFill="1" applyBorder="1" applyAlignment="1">
      <alignment horizontal="left" wrapText="1"/>
    </xf>
    <xf numFmtId="0" fontId="33" fillId="2" borderId="0" xfId="0" applyNumberFormat="1" applyFont="1" applyFill="1" applyBorder="1" applyAlignment="1">
      <alignment horizontal="center" vertical="center" wrapText="1"/>
    </xf>
    <xf numFmtId="0" fontId="14" fillId="0" borderId="0" xfId="0" applyNumberFormat="1" applyFont="1" applyBorder="1" applyAlignment="1">
      <alignment horizontal="center" wrapText="1"/>
    </xf>
    <xf numFmtId="0" fontId="0" fillId="0" borderId="0" xfId="0"/>
    <xf numFmtId="2" fontId="14" fillId="2" borderId="0" xfId="0" applyNumberFormat="1" applyFont="1" applyFill="1" applyAlignment="1">
      <alignment horizontal="center" vertical="center"/>
    </xf>
    <xf numFmtId="0" fontId="48" fillId="0" borderId="17" xfId="0" applyFont="1" applyBorder="1" applyAlignment="1"/>
    <xf numFmtId="2" fontId="14" fillId="0" borderId="0" xfId="0" applyNumberFormat="1" applyFont="1" applyAlignment="1">
      <alignment vertical="center"/>
    </xf>
    <xf numFmtId="0" fontId="33" fillId="2" borderId="0" xfId="0" applyNumberFormat="1" applyFont="1" applyFill="1" applyBorder="1" applyAlignment="1">
      <alignment vertical="center" wrapText="1"/>
    </xf>
    <xf numFmtId="0" fontId="9" fillId="0" borderId="0" xfId="0" applyNumberFormat="1" applyFont="1" applyBorder="1" applyAlignment="1">
      <alignment wrapText="1"/>
    </xf>
    <xf numFmtId="0" fontId="51" fillId="0" borderId="0" xfId="0" applyFont="1" applyAlignment="1">
      <alignment vertical="center"/>
    </xf>
    <xf numFmtId="1" fontId="21" fillId="20" borderId="2" xfId="0" applyNumberFormat="1" applyFont="1" applyFill="1" applyBorder="1" applyAlignment="1">
      <alignment horizontal="center" vertical="center"/>
    </xf>
    <xf numFmtId="49" fontId="21" fillId="5" borderId="18" xfId="0" applyNumberFormat="1" applyFont="1" applyFill="1" applyBorder="1" applyAlignment="1">
      <alignment horizontal="left" vertical="center"/>
    </xf>
    <xf numFmtId="0" fontId="21" fillId="5" borderId="20" xfId="0" applyNumberFormat="1" applyFont="1" applyFill="1" applyBorder="1" applyAlignment="1">
      <alignment horizontal="right" vertical="center" wrapText="1"/>
    </xf>
    <xf numFmtId="0" fontId="1" fillId="0" borderId="0" xfId="0" applyFont="1" applyAlignment="1">
      <alignment horizontal="left"/>
    </xf>
    <xf numFmtId="0" fontId="28" fillId="0" borderId="0" xfId="0" applyFont="1" applyAlignment="1"/>
    <xf numFmtId="0" fontId="2" fillId="0" borderId="0" xfId="0" applyFont="1" applyAlignment="1">
      <alignment wrapText="1"/>
    </xf>
    <xf numFmtId="0" fontId="65" fillId="0" borderId="0" xfId="0" applyNumberFormat="1" applyFont="1" applyAlignment="1">
      <alignment horizontal="center" vertical="center"/>
    </xf>
    <xf numFmtId="0" fontId="23" fillId="13" borderId="13" xfId="0" applyNumberFormat="1" applyFont="1" applyFill="1" applyBorder="1" applyAlignment="1">
      <alignment horizontal="center" vertical="center" wrapText="1"/>
    </xf>
    <xf numFmtId="9" fontId="23" fillId="2" borderId="9" xfId="0" applyNumberFormat="1" applyFont="1" applyFill="1" applyBorder="1" applyAlignment="1">
      <alignment horizontal="left" vertical="center" wrapText="1"/>
    </xf>
    <xf numFmtId="0" fontId="11" fillId="0" borderId="1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 xfId="0" applyFont="1" applyBorder="1" applyAlignment="1">
      <alignment horizontal="center" vertical="center" wrapText="1"/>
    </xf>
    <xf numFmtId="0" fontId="14" fillId="0" borderId="0" xfId="0" applyFont="1" applyAlignment="1">
      <alignment horizontal="center" wrapText="1"/>
    </xf>
    <xf numFmtId="0" fontId="11" fillId="0" borderId="16" xfId="0" applyFont="1" applyBorder="1" applyAlignment="1">
      <alignment horizontal="center" vertical="center" textRotation="90" wrapText="1"/>
    </xf>
    <xf numFmtId="0" fontId="11" fillId="0" borderId="27" xfId="0" applyFont="1" applyBorder="1" applyAlignment="1">
      <alignment horizontal="center" vertical="center" textRotation="90" wrapText="1"/>
    </xf>
    <xf numFmtId="0" fontId="11" fillId="0" borderId="2" xfId="0" applyFont="1" applyBorder="1" applyAlignment="1">
      <alignment horizontal="center" vertical="center" textRotation="90"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23" fillId="0" borderId="1"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0" xfId="0" applyFont="1" applyBorder="1" applyAlignment="1">
      <alignment horizontal="center" vertical="center" wrapText="1"/>
    </xf>
    <xf numFmtId="0" fontId="22" fillId="0" borderId="0" xfId="0" applyFont="1" applyAlignment="1">
      <alignment horizontal="center"/>
    </xf>
    <xf numFmtId="0" fontId="14" fillId="0" borderId="0" xfId="0" applyFont="1" applyAlignment="1">
      <alignment horizontal="center"/>
    </xf>
    <xf numFmtId="0" fontId="54" fillId="0" borderId="0" xfId="0" applyFont="1" applyAlignment="1">
      <alignment horizontal="center"/>
    </xf>
    <xf numFmtId="0" fontId="14" fillId="0" borderId="0" xfId="0" applyNumberFormat="1" applyFont="1" applyBorder="1" applyAlignment="1">
      <alignment horizontal="center" vertical="top" wrapText="1"/>
    </xf>
    <xf numFmtId="0" fontId="31" fillId="0" borderId="0" xfId="0" applyNumberFormat="1" applyFont="1" applyAlignment="1">
      <alignment horizontal="center" vertical="center"/>
    </xf>
    <xf numFmtId="0" fontId="14" fillId="0" borderId="0" xfId="0" applyNumberFormat="1" applyFont="1" applyAlignment="1">
      <alignment horizontal="center"/>
    </xf>
    <xf numFmtId="0" fontId="57" fillId="26" borderId="7" xfId="0" applyFont="1" applyFill="1" applyBorder="1" applyAlignment="1">
      <alignment horizontal="center" vertical="center"/>
    </xf>
    <xf numFmtId="0" fontId="57" fillId="26" borderId="8" xfId="0" applyFont="1" applyFill="1" applyBorder="1" applyAlignment="1">
      <alignment horizontal="center" vertical="center"/>
    </xf>
    <xf numFmtId="0" fontId="57" fillId="26" borderId="9" xfId="0" applyFont="1" applyFill="1" applyBorder="1" applyAlignment="1">
      <alignment horizontal="center" vertical="center"/>
    </xf>
    <xf numFmtId="0" fontId="57" fillId="26" borderId="1" xfId="0" applyFont="1" applyFill="1" applyBorder="1" applyAlignment="1">
      <alignment horizontal="center" vertical="center"/>
    </xf>
    <xf numFmtId="0" fontId="11" fillId="2" borderId="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57" fillId="26" borderId="14" xfId="0" applyFont="1" applyFill="1" applyBorder="1" applyAlignment="1">
      <alignment horizontal="center" vertical="center"/>
    </xf>
    <xf numFmtId="0" fontId="57" fillId="26" borderId="24" xfId="0" applyFont="1" applyFill="1" applyBorder="1" applyAlignment="1">
      <alignment horizontal="center" vertical="center"/>
    </xf>
    <xf numFmtId="0" fontId="23" fillId="0" borderId="17"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49" fontId="11" fillId="2" borderId="16" xfId="0" applyNumberFormat="1" applyFont="1" applyFill="1" applyBorder="1" applyAlignment="1">
      <alignment horizontal="center" vertical="center" wrapText="1"/>
    </xf>
    <xf numFmtId="49" fontId="11" fillId="2" borderId="27"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1" fontId="11" fillId="2" borderId="16" xfId="0" applyNumberFormat="1" applyFont="1" applyFill="1" applyBorder="1" applyAlignment="1">
      <alignment horizontal="center" vertical="center" wrapText="1"/>
    </xf>
    <xf numFmtId="1" fontId="11" fillId="2" borderId="27" xfId="0" applyNumberFormat="1" applyFont="1" applyFill="1" applyBorder="1" applyAlignment="1">
      <alignment horizontal="center" vertical="center" wrapText="1"/>
    </xf>
    <xf numFmtId="1" fontId="11" fillId="2" borderId="2" xfId="0" applyNumberFormat="1" applyFont="1" applyFill="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13" borderId="16" xfId="0" applyFont="1" applyFill="1" applyBorder="1" applyAlignment="1">
      <alignment horizontal="center" vertical="center" wrapText="1"/>
    </xf>
    <xf numFmtId="0" fontId="11" fillId="13" borderId="27" xfId="0" applyFont="1" applyFill="1" applyBorder="1" applyAlignment="1">
      <alignment horizontal="center" vertical="center" wrapText="1"/>
    </xf>
    <xf numFmtId="0" fontId="11" fillId="13" borderId="2" xfId="0" applyFont="1" applyFill="1" applyBorder="1" applyAlignment="1">
      <alignment horizontal="center" vertical="center" wrapText="1"/>
    </xf>
    <xf numFmtId="0" fontId="11" fillId="14" borderId="16" xfId="0" applyFont="1" applyFill="1" applyBorder="1" applyAlignment="1">
      <alignment horizontal="center" vertical="center" wrapText="1"/>
    </xf>
    <xf numFmtId="0" fontId="11" fillId="14" borderId="27"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0" borderId="1" xfId="0" applyFont="1" applyBorder="1" applyAlignment="1">
      <alignment horizontal="center" vertical="center" wrapText="1"/>
    </xf>
    <xf numFmtId="0" fontId="14" fillId="0" borderId="17" xfId="0" applyNumberFormat="1" applyFont="1" applyBorder="1" applyAlignment="1">
      <alignment horizontal="center" wrapText="1"/>
    </xf>
    <xf numFmtId="0" fontId="9" fillId="0" borderId="0" xfId="0" applyNumberFormat="1" applyFont="1" applyBorder="1" applyAlignment="1">
      <alignment horizontal="center" wrapText="1"/>
    </xf>
    <xf numFmtId="0" fontId="6" fillId="13" borderId="0" xfId="0" applyFont="1" applyFill="1" applyAlignment="1">
      <alignment horizontal="center"/>
    </xf>
    <xf numFmtId="0" fontId="6" fillId="26" borderId="1" xfId="0" applyFont="1" applyFill="1" applyBorder="1" applyAlignment="1">
      <alignment horizontal="center" vertical="center"/>
    </xf>
    <xf numFmtId="0" fontId="6" fillId="26" borderId="14" xfId="0" applyFont="1" applyFill="1" applyBorder="1" applyAlignment="1">
      <alignment horizontal="center" vertical="center"/>
    </xf>
    <xf numFmtId="0" fontId="6" fillId="26" borderId="24" xfId="0" applyFont="1" applyFill="1" applyBorder="1" applyAlignment="1">
      <alignment horizontal="center" vertical="center"/>
    </xf>
    <xf numFmtId="0" fontId="6" fillId="26" borderId="13" xfId="0" applyFont="1" applyFill="1" applyBorder="1" applyAlignment="1">
      <alignment horizontal="center" vertical="center"/>
    </xf>
    <xf numFmtId="0" fontId="6" fillId="26" borderId="7" xfId="0" applyFont="1" applyFill="1" applyBorder="1" applyAlignment="1">
      <alignment horizontal="center" vertical="center"/>
    </xf>
    <xf numFmtId="0" fontId="6" fillId="26" borderId="9" xfId="0" applyFont="1" applyFill="1" applyBorder="1" applyAlignment="1">
      <alignment horizontal="center" vertical="center"/>
    </xf>
    <xf numFmtId="0" fontId="6" fillId="26" borderId="1" xfId="0" applyFont="1" applyFill="1" applyBorder="1" applyAlignment="1">
      <alignment horizontal="left" vertical="center"/>
    </xf>
    <xf numFmtId="0" fontId="23" fillId="0" borderId="6" xfId="0" applyFont="1" applyBorder="1" applyAlignment="1">
      <alignment horizontal="center" vertical="center" wrapText="1"/>
    </xf>
    <xf numFmtId="0" fontId="23"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 xfId="0" applyFont="1" applyBorder="1" applyAlignment="1">
      <alignment horizontal="center" vertical="center" wrapText="1"/>
    </xf>
    <xf numFmtId="0" fontId="1" fillId="0" borderId="0" xfId="0" applyFont="1" applyAlignment="1">
      <alignment horizontal="center"/>
    </xf>
    <xf numFmtId="49" fontId="58" fillId="26" borderId="8" xfId="0" applyNumberFormat="1" applyFont="1" applyFill="1" applyBorder="1" applyAlignment="1">
      <alignment horizontal="center" vertical="center"/>
    </xf>
    <xf numFmtId="49" fontId="58" fillId="26" borderId="9" xfId="0" applyNumberFormat="1" applyFont="1" applyFill="1" applyBorder="1" applyAlignment="1">
      <alignment horizontal="center" vertical="center"/>
    </xf>
    <xf numFmtId="0" fontId="1" fillId="0" borderId="1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 xfId="0" applyFont="1" applyBorder="1" applyAlignment="1">
      <alignment horizontal="center" vertical="center" wrapText="1"/>
    </xf>
    <xf numFmtId="0" fontId="2" fillId="0" borderId="0" xfId="0" applyFont="1" applyAlignment="1">
      <alignment horizontal="center"/>
    </xf>
    <xf numFmtId="0" fontId="8" fillId="0" borderId="0" xfId="0" applyFont="1" applyAlignment="1">
      <alignment horizontal="center"/>
    </xf>
    <xf numFmtId="0" fontId="8" fillId="0" borderId="0" xfId="0" applyFont="1" applyAlignment="1">
      <alignment horizontal="left"/>
    </xf>
    <xf numFmtId="0" fontId="5" fillId="0" borderId="0" xfId="0" applyFont="1" applyAlignment="1">
      <alignment horizontal="center" wrapText="1"/>
    </xf>
    <xf numFmtId="0" fontId="14" fillId="2" borderId="0" xfId="0" applyFont="1" applyFill="1" applyBorder="1" applyAlignment="1">
      <alignment horizontal="right" wrapText="1"/>
    </xf>
    <xf numFmtId="0" fontId="14" fillId="2" borderId="0" xfId="0" applyFont="1" applyFill="1" applyBorder="1" applyAlignment="1">
      <alignment horizontal="left" wrapText="1"/>
    </xf>
  </cellXfs>
  <cellStyles count="1">
    <cellStyle name="Normal" xfId="0" builtinId="0"/>
  </cellStyles>
  <dxfs count="534">
    <dxf>
      <font>
        <b/>
        <i val="0"/>
        <condense val="0"/>
        <extend val="0"/>
        <color indexed="34"/>
      </font>
      <fill>
        <patternFill>
          <bgColor indexed="23"/>
        </patternFill>
      </fill>
    </dxf>
    <dxf>
      <font>
        <b/>
        <i val="0"/>
        <condense val="0"/>
        <extend val="0"/>
        <color indexed="9"/>
      </font>
      <fill>
        <patternFill>
          <bgColor indexed="16"/>
        </patternFill>
      </fill>
    </dxf>
    <dxf>
      <font>
        <color theme="0"/>
      </font>
    </dxf>
    <dxf>
      <font>
        <color auto="1"/>
      </font>
      <fill>
        <patternFill>
          <bgColor theme="9"/>
        </patternFill>
      </fill>
    </dxf>
    <dxf>
      <font>
        <condense val="0"/>
        <extend val="0"/>
        <color indexed="9"/>
      </font>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9"/>
      </font>
      <fill>
        <patternFill>
          <bgColor indexed="54"/>
        </patternFill>
      </fill>
    </dxf>
    <dxf>
      <font>
        <b/>
        <i/>
        <condense val="0"/>
        <extend val="0"/>
        <color indexed="13"/>
      </font>
      <fill>
        <patternFill>
          <bgColor indexed="18"/>
        </patternFill>
      </fill>
    </dxf>
    <dxf>
      <font>
        <b/>
        <i val="0"/>
        <condense val="0"/>
        <extend val="0"/>
        <color indexed="9"/>
      </font>
      <fill>
        <patternFill>
          <bgColor indexed="12"/>
        </patternFill>
      </fill>
    </dxf>
    <dxf>
      <font>
        <b/>
        <i val="0"/>
        <color rgb="FFFFFF00"/>
      </font>
      <fill>
        <patternFill>
          <bgColor rgb="FFFF0000"/>
        </patternFill>
      </fill>
    </dxf>
    <dxf>
      <font>
        <b/>
        <i val="0"/>
        <color rgb="FFFFFF00"/>
      </font>
      <fill>
        <patternFill>
          <bgColor rgb="FFFF0000"/>
        </patternFill>
      </fill>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color theme="0"/>
      </font>
    </dxf>
    <dxf>
      <font>
        <color theme="0"/>
      </font>
    </dxf>
    <dxf>
      <font>
        <b/>
        <i/>
        <condense val="0"/>
        <extend val="0"/>
        <color indexed="13"/>
      </font>
      <fill>
        <patternFill>
          <bgColor indexed="18"/>
        </patternFill>
      </fill>
    </dxf>
    <dxf>
      <font>
        <b/>
        <i val="0"/>
        <condense val="0"/>
        <extend val="0"/>
        <color indexed="9"/>
      </font>
      <fill>
        <patternFill>
          <bgColor indexed="12"/>
        </patternFill>
      </fill>
    </dxf>
    <dxf>
      <font>
        <color auto="1"/>
      </font>
      <fill>
        <patternFill>
          <bgColor theme="9"/>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color auto="1"/>
      </font>
      <fill>
        <patternFill>
          <bgColor theme="9"/>
        </patternFill>
      </fill>
    </dxf>
    <dxf>
      <font>
        <b/>
        <i val="0"/>
        <color rgb="FFFF0000"/>
      </font>
      <fill>
        <patternFill>
          <bgColor rgb="FF00B0F0"/>
        </patternFill>
      </fill>
    </dxf>
    <dxf>
      <font>
        <b/>
        <i val="0"/>
        <color rgb="FFFFFF00"/>
      </font>
      <fill>
        <patternFill>
          <bgColor rgb="FFFF000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9"/>
      </font>
      <fill>
        <patternFill>
          <bgColor indexed="4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9"/>
      </font>
      <fill>
        <patternFill>
          <bgColor indexed="12"/>
        </patternFill>
      </fill>
    </dxf>
    <dxf>
      <font>
        <b/>
        <i val="0"/>
        <condense val="0"/>
        <extend val="0"/>
        <color indexed="9"/>
      </font>
      <fill>
        <patternFill>
          <bgColor indexed="54"/>
        </patternFill>
      </fill>
    </dxf>
    <dxf>
      <font>
        <color auto="1"/>
      </font>
      <fill>
        <patternFill>
          <bgColor theme="9"/>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color auto="1"/>
      </font>
      <fill>
        <patternFill>
          <bgColor theme="9"/>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lor rgb="FFFFFF00"/>
      </font>
      <fill>
        <patternFill>
          <bgColor rgb="FFFF0000"/>
        </patternFill>
      </fill>
    </dxf>
    <dxf>
      <font>
        <color theme="0"/>
      </font>
    </dxf>
    <dxf>
      <font>
        <color auto="1"/>
      </font>
      <fill>
        <patternFill>
          <bgColor theme="9"/>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color auto="1"/>
      </font>
      <fill>
        <patternFill>
          <bgColor theme="9"/>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color auto="1"/>
      </font>
      <fill>
        <patternFill>
          <bgColor theme="9"/>
        </patternFill>
      </fill>
    </dxf>
    <dxf>
      <font>
        <b/>
        <i val="0"/>
        <color rgb="FFFF0000"/>
      </font>
      <fill>
        <patternFill>
          <bgColor rgb="FF00B0F0"/>
        </patternFill>
      </fill>
    </dxf>
    <dxf>
      <font>
        <b/>
        <i val="0"/>
        <color rgb="FFFFFF00"/>
      </font>
      <fill>
        <patternFill>
          <bgColor rgb="FFFF000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9"/>
      </font>
      <fill>
        <patternFill>
          <bgColor indexed="4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condense val="0"/>
        <extend val="0"/>
        <color indexed="9"/>
      </font>
    </dxf>
    <dxf>
      <font>
        <b/>
        <i val="0"/>
        <color rgb="FFFFFF00"/>
      </font>
      <fill>
        <patternFill>
          <bgColor rgb="FFFF0000"/>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color theme="0"/>
      </font>
    </dxf>
    <dxf>
      <font>
        <color auto="1"/>
      </font>
      <fill>
        <patternFill>
          <bgColor theme="9"/>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b/>
        <i/>
        <condense val="0"/>
        <extend val="0"/>
        <color indexed="13"/>
      </font>
      <fill>
        <patternFill>
          <bgColor indexed="18"/>
        </patternFill>
      </fill>
    </dxf>
    <dxf>
      <font>
        <b/>
        <i val="0"/>
        <condense val="0"/>
        <extend val="0"/>
        <color indexed="9"/>
      </font>
      <fill>
        <patternFill>
          <bgColor indexed="12"/>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52"/>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color theme="0"/>
      </font>
    </dxf>
    <dxf>
      <font>
        <color theme="0"/>
      </font>
    </dxf>
    <dxf>
      <font>
        <b/>
        <i/>
        <condense val="0"/>
        <extend val="0"/>
        <color indexed="13"/>
      </font>
      <fill>
        <patternFill>
          <bgColor indexed="18"/>
        </patternFill>
      </fill>
    </dxf>
    <dxf>
      <font>
        <b/>
        <i val="0"/>
        <condense val="0"/>
        <extend val="0"/>
        <color indexed="9"/>
      </font>
      <fill>
        <patternFill>
          <bgColor indexed="12"/>
        </patternFill>
      </fill>
    </dxf>
    <dxf>
      <font>
        <color auto="1"/>
      </font>
      <fill>
        <patternFill>
          <bgColor theme="9"/>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color auto="1"/>
      </font>
      <fill>
        <patternFill>
          <bgColor theme="9"/>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color auto="1"/>
      </font>
      <fill>
        <patternFill>
          <bgColor theme="9"/>
        </patternFill>
      </fill>
    </dxf>
    <dxf>
      <font>
        <b/>
        <i val="0"/>
        <color rgb="FFFF0000"/>
      </font>
      <fill>
        <patternFill>
          <bgColor rgb="FF00B0F0"/>
        </patternFill>
      </fill>
    </dxf>
    <dxf>
      <font>
        <b/>
        <i val="0"/>
        <color rgb="FFFFFF00"/>
      </font>
      <fill>
        <patternFill>
          <bgColor rgb="FFFF000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9"/>
      </font>
      <fill>
        <patternFill>
          <bgColor indexed="4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condense val="0"/>
        <extend val="0"/>
        <color indexed="9"/>
      </font>
    </dxf>
    <dxf>
      <font>
        <b/>
        <i val="0"/>
        <color rgb="FFFFFF00"/>
      </font>
      <fill>
        <patternFill>
          <bgColor rgb="FFFF0000"/>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s>
  <tableStyles count="0" defaultTableStyle="TableStyleMedium2" defaultPivotStyle="PivotStyleLight16"/>
  <colors>
    <mruColors>
      <color rgb="FF990000"/>
      <color rgb="FF0000FF"/>
      <color rgb="FFD0FEDC"/>
      <color rgb="FF800000"/>
      <color rgb="FFFAF2B6"/>
      <color rgb="FFFFFFFF"/>
      <color rgb="FFE5FEFF"/>
      <color rgb="FFD3FDE0"/>
      <color rgb="FFFFCCFF"/>
      <color rgb="FFECFE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400050</xdr:colOff>
      <xdr:row>1</xdr:row>
      <xdr:rowOff>485775</xdr:rowOff>
    </xdr:from>
    <xdr:to>
      <xdr:col>1</xdr:col>
      <xdr:colOff>295275</xdr:colOff>
      <xdr:row>1</xdr:row>
      <xdr:rowOff>485775</xdr:rowOff>
    </xdr:to>
    <xdr:sp macro="" textlink="">
      <xdr:nvSpPr>
        <xdr:cNvPr id="2" name="Line 3"/>
        <xdr:cNvSpPr>
          <a:spLocks noChangeShapeType="1"/>
        </xdr:cNvSpPr>
      </xdr:nvSpPr>
      <xdr:spPr bwMode="auto">
        <a:xfrm>
          <a:off x="295275" y="44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xdr:colOff>
      <xdr:row>2</xdr:row>
      <xdr:rowOff>24849</xdr:rowOff>
    </xdr:from>
    <xdr:to>
      <xdr:col>35</xdr:col>
      <xdr:colOff>165652</xdr:colOff>
      <xdr:row>2</xdr:row>
      <xdr:rowOff>24849</xdr:rowOff>
    </xdr:to>
    <xdr:sp macro="" textlink="">
      <xdr:nvSpPr>
        <xdr:cNvPr id="3" name="Line 4"/>
        <xdr:cNvSpPr>
          <a:spLocks noChangeShapeType="1"/>
        </xdr:cNvSpPr>
      </xdr:nvSpPr>
      <xdr:spPr bwMode="auto">
        <a:xfrm flipV="1">
          <a:off x="5135218" y="472110"/>
          <a:ext cx="149915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132086</xdr:colOff>
      <xdr:row>2</xdr:row>
      <xdr:rowOff>4967</xdr:rowOff>
    </xdr:from>
    <xdr:to>
      <xdr:col>5</xdr:col>
      <xdr:colOff>140800</xdr:colOff>
      <xdr:row>2</xdr:row>
      <xdr:rowOff>4967</xdr:rowOff>
    </xdr:to>
    <xdr:cxnSp macro="">
      <xdr:nvCxnSpPr>
        <xdr:cNvPr id="4" name="Straight Connector 3"/>
        <xdr:cNvCxnSpPr/>
      </xdr:nvCxnSpPr>
      <xdr:spPr>
        <a:xfrm>
          <a:off x="372282" y="452228"/>
          <a:ext cx="110201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969152</xdr:colOff>
      <xdr:row>2</xdr:row>
      <xdr:rowOff>29307</xdr:rowOff>
    </xdr:from>
    <xdr:to>
      <xdr:col>63</xdr:col>
      <xdr:colOff>266</xdr:colOff>
      <xdr:row>2</xdr:row>
      <xdr:rowOff>29307</xdr:rowOff>
    </xdr:to>
    <xdr:cxnSp macro="">
      <xdr:nvCxnSpPr>
        <xdr:cNvPr id="3" name="Straight Connector 2"/>
        <xdr:cNvCxnSpPr/>
      </xdr:nvCxnSpPr>
      <xdr:spPr>
        <a:xfrm>
          <a:off x="4900379" y="453602"/>
          <a:ext cx="136906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303070</xdr:colOff>
      <xdr:row>2</xdr:row>
      <xdr:rowOff>36634</xdr:rowOff>
    </xdr:from>
    <xdr:to>
      <xdr:col>4</xdr:col>
      <xdr:colOff>793242</xdr:colOff>
      <xdr:row>2</xdr:row>
      <xdr:rowOff>36634</xdr:rowOff>
    </xdr:to>
    <xdr:cxnSp macro="">
      <xdr:nvCxnSpPr>
        <xdr:cNvPr id="4" name="Straight Connector 3"/>
        <xdr:cNvCxnSpPr/>
      </xdr:nvCxnSpPr>
      <xdr:spPr>
        <a:xfrm>
          <a:off x="607870" y="465259"/>
          <a:ext cx="49017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Luong%20+%20PCTN%20NG/1.%20N&#226;ng%20(Lg%20+%20PC%20NG)/3.%20Lg%20TX%20+%20PC%20NG%202014/9.%20LgTX%20+%20PCNG%2006-9-%202014/@1%20Lg+PC%209-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ownloads/Bang%20luong%20HCHCQG%20(11-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B%20Lg%20+%20PCTNNGT7-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L (2)"/>
      <sheetName val="4.GiaoQĐ-$"/>
      <sheetName val="QĐ=$"/>
      <sheetName val="TTr=$"/>
      <sheetName val="TB=$ "/>
      <sheetName val="@@ DL"/>
      <sheetName val="TB--%"/>
      <sheetName val="TTr--%"/>
      <sheetName val="QĐ - %"/>
      <sheetName val="Giao QĐ - %"/>
      <sheetName val="DS Hưu 2015"/>
      <sheetName val="TH số liệu"/>
      <sheetName val="CƠ CẤU"/>
      <sheetName val="- DLiêu Gốc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B1" t="str">
            <v>NGẠCH</v>
          </cell>
          <cell r="C1" t="str">
            <v>MÃ SỐ</v>
          </cell>
          <cell r="D1" t="str">
            <v>HS bậc 1</v>
          </cell>
          <cell r="E1" t="str">
            <v>BƯỚC</v>
          </cell>
        </row>
        <row r="2">
          <cell r="B2" t="str">
            <v>Giảng viên cao cấp</v>
          </cell>
          <cell r="C2" t="str">
            <v>15.109</v>
          </cell>
          <cell r="D2">
            <v>6.2</v>
          </cell>
          <cell r="E2">
            <v>0.36</v>
          </cell>
          <cell r="F2" t="str">
            <v>A3</v>
          </cell>
          <cell r="G2" t="str">
            <v>A3.1</v>
          </cell>
        </row>
        <row r="3">
          <cell r="B3" t="str">
            <v>Giảng viên chính</v>
          </cell>
          <cell r="C3" t="str">
            <v>15.110</v>
          </cell>
          <cell r="D3">
            <v>4.4000000000000004</v>
          </cell>
          <cell r="E3">
            <v>0.34</v>
          </cell>
          <cell r="F3" t="str">
            <v>A2</v>
          </cell>
          <cell r="G3" t="str">
            <v>A2.1</v>
          </cell>
        </row>
        <row r="4">
          <cell r="B4" t="str">
            <v>Giảng viên</v>
          </cell>
          <cell r="C4" t="str">
            <v>15.111</v>
          </cell>
          <cell r="D4">
            <v>2.34</v>
          </cell>
          <cell r="E4">
            <v>0.33</v>
          </cell>
          <cell r="F4" t="str">
            <v>A1</v>
          </cell>
          <cell r="G4" t="str">
            <v>- - -</v>
          </cell>
        </row>
        <row r="5">
          <cell r="B5" t="str">
            <v>Giáo viên trung học cao cấp</v>
          </cell>
          <cell r="C5" t="str">
            <v>15.112</v>
          </cell>
          <cell r="D5">
            <v>4</v>
          </cell>
          <cell r="E5">
            <v>0.34</v>
          </cell>
          <cell r="F5" t="str">
            <v>A2</v>
          </cell>
          <cell r="G5" t="str">
            <v>A2.2</v>
          </cell>
        </row>
        <row r="6">
          <cell r="B6" t="str">
            <v>Giáo viên trung học</v>
          </cell>
          <cell r="C6" t="str">
            <v>15.113</v>
          </cell>
          <cell r="D6">
            <v>2.34</v>
          </cell>
          <cell r="E6">
            <v>0.33</v>
          </cell>
          <cell r="F6" t="str">
            <v>A1</v>
          </cell>
          <cell r="G6" t="str">
            <v>- - -</v>
          </cell>
        </row>
        <row r="7">
          <cell r="B7" t="str">
            <v>Giáo viên trung học cơ sở chính</v>
          </cell>
          <cell r="C7" t="str">
            <v>15a.201</v>
          </cell>
          <cell r="D7">
            <v>2.34</v>
          </cell>
          <cell r="E7">
            <v>0.33</v>
          </cell>
          <cell r="F7" t="str">
            <v>A1</v>
          </cell>
          <cell r="G7" t="str">
            <v>- - -</v>
          </cell>
        </row>
        <row r="8">
          <cell r="B8" t="str">
            <v>Giáo viên trung học cơ sở</v>
          </cell>
          <cell r="C8" t="str">
            <v>15a.202</v>
          </cell>
          <cell r="D8">
            <v>2.1</v>
          </cell>
          <cell r="E8">
            <v>0.31</v>
          </cell>
          <cell r="F8" t="str">
            <v>A0</v>
          </cell>
          <cell r="G8" t="str">
            <v>- - -</v>
          </cell>
        </row>
        <row r="9">
          <cell r="B9" t="str">
            <v>Nghiên cứu viên cao cấp</v>
          </cell>
          <cell r="C9" t="str">
            <v>13.090</v>
          </cell>
          <cell r="D9">
            <v>6.2</v>
          </cell>
          <cell r="E9">
            <v>0.36</v>
          </cell>
          <cell r="F9" t="str">
            <v>A3</v>
          </cell>
          <cell r="G9" t="str">
            <v>A3.1</v>
          </cell>
        </row>
        <row r="10">
          <cell r="B10" t="str">
            <v>Nghiên cứu viên chính</v>
          </cell>
          <cell r="C10" t="str">
            <v>13.091</v>
          </cell>
          <cell r="D10">
            <v>4.4000000000000004</v>
          </cell>
          <cell r="E10">
            <v>0.34</v>
          </cell>
          <cell r="F10" t="str">
            <v>A2</v>
          </cell>
          <cell r="G10" t="str">
            <v>A2.1</v>
          </cell>
        </row>
        <row r="11">
          <cell r="B11" t="str">
            <v>Nghiên cứu viên</v>
          </cell>
          <cell r="C11" t="str">
            <v>13.092</v>
          </cell>
          <cell r="D11">
            <v>2.34</v>
          </cell>
          <cell r="E11">
            <v>0.33</v>
          </cell>
          <cell r="F11" t="str">
            <v>A1</v>
          </cell>
          <cell r="G11" t="str">
            <v>- - -</v>
          </cell>
        </row>
        <row r="12">
          <cell r="B12" t="str">
            <v>Chuyên viên cao cấp</v>
          </cell>
          <cell r="C12" t="str">
            <v>01.001</v>
          </cell>
          <cell r="D12">
            <v>6.2</v>
          </cell>
          <cell r="E12">
            <v>0.36</v>
          </cell>
          <cell r="F12" t="str">
            <v>A3</v>
          </cell>
          <cell r="G12" t="str">
            <v>A3.1</v>
          </cell>
        </row>
        <row r="13">
          <cell r="B13" t="str">
            <v>Chuyên viên chính</v>
          </cell>
          <cell r="C13" t="str">
            <v>01.002</v>
          </cell>
          <cell r="D13">
            <v>4.4000000000000004</v>
          </cell>
          <cell r="E13">
            <v>0.34</v>
          </cell>
          <cell r="F13" t="str">
            <v>A2</v>
          </cell>
          <cell r="G13" t="str">
            <v>A2.1</v>
          </cell>
        </row>
        <row r="14">
          <cell r="B14" t="str">
            <v>Chuyên viên</v>
          </cell>
          <cell r="C14" t="str">
            <v>01.003</v>
          </cell>
          <cell r="D14">
            <v>2.34</v>
          </cell>
          <cell r="E14">
            <v>0.33</v>
          </cell>
          <cell r="F14" t="str">
            <v>A1</v>
          </cell>
          <cell r="G14" t="str">
            <v>- - -</v>
          </cell>
        </row>
        <row r="15">
          <cell r="B15" t="str">
            <v>Chuyên viên (cao đẳng)</v>
          </cell>
          <cell r="C15" t="str">
            <v>01a.003</v>
          </cell>
          <cell r="D15">
            <v>2.1</v>
          </cell>
          <cell r="E15">
            <v>0.31</v>
          </cell>
          <cell r="F15" t="str">
            <v>A0</v>
          </cell>
          <cell r="G15" t="str">
            <v>- - -</v>
          </cell>
        </row>
        <row r="16">
          <cell r="B16" t="str">
            <v>Cán sự</v>
          </cell>
          <cell r="C16" t="str">
            <v>01.004</v>
          </cell>
          <cell r="D16">
            <v>1.86</v>
          </cell>
          <cell r="E16">
            <v>0.2</v>
          </cell>
          <cell r="F16" t="str">
            <v>B</v>
          </cell>
          <cell r="G16" t="str">
            <v>- - -</v>
          </cell>
        </row>
        <row r="17">
          <cell r="B17" t="str">
            <v>Thanh tra viên cao cấp</v>
          </cell>
          <cell r="C17" t="str">
            <v>04.023</v>
          </cell>
          <cell r="D17">
            <v>6.2</v>
          </cell>
          <cell r="E17">
            <v>0.36</v>
          </cell>
          <cell r="F17" t="str">
            <v>A3</v>
          </cell>
          <cell r="G17" t="str">
            <v>A3.1</v>
          </cell>
        </row>
        <row r="18">
          <cell r="B18" t="str">
            <v>Thanh tra viên chính</v>
          </cell>
          <cell r="C18" t="str">
            <v>04.024</v>
          </cell>
          <cell r="D18">
            <v>4.4000000000000004</v>
          </cell>
          <cell r="E18">
            <v>0.34</v>
          </cell>
          <cell r="F18" t="str">
            <v>A2</v>
          </cell>
          <cell r="G18" t="str">
            <v>A2.1</v>
          </cell>
        </row>
        <row r="19">
          <cell r="B19" t="str">
            <v>Thanh tra viên</v>
          </cell>
          <cell r="C19" t="str">
            <v>04.025</v>
          </cell>
          <cell r="D19">
            <v>2.34</v>
          </cell>
          <cell r="E19">
            <v>0.33</v>
          </cell>
          <cell r="F19" t="str">
            <v>A1</v>
          </cell>
          <cell r="G19" t="str">
            <v>- - -</v>
          </cell>
        </row>
        <row r="20">
          <cell r="B20" t="str">
            <v>Thẩm tra viên</v>
          </cell>
          <cell r="C20" t="str">
            <v>03.230</v>
          </cell>
          <cell r="D20">
            <v>2.34</v>
          </cell>
          <cell r="E20">
            <v>0.33</v>
          </cell>
          <cell r="F20" t="str">
            <v>A1</v>
          </cell>
          <cell r="G20" t="str">
            <v>- - -</v>
          </cell>
        </row>
        <row r="21">
          <cell r="B21" t="str">
            <v>Thư viện viên cao cấp</v>
          </cell>
          <cell r="C21" t="str">
            <v>17.168</v>
          </cell>
          <cell r="D21">
            <v>5.75</v>
          </cell>
          <cell r="E21">
            <v>0.36</v>
          </cell>
          <cell r="F21" t="str">
            <v>A3</v>
          </cell>
          <cell r="G21" t="str">
            <v>A3.2</v>
          </cell>
        </row>
        <row r="22">
          <cell r="B22" t="str">
            <v>Thư viện viên chính</v>
          </cell>
          <cell r="C22" t="str">
            <v>17.169</v>
          </cell>
          <cell r="D22">
            <v>4</v>
          </cell>
          <cell r="E22">
            <v>0.34</v>
          </cell>
          <cell r="F22" t="str">
            <v>A2</v>
          </cell>
          <cell r="G22" t="str">
            <v>A2.2</v>
          </cell>
        </row>
        <row r="23">
          <cell r="B23" t="str">
            <v>Thư viện viên</v>
          </cell>
          <cell r="C23" t="str">
            <v>17.170</v>
          </cell>
          <cell r="D23">
            <v>2.34</v>
          </cell>
          <cell r="E23">
            <v>0.33</v>
          </cell>
          <cell r="F23" t="str">
            <v>A1</v>
          </cell>
          <cell r="G23" t="str">
            <v>- - -</v>
          </cell>
        </row>
        <row r="24">
          <cell r="B24" t="str">
            <v>Thư viện viên (cao đẳng)</v>
          </cell>
          <cell r="C24" t="str">
            <v>17a.170</v>
          </cell>
          <cell r="D24">
            <v>2.1</v>
          </cell>
          <cell r="E24">
            <v>0.31</v>
          </cell>
          <cell r="F24" t="str">
            <v>A0</v>
          </cell>
          <cell r="G24" t="str">
            <v>- - -</v>
          </cell>
        </row>
        <row r="25">
          <cell r="B25" t="str">
            <v>Thư viện viên trung cấp</v>
          </cell>
          <cell r="C25" t="str">
            <v>17.171</v>
          </cell>
          <cell r="D25">
            <v>1.86</v>
          </cell>
          <cell r="E25">
            <v>0.2</v>
          </cell>
          <cell r="F25" t="str">
            <v>B</v>
          </cell>
          <cell r="G25" t="str">
            <v>- - -</v>
          </cell>
        </row>
        <row r="26">
          <cell r="B26" t="str">
            <v>Kỹ sư cao cấp</v>
          </cell>
          <cell r="C26" t="str">
            <v>13.093</v>
          </cell>
          <cell r="D26">
            <v>6.2</v>
          </cell>
          <cell r="E26">
            <v>0.36</v>
          </cell>
          <cell r="F26" t="str">
            <v>A3</v>
          </cell>
          <cell r="G26" t="str">
            <v>A3.1</v>
          </cell>
        </row>
        <row r="27">
          <cell r="B27" t="str">
            <v>Kỹ sư chính</v>
          </cell>
          <cell r="C27" t="str">
            <v>13.094</v>
          </cell>
          <cell r="D27">
            <v>4.4000000000000004</v>
          </cell>
          <cell r="E27">
            <v>0.34</v>
          </cell>
          <cell r="F27" t="str">
            <v>A2</v>
          </cell>
          <cell r="G27" t="str">
            <v>A2.1</v>
          </cell>
        </row>
        <row r="28">
          <cell r="B28" t="str">
            <v>Kỹ sư</v>
          </cell>
          <cell r="C28" t="str">
            <v>13.095</v>
          </cell>
          <cell r="D28">
            <v>2.34</v>
          </cell>
          <cell r="E28">
            <v>0.33</v>
          </cell>
          <cell r="F28" t="str">
            <v>A1</v>
          </cell>
          <cell r="G28" t="str">
            <v>- - -</v>
          </cell>
        </row>
        <row r="29">
          <cell r="B29" t="str">
            <v>Kỹ thuật viên</v>
          </cell>
          <cell r="C29" t="str">
            <v>13.096</v>
          </cell>
          <cell r="D29">
            <v>1.86</v>
          </cell>
          <cell r="E29">
            <v>0.2</v>
          </cell>
          <cell r="F29" t="str">
            <v>B</v>
          </cell>
          <cell r="G29" t="str">
            <v>- - -</v>
          </cell>
        </row>
        <row r="30">
          <cell r="B30" t="str">
            <v>Bác sỹ cao cấp</v>
          </cell>
          <cell r="C30" t="str">
            <v>16.116</v>
          </cell>
          <cell r="D30">
            <v>6.2</v>
          </cell>
          <cell r="E30">
            <v>0.36</v>
          </cell>
          <cell r="F30" t="str">
            <v>A3</v>
          </cell>
          <cell r="G30" t="str">
            <v>A3.1</v>
          </cell>
        </row>
        <row r="31">
          <cell r="B31" t="str">
            <v>Bác sỹ chính</v>
          </cell>
          <cell r="C31" t="str">
            <v>16.117</v>
          </cell>
          <cell r="D31">
            <v>4.4000000000000004</v>
          </cell>
          <cell r="E31">
            <v>0.34</v>
          </cell>
          <cell r="F31" t="str">
            <v>A2</v>
          </cell>
          <cell r="G31" t="str">
            <v>A2.1</v>
          </cell>
        </row>
        <row r="32">
          <cell r="B32" t="str">
            <v>Bác sỹ</v>
          </cell>
          <cell r="C32" t="str">
            <v>16.118</v>
          </cell>
          <cell r="D32">
            <v>2.34</v>
          </cell>
          <cell r="E32">
            <v>0.33</v>
          </cell>
          <cell r="F32" t="str">
            <v>A1</v>
          </cell>
          <cell r="G32" t="str">
            <v>- - -</v>
          </cell>
        </row>
        <row r="33">
          <cell r="B33" t="str">
            <v>Y sỹ</v>
          </cell>
          <cell r="C33" t="str">
            <v>16.119</v>
          </cell>
          <cell r="D33">
            <v>1.86</v>
          </cell>
          <cell r="E33">
            <v>0.2</v>
          </cell>
          <cell r="F33" t="str">
            <v>B</v>
          </cell>
          <cell r="G33" t="str">
            <v>- - -</v>
          </cell>
        </row>
        <row r="34">
          <cell r="B34" t="str">
            <v>Biên tập viên cao cấp</v>
          </cell>
          <cell r="C34" t="str">
            <v>17.139</v>
          </cell>
          <cell r="D34">
            <v>6.2</v>
          </cell>
          <cell r="E34">
            <v>0.36</v>
          </cell>
          <cell r="F34" t="str">
            <v>A3</v>
          </cell>
          <cell r="G34" t="str">
            <v>A3.1</v>
          </cell>
        </row>
        <row r="35">
          <cell r="B35" t="str">
            <v>Biên tập viên chính</v>
          </cell>
          <cell r="C35" t="str">
            <v>17.140</v>
          </cell>
          <cell r="D35">
            <v>4.4000000000000004</v>
          </cell>
          <cell r="E35">
            <v>0.34</v>
          </cell>
          <cell r="F35" t="str">
            <v>A2</v>
          </cell>
          <cell r="G35" t="str">
            <v>A2.1</v>
          </cell>
        </row>
        <row r="36">
          <cell r="B36" t="str">
            <v>Biên tập viên</v>
          </cell>
          <cell r="C36" t="str">
            <v>17.141</v>
          </cell>
          <cell r="D36">
            <v>2.34</v>
          </cell>
          <cell r="E36">
            <v>0.33</v>
          </cell>
          <cell r="F36" t="str">
            <v>A1</v>
          </cell>
          <cell r="G36" t="str">
            <v>- - -</v>
          </cell>
        </row>
        <row r="37">
          <cell r="B37" t="str">
            <v>Phóng viên cao cấp</v>
          </cell>
          <cell r="C37" t="str">
            <v>17.142</v>
          </cell>
          <cell r="D37">
            <v>6.2</v>
          </cell>
          <cell r="E37">
            <v>0.36</v>
          </cell>
          <cell r="F37" t="str">
            <v>A3</v>
          </cell>
          <cell r="G37" t="str">
            <v>A3.1</v>
          </cell>
        </row>
        <row r="38">
          <cell r="B38" t="str">
            <v>Phóng viên chính</v>
          </cell>
          <cell r="C38" t="str">
            <v>17.143</v>
          </cell>
          <cell r="D38">
            <v>4.4000000000000004</v>
          </cell>
          <cell r="E38">
            <v>0.34</v>
          </cell>
          <cell r="F38" t="str">
            <v>A2</v>
          </cell>
          <cell r="G38" t="str">
            <v>A2.1</v>
          </cell>
        </row>
        <row r="39">
          <cell r="B39" t="str">
            <v>Phóng viên</v>
          </cell>
          <cell r="C39" t="str">
            <v>17.144</v>
          </cell>
          <cell r="D39">
            <v>2.34</v>
          </cell>
          <cell r="E39">
            <v>0.33</v>
          </cell>
          <cell r="F39" t="str">
            <v>A1</v>
          </cell>
          <cell r="G39" t="str">
            <v>- - -</v>
          </cell>
        </row>
        <row r="40">
          <cell r="B40" t="str">
            <v>Kế toán viên cao cấp</v>
          </cell>
          <cell r="C40" t="str">
            <v>06.029</v>
          </cell>
          <cell r="D40">
            <v>5.75</v>
          </cell>
          <cell r="E40">
            <v>0.36</v>
          </cell>
          <cell r="F40" t="str">
            <v>A3</v>
          </cell>
          <cell r="G40" t="str">
            <v>A3.2</v>
          </cell>
        </row>
        <row r="41">
          <cell r="B41" t="str">
            <v>Kế toán viên chính</v>
          </cell>
          <cell r="C41" t="str">
            <v>06.030</v>
          </cell>
          <cell r="D41">
            <v>4</v>
          </cell>
          <cell r="E41">
            <v>0.34</v>
          </cell>
          <cell r="F41" t="str">
            <v>A2</v>
          </cell>
          <cell r="G41" t="str">
            <v>A2.2</v>
          </cell>
        </row>
        <row r="42">
          <cell r="B42" t="str">
            <v>Kế toán viên</v>
          </cell>
          <cell r="C42" t="str">
            <v>06.031</v>
          </cell>
          <cell r="D42">
            <v>2.34</v>
          </cell>
          <cell r="E42">
            <v>0.33</v>
          </cell>
          <cell r="F42" t="str">
            <v>A1</v>
          </cell>
          <cell r="G42" t="str">
            <v>- - -</v>
          </cell>
        </row>
        <row r="43">
          <cell r="B43" t="str">
            <v>Kế toán viên (cao đẳng)</v>
          </cell>
          <cell r="C43" t="str">
            <v>06a.031</v>
          </cell>
          <cell r="D43">
            <v>2.1</v>
          </cell>
          <cell r="E43">
            <v>0.31</v>
          </cell>
          <cell r="F43" t="str">
            <v>A0</v>
          </cell>
          <cell r="G43" t="str">
            <v>- - -</v>
          </cell>
        </row>
        <row r="44">
          <cell r="B44" t="str">
            <v>Kế toán viên trung cấp</v>
          </cell>
          <cell r="C44" t="str">
            <v>06.032</v>
          </cell>
          <cell r="D44">
            <v>1.86</v>
          </cell>
          <cell r="E44">
            <v>0.2</v>
          </cell>
          <cell r="F44" t="str">
            <v>B</v>
          </cell>
          <cell r="G44" t="str">
            <v>- - -</v>
          </cell>
        </row>
        <row r="45">
          <cell r="B45" t="str">
            <v>Lưu trữ viên</v>
          </cell>
          <cell r="C45" t="str">
            <v>02.014</v>
          </cell>
          <cell r="D45">
            <v>2.34</v>
          </cell>
          <cell r="E45">
            <v>0.33</v>
          </cell>
          <cell r="F45" t="str">
            <v>A1</v>
          </cell>
          <cell r="G45" t="str">
            <v>- - -</v>
          </cell>
        </row>
        <row r="46">
          <cell r="B46" t="str">
            <v>Lưu trữ viên (cao đẳng)</v>
          </cell>
          <cell r="C46" t="str">
            <v>02a.014</v>
          </cell>
          <cell r="D46">
            <v>2.1</v>
          </cell>
          <cell r="E46">
            <v>0.31</v>
          </cell>
          <cell r="F46" t="str">
            <v>A0</v>
          </cell>
          <cell r="G46" t="str">
            <v>- - -</v>
          </cell>
        </row>
        <row r="47">
          <cell r="B47" t="str">
            <v>Lưu trữ viên trung cấp</v>
          </cell>
          <cell r="C47" t="str">
            <v>02.015</v>
          </cell>
          <cell r="D47">
            <v>1.86</v>
          </cell>
          <cell r="E47">
            <v>0.2</v>
          </cell>
          <cell r="F47" t="str">
            <v>B</v>
          </cell>
          <cell r="G47" t="str">
            <v>- - -</v>
          </cell>
        </row>
        <row r="48">
          <cell r="B48" t="str">
            <v>Lái xe cơ quan</v>
          </cell>
          <cell r="C48" t="str">
            <v>01.010</v>
          </cell>
          <cell r="D48">
            <v>2.0499999999999998</v>
          </cell>
          <cell r="E48">
            <v>0.18</v>
          </cell>
          <cell r="F48" t="str">
            <v>C</v>
          </cell>
          <cell r="G48" t="str">
            <v>Nhân viên</v>
          </cell>
        </row>
        <row r="49">
          <cell r="B49" t="str">
            <v>Nhân viên kỹ thuật</v>
          </cell>
          <cell r="C49" t="str">
            <v>01.007</v>
          </cell>
          <cell r="D49">
            <v>1.65</v>
          </cell>
          <cell r="E49">
            <v>0.18</v>
          </cell>
          <cell r="F49" t="str">
            <v>C</v>
          </cell>
          <cell r="G49" t="str">
            <v>Nhân viên</v>
          </cell>
        </row>
        <row r="50">
          <cell r="B50" t="str">
            <v>Nhân viên bảo vệ</v>
          </cell>
          <cell r="C50" t="str">
            <v>01.011</v>
          </cell>
          <cell r="D50">
            <v>1.5</v>
          </cell>
          <cell r="E50">
            <v>0.18</v>
          </cell>
          <cell r="F50" t="str">
            <v>C</v>
          </cell>
          <cell r="G50" t="str">
            <v>Nhân viên</v>
          </cell>
        </row>
        <row r="51">
          <cell r="B51" t="str">
            <v>Kỹ Thuật viên đánh máy</v>
          </cell>
          <cell r="C51" t="str">
            <v>01.005</v>
          </cell>
          <cell r="D51">
            <v>1.5</v>
          </cell>
          <cell r="E51">
            <v>0.18</v>
          </cell>
          <cell r="F51" t="str">
            <v>C</v>
          </cell>
          <cell r="G51" t="str">
            <v>Nhân viên</v>
          </cell>
        </row>
        <row r="52">
          <cell r="B52" t="str">
            <v>Nhân viên đánh máy</v>
          </cell>
          <cell r="C52" t="str">
            <v>01.005</v>
          </cell>
          <cell r="D52">
            <v>1.5</v>
          </cell>
          <cell r="E52">
            <v>0.18</v>
          </cell>
          <cell r="F52" t="str">
            <v>C</v>
          </cell>
          <cell r="G52" t="str">
            <v>Nhân viên</v>
          </cell>
        </row>
        <row r="53">
          <cell r="B53" t="str">
            <v>Nhân viên phục vụ</v>
          </cell>
          <cell r="C53" t="str">
            <v>01.009</v>
          </cell>
          <cell r="D53">
            <v>1</v>
          </cell>
          <cell r="E53">
            <v>0.18</v>
          </cell>
          <cell r="F53" t="str">
            <v>C</v>
          </cell>
          <cell r="G53" t="str">
            <v>Nhân viên</v>
          </cell>
        </row>
        <row r="54">
          <cell r="B54" t="str">
            <v>Thủ kho bảo quản</v>
          </cell>
          <cell r="C54" t="str">
            <v>19.185</v>
          </cell>
          <cell r="D54">
            <v>1.65</v>
          </cell>
          <cell r="E54">
            <v>0.18</v>
          </cell>
          <cell r="F54" t="str">
            <v>C</v>
          </cell>
          <cell r="G54" t="str">
            <v>Nhân viên</v>
          </cell>
        </row>
        <row r="55">
          <cell r="B55" t="str">
            <v>Thủ quỹ</v>
          </cell>
          <cell r="C55" t="str">
            <v>06.035</v>
          </cell>
          <cell r="D55">
            <v>1.5</v>
          </cell>
          <cell r="E55">
            <v>0.18</v>
          </cell>
          <cell r="F55" t="str">
            <v>C</v>
          </cell>
          <cell r="G55" t="str">
            <v>Nhân viên</v>
          </cell>
        </row>
        <row r="56">
          <cell r="B56">
            <v>0</v>
          </cell>
          <cell r="C56">
            <v>0</v>
          </cell>
          <cell r="D56">
            <v>0</v>
          </cell>
          <cell r="E56">
            <v>0</v>
          </cell>
          <cell r="F56">
            <v>0</v>
          </cell>
          <cell r="G56">
            <v>0</v>
          </cell>
        </row>
        <row r="57">
          <cell r="B57">
            <v>0</v>
          </cell>
          <cell r="C57">
            <v>0</v>
          </cell>
          <cell r="D57">
            <v>0</v>
          </cell>
          <cell r="E57">
            <v>0</v>
          </cell>
          <cell r="F57">
            <v>0</v>
          </cell>
          <cell r="G57">
            <v>0</v>
          </cell>
        </row>
        <row r="58">
          <cell r="B58">
            <v>0</v>
          </cell>
          <cell r="C58">
            <v>0</v>
          </cell>
          <cell r="D58">
            <v>0</v>
          </cell>
          <cell r="E58">
            <v>0</v>
          </cell>
          <cell r="F58">
            <v>0</v>
          </cell>
          <cell r="G58">
            <v>0</v>
          </cell>
        </row>
        <row r="59">
          <cell r="B59">
            <v>0</v>
          </cell>
          <cell r="C59">
            <v>0</v>
          </cell>
          <cell r="D59">
            <v>0</v>
          </cell>
          <cell r="E59">
            <v>0</v>
          </cell>
          <cell r="F59">
            <v>0</v>
          </cell>
          <cell r="G59">
            <v>0</v>
          </cell>
        </row>
        <row r="60">
          <cell r="B60">
            <v>0</v>
          </cell>
          <cell r="C60">
            <v>0</v>
          </cell>
          <cell r="D60">
            <v>0</v>
          </cell>
          <cell r="E60">
            <v>0</v>
          </cell>
          <cell r="F60">
            <v>0</v>
          </cell>
          <cell r="G60">
            <v>0</v>
          </cell>
        </row>
        <row r="61">
          <cell r="B61">
            <v>0</v>
          </cell>
          <cell r="C61">
            <v>0</v>
          </cell>
          <cell r="D61">
            <v>0</v>
          </cell>
          <cell r="E61">
            <v>0</v>
          </cell>
          <cell r="F61">
            <v>0</v>
          </cell>
          <cell r="G61">
            <v>0</v>
          </cell>
        </row>
        <row r="62">
          <cell r="B62">
            <v>0</v>
          </cell>
          <cell r="C62">
            <v>0</v>
          </cell>
          <cell r="D62">
            <v>0</v>
          </cell>
          <cell r="E62">
            <v>0</v>
          </cell>
          <cell r="F62">
            <v>0</v>
          </cell>
          <cell r="G62">
            <v>0</v>
          </cell>
        </row>
        <row r="63">
          <cell r="B63">
            <v>0</v>
          </cell>
          <cell r="C63">
            <v>0</v>
          </cell>
          <cell r="D63">
            <v>0</v>
          </cell>
          <cell r="E63">
            <v>0</v>
          </cell>
          <cell r="F63">
            <v>0</v>
          </cell>
          <cell r="G63">
            <v>0</v>
          </cell>
        </row>
        <row r="64">
          <cell r="B64">
            <v>0</v>
          </cell>
          <cell r="C64">
            <v>0</v>
          </cell>
          <cell r="D64">
            <v>0</v>
          </cell>
          <cell r="E64">
            <v>0</v>
          </cell>
          <cell r="F64">
            <v>0</v>
          </cell>
          <cell r="G64">
            <v>0</v>
          </cell>
        </row>
        <row r="65">
          <cell r="B65">
            <v>0</v>
          </cell>
          <cell r="C65">
            <v>0</v>
          </cell>
          <cell r="D65">
            <v>0</v>
          </cell>
          <cell r="E65">
            <v>0</v>
          </cell>
          <cell r="F65">
            <v>0</v>
          </cell>
          <cell r="G65">
            <v>0</v>
          </cell>
        </row>
        <row r="66">
          <cell r="B66">
            <v>0</v>
          </cell>
          <cell r="C66">
            <v>0</v>
          </cell>
          <cell r="D66">
            <v>0</v>
          </cell>
          <cell r="E66">
            <v>0</v>
          </cell>
          <cell r="F66">
            <v>0</v>
          </cell>
          <cell r="G66">
            <v>0</v>
          </cell>
        </row>
        <row r="67">
          <cell r="B67">
            <v>0</v>
          </cell>
          <cell r="C67">
            <v>0</v>
          </cell>
          <cell r="D67">
            <v>0</v>
          </cell>
          <cell r="E67">
            <v>0</v>
          </cell>
          <cell r="F67">
            <v>0</v>
          </cell>
          <cell r="G67">
            <v>0</v>
          </cell>
        </row>
        <row r="68">
          <cell r="B68">
            <v>0</v>
          </cell>
          <cell r="C68">
            <v>0</v>
          </cell>
          <cell r="D68">
            <v>0</v>
          </cell>
          <cell r="E68">
            <v>0</v>
          </cell>
          <cell r="F68">
            <v>0</v>
          </cell>
          <cell r="G68">
            <v>0</v>
          </cell>
        </row>
        <row r="69">
          <cell r="B69">
            <v>0</v>
          </cell>
          <cell r="C69">
            <v>0</v>
          </cell>
          <cell r="D69">
            <v>0</v>
          </cell>
          <cell r="E69">
            <v>0</v>
          </cell>
          <cell r="F69">
            <v>0</v>
          </cell>
          <cell r="G69">
            <v>0</v>
          </cell>
        </row>
        <row r="70">
          <cell r="B70" t="str">
            <v>CHỨC VỤ</v>
          </cell>
          <cell r="C70" t="str">
            <v>PC CV</v>
          </cell>
          <cell r="D70">
            <v>0</v>
          </cell>
          <cell r="E70">
            <v>0</v>
          </cell>
          <cell r="F70">
            <v>0</v>
          </cell>
          <cell r="G70">
            <v>0</v>
          </cell>
        </row>
        <row r="71">
          <cell r="B71" t="str">
            <v>Giám đốc Học viện</v>
          </cell>
          <cell r="C71">
            <v>1.3</v>
          </cell>
          <cell r="D71">
            <v>0</v>
          </cell>
          <cell r="E71">
            <v>0</v>
          </cell>
          <cell r="F71">
            <v>0</v>
          </cell>
          <cell r="G71">
            <v>0</v>
          </cell>
        </row>
        <row r="72">
          <cell r="B72" t="str">
            <v>Nguyên giám đốc Học viện</v>
          </cell>
          <cell r="C72">
            <v>1.3</v>
          </cell>
          <cell r="D72">
            <v>0</v>
          </cell>
          <cell r="E72">
            <v>0</v>
          </cell>
          <cell r="F72">
            <v>0</v>
          </cell>
          <cell r="G72">
            <v>0</v>
          </cell>
        </row>
        <row r="73">
          <cell r="B73" t="str">
            <v>Phó Giám đốc Học viện</v>
          </cell>
          <cell r="C73">
            <v>1.1000000000000001</v>
          </cell>
          <cell r="D73">
            <v>0</v>
          </cell>
          <cell r="E73">
            <v>0</v>
          </cell>
          <cell r="F73">
            <v>0</v>
          </cell>
          <cell r="G73">
            <v>0</v>
          </cell>
        </row>
        <row r="74">
          <cell r="B74" t="str">
            <v>Nguyên Phó giám đốc Học viện</v>
          </cell>
          <cell r="C74">
            <v>1.1000000000000001</v>
          </cell>
          <cell r="D74">
            <v>0</v>
          </cell>
          <cell r="E74">
            <v>0</v>
          </cell>
          <cell r="F74">
            <v>0</v>
          </cell>
          <cell r="G74">
            <v>0</v>
          </cell>
        </row>
        <row r="75">
          <cell r="B75" t="str">
            <v>Giám đốc phân viện</v>
          </cell>
          <cell r="C75" t="str">
            <v>1,2</v>
          </cell>
          <cell r="D75">
            <v>0</v>
          </cell>
          <cell r="E75">
            <v>0</v>
          </cell>
          <cell r="F75">
            <v>0</v>
          </cell>
          <cell r="G75">
            <v>0</v>
          </cell>
        </row>
        <row r="76">
          <cell r="B76" t="str">
            <v>Trưởng khoa</v>
          </cell>
          <cell r="C76" t="str">
            <v>1,0</v>
          </cell>
          <cell r="D76">
            <v>0</v>
          </cell>
          <cell r="E76">
            <v>0</v>
          </cell>
          <cell r="F76">
            <v>0</v>
          </cell>
          <cell r="G76">
            <v>0</v>
          </cell>
        </row>
        <row r="77">
          <cell r="B77" t="str">
            <v>Nguyên Trưởng khoa</v>
          </cell>
          <cell r="C77" t="str">
            <v>1,0</v>
          </cell>
          <cell r="D77">
            <v>0</v>
          </cell>
          <cell r="E77">
            <v>0</v>
          </cell>
          <cell r="F77">
            <v>0</v>
          </cell>
          <cell r="G77">
            <v>0</v>
          </cell>
        </row>
        <row r="78">
          <cell r="B78" t="str">
            <v>Phó Trưởng khoa</v>
          </cell>
          <cell r="C78" t="str">
            <v>0,8</v>
          </cell>
          <cell r="D78">
            <v>0</v>
          </cell>
          <cell r="E78">
            <v>0</v>
          </cell>
          <cell r="F78">
            <v>0</v>
          </cell>
          <cell r="G78">
            <v>0</v>
          </cell>
        </row>
        <row r="79">
          <cell r="B79" t="str">
            <v>Nguyên Phó trưởng khoa</v>
          </cell>
          <cell r="C79" t="str">
            <v>0,8</v>
          </cell>
          <cell r="D79">
            <v>0</v>
          </cell>
          <cell r="E79">
            <v>0</v>
          </cell>
          <cell r="F79">
            <v>0</v>
          </cell>
          <cell r="G79">
            <v>0</v>
          </cell>
        </row>
        <row r="80">
          <cell r="B80" t="str">
            <v>Trưởng ban</v>
          </cell>
          <cell r="C80" t="str">
            <v>1,0</v>
          </cell>
          <cell r="D80">
            <v>0</v>
          </cell>
          <cell r="E80">
            <v>0</v>
          </cell>
          <cell r="F80">
            <v>0</v>
          </cell>
          <cell r="G80">
            <v>0</v>
          </cell>
        </row>
        <row r="81">
          <cell r="B81" t="str">
            <v>Nguyên Trưởng ban</v>
          </cell>
          <cell r="C81" t="str">
            <v>1,0</v>
          </cell>
          <cell r="D81">
            <v>0</v>
          </cell>
          <cell r="E81">
            <v>0</v>
          </cell>
          <cell r="F81">
            <v>0</v>
          </cell>
          <cell r="G81">
            <v>0</v>
          </cell>
        </row>
        <row r="82">
          <cell r="B82" t="str">
            <v>Phó Trưởng ban</v>
          </cell>
          <cell r="C82" t="str">
            <v>0,8</v>
          </cell>
          <cell r="D82">
            <v>0</v>
          </cell>
          <cell r="E82">
            <v>0</v>
          </cell>
          <cell r="F82">
            <v>0</v>
          </cell>
          <cell r="G82">
            <v>0</v>
          </cell>
        </row>
        <row r="83">
          <cell r="B83" t="str">
            <v>Phó Trưởng ban (PT)</v>
          </cell>
          <cell r="C83" t="str">
            <v>0,8</v>
          </cell>
          <cell r="D83">
            <v>0</v>
          </cell>
          <cell r="E83">
            <v>0</v>
          </cell>
          <cell r="F83">
            <v>0</v>
          </cell>
          <cell r="G83">
            <v>0</v>
          </cell>
        </row>
        <row r="84">
          <cell r="B84" t="str">
            <v>Nguyên Phó trưởng ban</v>
          </cell>
          <cell r="C84" t="str">
            <v>0,8</v>
          </cell>
          <cell r="D84">
            <v>0</v>
          </cell>
          <cell r="E84">
            <v>0</v>
          </cell>
          <cell r="F84">
            <v>0</v>
          </cell>
          <cell r="G84">
            <v>0</v>
          </cell>
        </row>
        <row r="85">
          <cell r="B85" t="str">
            <v>Trưởng phòng</v>
          </cell>
          <cell r="C85" t="str">
            <v>0,6</v>
          </cell>
          <cell r="D85">
            <v>0</v>
          </cell>
          <cell r="E85">
            <v>0</v>
          </cell>
          <cell r="F85">
            <v>0</v>
          </cell>
          <cell r="G85">
            <v>0</v>
          </cell>
        </row>
        <row r="86">
          <cell r="B86" t="str">
            <v>Q. Trưởng phòng</v>
          </cell>
          <cell r="C86" t="str">
            <v>0,6</v>
          </cell>
          <cell r="D86">
            <v>0</v>
          </cell>
          <cell r="E86">
            <v>0</v>
          </cell>
          <cell r="F86">
            <v>0</v>
          </cell>
          <cell r="G86">
            <v>0</v>
          </cell>
        </row>
        <row r="87">
          <cell r="B87" t="str">
            <v>Phó Trưởng phòng</v>
          </cell>
          <cell r="C87" t="str">
            <v>0,4</v>
          </cell>
          <cell r="D87">
            <v>0</v>
          </cell>
          <cell r="E87">
            <v>0</v>
          </cell>
          <cell r="F87">
            <v>0</v>
          </cell>
          <cell r="G87">
            <v>0</v>
          </cell>
        </row>
        <row r="88">
          <cell r="B88" t="str">
            <v>Phó Trưởng phòng (PT)</v>
          </cell>
          <cell r="C88" t="str">
            <v>0,4</v>
          </cell>
          <cell r="D88">
            <v>0</v>
          </cell>
          <cell r="E88">
            <v>0</v>
          </cell>
          <cell r="F88">
            <v>0</v>
          </cell>
          <cell r="G88">
            <v>0</v>
          </cell>
        </row>
        <row r="89">
          <cell r="B89" t="str">
            <v>Trưởng bộ môn</v>
          </cell>
          <cell r="C89" t="str">
            <v>0,6</v>
          </cell>
          <cell r="D89">
            <v>0</v>
          </cell>
          <cell r="E89">
            <v>0</v>
          </cell>
          <cell r="F89">
            <v>0</v>
          </cell>
          <cell r="G89">
            <v>0</v>
          </cell>
        </row>
        <row r="90">
          <cell r="B90" t="str">
            <v>Phó Trưởng bộ môn</v>
          </cell>
          <cell r="C90" t="str">
            <v>0,4</v>
          </cell>
          <cell r="D90">
            <v>0</v>
          </cell>
          <cell r="E90">
            <v>0</v>
          </cell>
          <cell r="F90">
            <v>0</v>
          </cell>
          <cell r="G90">
            <v>0</v>
          </cell>
        </row>
        <row r="91">
          <cell r="B91" t="str">
            <v>Tổng Biên tập</v>
          </cell>
          <cell r="C91" t="str">
            <v>1,0</v>
          </cell>
          <cell r="D91">
            <v>0</v>
          </cell>
          <cell r="E91">
            <v>0</v>
          </cell>
          <cell r="F91">
            <v>0</v>
          </cell>
          <cell r="G91">
            <v>0</v>
          </cell>
        </row>
        <row r="92">
          <cell r="B92" t="str">
            <v>Phó Tổng biên tập</v>
          </cell>
          <cell r="C92" t="str">
            <v>0,8</v>
          </cell>
          <cell r="D92">
            <v>0</v>
          </cell>
          <cell r="E92">
            <v>0</v>
          </cell>
          <cell r="F92">
            <v>0</v>
          </cell>
          <cell r="G92">
            <v>0</v>
          </cell>
        </row>
        <row r="93">
          <cell r="B93" t="str">
            <v>Trưởng ban (TC QLNN)</v>
          </cell>
          <cell r="C93" t="str">
            <v>0,6</v>
          </cell>
          <cell r="D93">
            <v>0</v>
          </cell>
          <cell r="E93">
            <v>0</v>
          </cell>
          <cell r="F93">
            <v>0</v>
          </cell>
          <cell r="G93">
            <v>0</v>
          </cell>
        </row>
        <row r="94">
          <cell r="B94" t="str">
            <v>Trưởng Ban Biên tập</v>
          </cell>
          <cell r="C94" t="str">
            <v>0,6</v>
          </cell>
          <cell r="D94">
            <v>0</v>
          </cell>
          <cell r="E94">
            <v>0</v>
          </cell>
          <cell r="F94">
            <v>0</v>
          </cell>
          <cell r="G94">
            <v>0</v>
          </cell>
        </row>
        <row r="95">
          <cell r="B95" t="str">
            <v>Phó Trưởng ban (TC QLNN)</v>
          </cell>
          <cell r="C95" t="str">
            <v>0,4</v>
          </cell>
          <cell r="D95">
            <v>0</v>
          </cell>
          <cell r="E95">
            <v>0</v>
          </cell>
          <cell r="F95">
            <v>0</v>
          </cell>
          <cell r="G95">
            <v>0</v>
          </cell>
        </row>
        <row r="96">
          <cell r="B96" t="str">
            <v>Phó Trưởng ban (TC QLNN)</v>
          </cell>
          <cell r="C96" t="str">
            <v>0,4</v>
          </cell>
          <cell r="D96">
            <v>0</v>
          </cell>
          <cell r="E96">
            <v>0</v>
          </cell>
          <cell r="F96">
            <v>0</v>
          </cell>
          <cell r="G96">
            <v>0</v>
          </cell>
        </row>
        <row r="97">
          <cell r="B97" t="str">
            <v>Viện Trưởng</v>
          </cell>
          <cell r="C97" t="str">
            <v>1,0</v>
          </cell>
          <cell r="D97">
            <v>0</v>
          </cell>
          <cell r="E97">
            <v>0</v>
          </cell>
          <cell r="F97">
            <v>0</v>
          </cell>
          <cell r="G97">
            <v>0</v>
          </cell>
        </row>
        <row r="98">
          <cell r="B98" t="str">
            <v>Nguyên Viện Trưởng</v>
          </cell>
          <cell r="C98" t="str">
            <v>1,0</v>
          </cell>
          <cell r="D98">
            <v>0</v>
          </cell>
          <cell r="E98">
            <v>0</v>
          </cell>
          <cell r="F98">
            <v>0</v>
          </cell>
          <cell r="G98">
            <v>0</v>
          </cell>
        </row>
        <row r="99">
          <cell r="B99" t="str">
            <v>Phó Viện Trưởng</v>
          </cell>
          <cell r="C99" t="str">
            <v>0,8</v>
          </cell>
          <cell r="D99">
            <v>0</v>
          </cell>
          <cell r="E99">
            <v>0</v>
          </cell>
          <cell r="F99">
            <v>0</v>
          </cell>
          <cell r="G99">
            <v>0</v>
          </cell>
        </row>
        <row r="100">
          <cell r="B100" t="str">
            <v>Nguyên Phó Viện Trưởng</v>
          </cell>
          <cell r="C100" t="str">
            <v>0,8</v>
          </cell>
          <cell r="D100">
            <v>0</v>
          </cell>
          <cell r="E100">
            <v>0</v>
          </cell>
          <cell r="F100">
            <v>0</v>
          </cell>
          <cell r="G100">
            <v>0</v>
          </cell>
        </row>
        <row r="101">
          <cell r="B101" t="str">
            <v>Chủ nhiệm TV</v>
          </cell>
          <cell r="C101" t="str">
            <v>0,6</v>
          </cell>
          <cell r="D101">
            <v>0</v>
          </cell>
          <cell r="E101">
            <v>0</v>
          </cell>
          <cell r="F101">
            <v>0</v>
          </cell>
          <cell r="G101">
            <v>0</v>
          </cell>
        </row>
        <row r="102">
          <cell r="B102" t="str">
            <v>Phó Chủ nhiệm TV</v>
          </cell>
          <cell r="C102" t="str">
            <v>0,4</v>
          </cell>
          <cell r="D102">
            <v>0</v>
          </cell>
          <cell r="E102">
            <v>0</v>
          </cell>
          <cell r="F102">
            <v>0</v>
          </cell>
          <cell r="G102">
            <v>0</v>
          </cell>
        </row>
        <row r="103">
          <cell r="B103" t="str">
            <v>Giám đốc (cấp vụ)</v>
          </cell>
          <cell r="C103" t="str">
            <v>1,0</v>
          </cell>
          <cell r="D103">
            <v>0</v>
          </cell>
          <cell r="E103">
            <v>0</v>
          </cell>
          <cell r="F103">
            <v>0</v>
          </cell>
          <cell r="G103">
            <v>0</v>
          </cell>
        </row>
        <row r="104">
          <cell r="B104" t="str">
            <v>Phó Giám đốc (cấp vụ)</v>
          </cell>
          <cell r="C104" t="str">
            <v>0,8</v>
          </cell>
          <cell r="D104">
            <v>0</v>
          </cell>
          <cell r="E104">
            <v>0</v>
          </cell>
          <cell r="F104">
            <v>0</v>
          </cell>
          <cell r="G104">
            <v>0</v>
          </cell>
        </row>
        <row r="105">
          <cell r="B105" t="str">
            <v>Giám đốc (cấp phòng)</v>
          </cell>
          <cell r="C105">
            <v>0.6</v>
          </cell>
          <cell r="D105">
            <v>0</v>
          </cell>
          <cell r="E105">
            <v>0</v>
          </cell>
          <cell r="F105">
            <v>0</v>
          </cell>
          <cell r="G105">
            <v>0</v>
          </cell>
        </row>
        <row r="106">
          <cell r="B106" t="str">
            <v>Phó Giám đốc (cấp phòng)</v>
          </cell>
          <cell r="C106" t="str">
            <v>0,4</v>
          </cell>
          <cell r="D106">
            <v>0</v>
          </cell>
          <cell r="E106">
            <v>0</v>
          </cell>
          <cell r="F106">
            <v>0</v>
          </cell>
          <cell r="G106">
            <v>0</v>
          </cell>
        </row>
        <row r="107">
          <cell r="B107" t="str">
            <v>Chánh văn phòng</v>
          </cell>
          <cell r="C107" t="str">
            <v>1,0</v>
          </cell>
          <cell r="D107">
            <v>0</v>
          </cell>
          <cell r="E107">
            <v>0</v>
          </cell>
          <cell r="F107">
            <v>0</v>
          </cell>
          <cell r="G107">
            <v>0</v>
          </cell>
        </row>
        <row r="108">
          <cell r="B108" t="str">
            <v>Phó Chánh văn phòng</v>
          </cell>
          <cell r="C108" t="str">
            <v>0,8</v>
          </cell>
          <cell r="D108">
            <v>0</v>
          </cell>
          <cell r="E108">
            <v>0</v>
          </cell>
          <cell r="F108">
            <v>0</v>
          </cell>
          <cell r="G108">
            <v>0</v>
          </cell>
        </row>
        <row r="109">
          <cell r="B109" t="str">
            <v>Đội Trưởng</v>
          </cell>
          <cell r="C109" t="str">
            <v>0,6</v>
          </cell>
          <cell r="D109">
            <v>0</v>
          </cell>
          <cell r="E109">
            <v>0</v>
          </cell>
          <cell r="F109">
            <v>0</v>
          </cell>
          <cell r="G109">
            <v>0</v>
          </cell>
        </row>
        <row r="110">
          <cell r="B110" t="str">
            <v>Đội Phó</v>
          </cell>
          <cell r="C110" t="str">
            <v>0,4</v>
          </cell>
          <cell r="D110">
            <v>0</v>
          </cell>
          <cell r="E110">
            <v>0</v>
          </cell>
          <cell r="F110">
            <v>0</v>
          </cell>
          <cell r="G110">
            <v>0</v>
          </cell>
        </row>
        <row r="111">
          <cell r="B111">
            <v>0</v>
          </cell>
          <cell r="C111">
            <v>0</v>
          </cell>
          <cell r="D111">
            <v>0</v>
          </cell>
          <cell r="E111">
            <v>0</v>
          </cell>
          <cell r="F111">
            <v>0</v>
          </cell>
          <cell r="G111">
            <v>0</v>
          </cell>
        </row>
        <row r="112">
          <cell r="B112">
            <v>0</v>
          </cell>
          <cell r="C112">
            <v>0</v>
          </cell>
          <cell r="D112">
            <v>0</v>
          </cell>
          <cell r="E112">
            <v>0</v>
          </cell>
          <cell r="F112">
            <v>0</v>
          </cell>
          <cell r="G112">
            <v>0</v>
          </cell>
        </row>
        <row r="113">
          <cell r="B113">
            <v>0</v>
          </cell>
          <cell r="C113">
            <v>0</v>
          </cell>
          <cell r="D113">
            <v>0</v>
          </cell>
          <cell r="E113">
            <v>0</v>
          </cell>
          <cell r="F113">
            <v>0</v>
          </cell>
          <cell r="G113">
            <v>0</v>
          </cell>
        </row>
        <row r="114">
          <cell r="C114">
            <v>0</v>
          </cell>
          <cell r="D114">
            <v>0</v>
          </cell>
          <cell r="E114">
            <v>0</v>
          </cell>
          <cell r="F114">
            <v>0</v>
          </cell>
        </row>
        <row r="115">
          <cell r="C115">
            <v>0</v>
          </cell>
          <cell r="D115">
            <v>0</v>
          </cell>
          <cell r="E115">
            <v>0</v>
          </cell>
          <cell r="F115">
            <v>0</v>
          </cell>
        </row>
        <row r="116">
          <cell r="C116">
            <v>0</v>
          </cell>
          <cell r="D116">
            <v>0</v>
          </cell>
          <cell r="E116">
            <v>0</v>
          </cell>
          <cell r="F116">
            <v>0</v>
          </cell>
        </row>
        <row r="117">
          <cell r="C117">
            <v>0</v>
          </cell>
          <cell r="D117">
            <v>0</v>
          </cell>
          <cell r="E117">
            <v>0</v>
          </cell>
          <cell r="F117">
            <v>0</v>
          </cell>
        </row>
        <row r="118">
          <cell r="C118">
            <v>0</v>
          </cell>
          <cell r="D118">
            <v>0</v>
          </cell>
          <cell r="E118">
            <v>0</v>
          </cell>
          <cell r="F118">
            <v>0</v>
          </cell>
        </row>
        <row r="119">
          <cell r="C119">
            <v>0</v>
          </cell>
          <cell r="D119">
            <v>0</v>
          </cell>
          <cell r="E119">
            <v>0</v>
          </cell>
          <cell r="F119">
            <v>0</v>
          </cell>
        </row>
        <row r="120">
          <cell r="C120">
            <v>0</v>
          </cell>
          <cell r="D120">
            <v>0</v>
          </cell>
          <cell r="E120">
            <v>0</v>
          </cell>
          <cell r="F120">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 Dữ liệu (không sửa)"/>
      <sheetName val="1. Số lượng, cơ cấu"/>
      <sheetName val="2. Bảng lương hiện hành"/>
      <sheetName val="- DLiêu Gốc (Không sửa)"/>
      <sheetName val="Sheet1 (2)"/>
      <sheetName val="Sheet1"/>
      <sheetName val="Sheet2"/>
      <sheetName val="Sheet3"/>
    </sheetNames>
    <sheetDataSet>
      <sheetData sheetId="0" refreshError="1"/>
      <sheetData sheetId="1" refreshError="1"/>
      <sheetData sheetId="2" refreshError="1"/>
      <sheetData sheetId="3" refreshError="1">
        <row r="1">
          <cell r="C1" t="str">
            <v>NGẠCH</v>
          </cell>
        </row>
        <row r="2">
          <cell r="C2" t="str">
            <v>Giảng viên cao cấp (hạng I)</v>
          </cell>
          <cell r="D2" t="str">
            <v>V.07.01.01</v>
          </cell>
          <cell r="E2">
            <v>6.2</v>
          </cell>
          <cell r="F2">
            <v>0.36</v>
          </cell>
          <cell r="G2" t="str">
            <v>A3</v>
          </cell>
          <cell r="H2" t="str">
            <v>A3.1</v>
          </cell>
        </row>
        <row r="3">
          <cell r="C3" t="str">
            <v>Giảng viên chính (hạng II)</v>
          </cell>
          <cell r="D3" t="str">
            <v>V.07.01.02</v>
          </cell>
          <cell r="E3">
            <v>4.4000000000000004</v>
          </cell>
          <cell r="F3">
            <v>0.34</v>
          </cell>
          <cell r="G3" t="str">
            <v>A2</v>
          </cell>
          <cell r="H3" t="str">
            <v>A2.1</v>
          </cell>
        </row>
        <row r="4">
          <cell r="C4" t="str">
            <v>Giảng viên (hạng III)</v>
          </cell>
          <cell r="D4" t="str">
            <v>V.07.01.03</v>
          </cell>
          <cell r="E4">
            <v>2.34</v>
          </cell>
          <cell r="F4">
            <v>0.33</v>
          </cell>
          <cell r="G4" t="str">
            <v>A1</v>
          </cell>
          <cell r="H4" t="str">
            <v>- - -</v>
          </cell>
        </row>
        <row r="5">
          <cell r="C5" t="str">
            <v>Giảng viên chính</v>
          </cell>
          <cell r="D5" t="str">
            <v>15.110</v>
          </cell>
          <cell r="E5">
            <v>4.4000000000000004</v>
          </cell>
          <cell r="F5">
            <v>0.34</v>
          </cell>
          <cell r="G5" t="str">
            <v>A2</v>
          </cell>
          <cell r="H5" t="str">
            <v>A2.1</v>
          </cell>
        </row>
        <row r="6">
          <cell r="C6" t="str">
            <v xml:space="preserve">Giảng viên </v>
          </cell>
          <cell r="D6" t="str">
            <v>15.111</v>
          </cell>
          <cell r="E6">
            <v>2.34</v>
          </cell>
          <cell r="F6">
            <v>0.33</v>
          </cell>
          <cell r="G6" t="str">
            <v>A1</v>
          </cell>
          <cell r="H6" t="str">
            <v>- - -</v>
          </cell>
        </row>
        <row r="7">
          <cell r="C7" t="str">
            <v>Giáo viên trung học cao cấp</v>
          </cell>
          <cell r="D7" t="str">
            <v>15.112</v>
          </cell>
          <cell r="E7">
            <v>4</v>
          </cell>
          <cell r="F7">
            <v>0.34</v>
          </cell>
          <cell r="G7" t="str">
            <v>A2</v>
          </cell>
          <cell r="H7" t="str">
            <v>A2.2</v>
          </cell>
        </row>
        <row r="8">
          <cell r="C8" t="str">
            <v>Giáo viên trung học</v>
          </cell>
          <cell r="D8" t="str">
            <v>15.113</v>
          </cell>
          <cell r="E8">
            <v>2.34</v>
          </cell>
          <cell r="F8">
            <v>0.33</v>
          </cell>
          <cell r="G8" t="str">
            <v>A1</v>
          </cell>
          <cell r="H8" t="str">
            <v>- - -</v>
          </cell>
        </row>
        <row r="9">
          <cell r="C9" t="str">
            <v>Giáo viên trung học cơ sở chính</v>
          </cell>
          <cell r="D9" t="str">
            <v>15a.201</v>
          </cell>
          <cell r="E9">
            <v>2.34</v>
          </cell>
          <cell r="F9">
            <v>0.33</v>
          </cell>
          <cell r="G9" t="str">
            <v>A1</v>
          </cell>
          <cell r="H9" t="str">
            <v>- - -</v>
          </cell>
        </row>
        <row r="10">
          <cell r="C10" t="str">
            <v>Giáo viên trung học cơ sở</v>
          </cell>
          <cell r="D10" t="str">
            <v>15a.202</v>
          </cell>
          <cell r="E10">
            <v>2.1</v>
          </cell>
          <cell r="F10">
            <v>0.31</v>
          </cell>
          <cell r="G10" t="str">
            <v>A0</v>
          </cell>
          <cell r="H10" t="str">
            <v>- - -</v>
          </cell>
        </row>
        <row r="11">
          <cell r="C11" t="str">
            <v>Nghiên cứu viên cao cấp (hạng I)</v>
          </cell>
          <cell r="D11" t="str">
            <v>V.05.01.01</v>
          </cell>
          <cell r="E11">
            <v>6.2</v>
          </cell>
          <cell r="F11">
            <v>0.36</v>
          </cell>
          <cell r="G11" t="str">
            <v>A3</v>
          </cell>
          <cell r="H11" t="str">
            <v>A3.1</v>
          </cell>
        </row>
        <row r="12">
          <cell r="C12" t="str">
            <v>Nghiên cứu viên chính (hạng II)</v>
          </cell>
          <cell r="D12" t="str">
            <v>V.05.01.02</v>
          </cell>
          <cell r="E12">
            <v>4.4000000000000004</v>
          </cell>
          <cell r="F12">
            <v>0.34</v>
          </cell>
          <cell r="G12" t="str">
            <v>A2</v>
          </cell>
          <cell r="H12" t="str">
            <v>A2.1</v>
          </cell>
        </row>
        <row r="13">
          <cell r="C13" t="str">
            <v>Nghiên cứu viên (hạng III)</v>
          </cell>
          <cell r="D13" t="str">
            <v>V.05.01.03</v>
          </cell>
          <cell r="E13">
            <v>2.34</v>
          </cell>
          <cell r="F13">
            <v>0.33</v>
          </cell>
          <cell r="G13" t="str">
            <v>A1</v>
          </cell>
          <cell r="H13" t="str">
            <v>- - -</v>
          </cell>
        </row>
        <row r="14">
          <cell r="C14" t="str">
            <v>Chuyên viên cao cấp</v>
          </cell>
          <cell r="D14" t="str">
            <v>01.001</v>
          </cell>
          <cell r="E14">
            <v>6.2</v>
          </cell>
          <cell r="F14">
            <v>0.36</v>
          </cell>
          <cell r="G14" t="str">
            <v>A3</v>
          </cell>
          <cell r="H14" t="str">
            <v>A3.1</v>
          </cell>
        </row>
        <row r="15">
          <cell r="C15" t="str">
            <v>Chuyên viên chính</v>
          </cell>
          <cell r="D15" t="str">
            <v>01.002</v>
          </cell>
          <cell r="E15">
            <v>4.4000000000000004</v>
          </cell>
          <cell r="F15">
            <v>0.34</v>
          </cell>
          <cell r="G15" t="str">
            <v>A2</v>
          </cell>
          <cell r="H15" t="str">
            <v>A2.1</v>
          </cell>
        </row>
        <row r="16">
          <cell r="C16" t="str">
            <v>Chuyên viên</v>
          </cell>
          <cell r="D16" t="str">
            <v>01.003</v>
          </cell>
          <cell r="E16">
            <v>2.34</v>
          </cell>
          <cell r="F16">
            <v>0.33</v>
          </cell>
          <cell r="G16" t="str">
            <v>A1</v>
          </cell>
          <cell r="H16" t="str">
            <v>- - -</v>
          </cell>
        </row>
        <row r="17">
          <cell r="C17" t="str">
            <v>Chuyên viên (cao đẳng)</v>
          </cell>
          <cell r="D17" t="str">
            <v>01a.003</v>
          </cell>
          <cell r="E17">
            <v>2.1</v>
          </cell>
          <cell r="F17">
            <v>0.31</v>
          </cell>
          <cell r="G17" t="str">
            <v>A0</v>
          </cell>
          <cell r="H17" t="str">
            <v>- - -</v>
          </cell>
        </row>
        <row r="18">
          <cell r="C18" t="str">
            <v>Cán sự</v>
          </cell>
          <cell r="D18" t="str">
            <v>01.004</v>
          </cell>
          <cell r="E18">
            <v>1.86</v>
          </cell>
          <cell r="F18">
            <v>0.2</v>
          </cell>
          <cell r="G18" t="str">
            <v>B</v>
          </cell>
          <cell r="H18" t="str">
            <v>- - -</v>
          </cell>
        </row>
        <row r="19">
          <cell r="C19" t="str">
            <v>Thanh tra viên cao cấp</v>
          </cell>
          <cell r="D19" t="str">
            <v>04.023</v>
          </cell>
          <cell r="E19">
            <v>6.2</v>
          </cell>
          <cell r="F19">
            <v>0.36</v>
          </cell>
          <cell r="G19" t="str">
            <v>A3</v>
          </cell>
          <cell r="H19" t="str">
            <v>A3.1</v>
          </cell>
        </row>
        <row r="20">
          <cell r="C20" t="str">
            <v>Thanh tra viên chính</v>
          </cell>
          <cell r="D20" t="str">
            <v>04.024</v>
          </cell>
          <cell r="E20">
            <v>4.4000000000000004</v>
          </cell>
          <cell r="F20">
            <v>0.34</v>
          </cell>
          <cell r="G20" t="str">
            <v>A2</v>
          </cell>
          <cell r="H20" t="str">
            <v>A2.1</v>
          </cell>
        </row>
        <row r="21">
          <cell r="C21" t="str">
            <v>Thanh tra viên</v>
          </cell>
          <cell r="D21" t="str">
            <v>04.025</v>
          </cell>
          <cell r="E21">
            <v>2.34</v>
          </cell>
          <cell r="F21">
            <v>0.33</v>
          </cell>
          <cell r="G21" t="str">
            <v>A1</v>
          </cell>
          <cell r="H21" t="str">
            <v>- - -</v>
          </cell>
        </row>
        <row r="22">
          <cell r="C22" t="str">
            <v>Kiểm tra viên</v>
          </cell>
          <cell r="D22" t="str">
            <v>04,025A</v>
          </cell>
          <cell r="E22">
            <v>2.34</v>
          </cell>
          <cell r="F22">
            <v>0.33</v>
          </cell>
          <cell r="G22" t="str">
            <v>A1</v>
          </cell>
          <cell r="H22" t="str">
            <v>- - -</v>
          </cell>
        </row>
        <row r="23">
          <cell r="C23" t="str">
            <v>Thẩm tra viên</v>
          </cell>
          <cell r="D23" t="str">
            <v>03.230</v>
          </cell>
          <cell r="E23">
            <v>2.34</v>
          </cell>
          <cell r="F23">
            <v>0.33</v>
          </cell>
          <cell r="G23" t="str">
            <v>A1</v>
          </cell>
          <cell r="H23" t="str">
            <v>- - -</v>
          </cell>
        </row>
        <row r="24">
          <cell r="C24" t="str">
            <v>Thư viện viên cao cấp</v>
          </cell>
          <cell r="D24" t="str">
            <v>17.168</v>
          </cell>
          <cell r="E24">
            <v>5.75</v>
          </cell>
          <cell r="F24">
            <v>0.36</v>
          </cell>
          <cell r="G24" t="str">
            <v>A3</v>
          </cell>
          <cell r="H24" t="str">
            <v>A3.2</v>
          </cell>
        </row>
        <row r="25">
          <cell r="C25" t="str">
            <v>Thư viện viên chính</v>
          </cell>
          <cell r="D25" t="str">
            <v>17.169</v>
          </cell>
          <cell r="E25">
            <v>4</v>
          </cell>
          <cell r="F25">
            <v>0.34</v>
          </cell>
          <cell r="G25" t="str">
            <v>A2</v>
          </cell>
          <cell r="H25" t="str">
            <v>A2.2</v>
          </cell>
        </row>
        <row r="26">
          <cell r="C26" t="str">
            <v>Thư viện viên</v>
          </cell>
          <cell r="D26" t="str">
            <v>17.170</v>
          </cell>
          <cell r="E26">
            <v>2.34</v>
          </cell>
          <cell r="F26">
            <v>0.33</v>
          </cell>
          <cell r="G26" t="str">
            <v>A1</v>
          </cell>
          <cell r="H26" t="str">
            <v>- - -</v>
          </cell>
        </row>
        <row r="27">
          <cell r="C27" t="str">
            <v>Thư viện viên (cao đẳng)</v>
          </cell>
          <cell r="D27" t="str">
            <v>17a.170</v>
          </cell>
          <cell r="E27">
            <v>2.1</v>
          </cell>
          <cell r="F27">
            <v>0.31</v>
          </cell>
          <cell r="G27" t="str">
            <v>A0</v>
          </cell>
          <cell r="H27" t="str">
            <v>- - -</v>
          </cell>
        </row>
        <row r="28">
          <cell r="C28" t="str">
            <v>Thư viện viên trung cấp</v>
          </cell>
          <cell r="D28" t="str">
            <v>17.171</v>
          </cell>
          <cell r="E28">
            <v>1.86</v>
          </cell>
          <cell r="F28">
            <v>0.2</v>
          </cell>
          <cell r="G28" t="str">
            <v>B</v>
          </cell>
          <cell r="H28" t="str">
            <v>- - -</v>
          </cell>
        </row>
        <row r="29">
          <cell r="C29" t="str">
            <v>Kỹ sư cao cấp (hạng I)</v>
          </cell>
          <cell r="D29" t="str">
            <v>V.05.02.05</v>
          </cell>
          <cell r="E29">
            <v>6.2</v>
          </cell>
          <cell r="F29">
            <v>0.36</v>
          </cell>
          <cell r="G29" t="str">
            <v>A3</v>
          </cell>
          <cell r="H29" t="str">
            <v>A3.1</v>
          </cell>
        </row>
        <row r="30">
          <cell r="C30" t="str">
            <v>Kỹ sư chính (hạng II)</v>
          </cell>
          <cell r="D30" t="str">
            <v>V.05.02.06</v>
          </cell>
          <cell r="E30">
            <v>4.4000000000000004</v>
          </cell>
          <cell r="F30">
            <v>0.34</v>
          </cell>
          <cell r="G30" t="str">
            <v>A2</v>
          </cell>
          <cell r="H30" t="str">
            <v>A2.1</v>
          </cell>
        </row>
        <row r="31">
          <cell r="C31" t="str">
            <v>Kỹ sư (hạng III)</v>
          </cell>
          <cell r="D31" t="str">
            <v>V.05.02.07</v>
          </cell>
          <cell r="E31">
            <v>2.34</v>
          </cell>
          <cell r="F31">
            <v>0.33</v>
          </cell>
          <cell r="G31" t="str">
            <v>A1</v>
          </cell>
          <cell r="H31" t="str">
            <v>- - -</v>
          </cell>
        </row>
        <row r="32">
          <cell r="C32" t="str">
            <v>Kỹ thuật viên (hạng IV)</v>
          </cell>
          <cell r="D32" t="str">
            <v>V.05.02.08</v>
          </cell>
          <cell r="E32">
            <v>1.86</v>
          </cell>
          <cell r="F32">
            <v>0.2</v>
          </cell>
          <cell r="G32" t="str">
            <v>B</v>
          </cell>
          <cell r="H32" t="str">
            <v>- - -</v>
          </cell>
        </row>
        <row r="33">
          <cell r="C33" t="str">
            <v>Bác sỹ cao cấp</v>
          </cell>
          <cell r="D33" t="str">
            <v>16.116</v>
          </cell>
          <cell r="E33">
            <v>6.2</v>
          </cell>
          <cell r="F33">
            <v>0.36</v>
          </cell>
          <cell r="G33" t="str">
            <v>A3</v>
          </cell>
          <cell r="H33" t="str">
            <v>A3.1</v>
          </cell>
        </row>
        <row r="34">
          <cell r="C34" t="str">
            <v>Bác sỹ chính</v>
          </cell>
          <cell r="D34" t="str">
            <v xml:space="preserve"> </v>
          </cell>
          <cell r="E34">
            <v>4.4000000000000004</v>
          </cell>
          <cell r="F34">
            <v>0.34</v>
          </cell>
          <cell r="G34" t="str">
            <v>A2</v>
          </cell>
          <cell r="H34" t="str">
            <v>A2.1</v>
          </cell>
        </row>
        <row r="35">
          <cell r="C35" t="str">
            <v>Bác sỹ</v>
          </cell>
          <cell r="D35" t="str">
            <v>16.118</v>
          </cell>
          <cell r="E35">
            <v>2.34</v>
          </cell>
          <cell r="F35">
            <v>0.33</v>
          </cell>
          <cell r="G35" t="str">
            <v>A1</v>
          </cell>
          <cell r="H35" t="str">
            <v>- - -</v>
          </cell>
        </row>
        <row r="36">
          <cell r="C36" t="str">
            <v>Y sỹ</v>
          </cell>
          <cell r="D36" t="str">
            <v>16.119</v>
          </cell>
          <cell r="E36">
            <v>1.86</v>
          </cell>
          <cell r="F36">
            <v>0.2</v>
          </cell>
          <cell r="G36" t="str">
            <v>B</v>
          </cell>
          <cell r="H36" t="str">
            <v>- - -</v>
          </cell>
        </row>
        <row r="37">
          <cell r="C37" t="str">
            <v>Biên tập viên cao cấp</v>
          </cell>
          <cell r="D37" t="str">
            <v>17.139</v>
          </cell>
          <cell r="E37">
            <v>6.2</v>
          </cell>
          <cell r="F37">
            <v>0.36</v>
          </cell>
          <cell r="G37" t="str">
            <v>A3</v>
          </cell>
          <cell r="H37" t="str">
            <v>A3.1</v>
          </cell>
        </row>
        <row r="38">
          <cell r="C38" t="str">
            <v>Biên tập viên chính</v>
          </cell>
          <cell r="D38" t="str">
            <v>17.140</v>
          </cell>
          <cell r="E38">
            <v>4.4000000000000004</v>
          </cell>
          <cell r="F38">
            <v>0.34</v>
          </cell>
          <cell r="G38" t="str">
            <v>A2</v>
          </cell>
          <cell r="H38" t="str">
            <v>A2.1</v>
          </cell>
        </row>
        <row r="39">
          <cell r="C39" t="str">
            <v>Biên tập viên</v>
          </cell>
          <cell r="D39" t="str">
            <v>17.141</v>
          </cell>
          <cell r="E39">
            <v>2.34</v>
          </cell>
          <cell r="F39">
            <v>0.33</v>
          </cell>
          <cell r="G39" t="str">
            <v>A1</v>
          </cell>
          <cell r="H39" t="str">
            <v>- - -</v>
          </cell>
        </row>
        <row r="40">
          <cell r="C40" t="str">
            <v>Phóng viên cao cấp</v>
          </cell>
          <cell r="D40" t="str">
            <v>17.142</v>
          </cell>
          <cell r="E40">
            <v>6.2</v>
          </cell>
          <cell r="F40">
            <v>0.36</v>
          </cell>
          <cell r="G40" t="str">
            <v>A3</v>
          </cell>
          <cell r="H40" t="str">
            <v>A3.1</v>
          </cell>
        </row>
        <row r="41">
          <cell r="C41" t="str">
            <v>Phóng viên chính</v>
          </cell>
          <cell r="D41" t="str">
            <v>17.143</v>
          </cell>
          <cell r="E41">
            <v>4.4000000000000004</v>
          </cell>
          <cell r="F41">
            <v>0.34</v>
          </cell>
          <cell r="G41" t="str">
            <v>A2</v>
          </cell>
          <cell r="H41" t="str">
            <v>A2.1</v>
          </cell>
        </row>
        <row r="42">
          <cell r="C42" t="str">
            <v>Phóng viên</v>
          </cell>
          <cell r="D42" t="str">
            <v>17.144</v>
          </cell>
          <cell r="E42">
            <v>2.34</v>
          </cell>
          <cell r="F42">
            <v>0.33</v>
          </cell>
          <cell r="G42" t="str">
            <v>A1</v>
          </cell>
          <cell r="H42" t="str">
            <v>- - -</v>
          </cell>
        </row>
        <row r="43">
          <cell r="C43" t="str">
            <v>Kế toán viên cao cấp</v>
          </cell>
          <cell r="D43" t="str">
            <v>06.029</v>
          </cell>
          <cell r="E43">
            <v>5.75</v>
          </cell>
          <cell r="F43">
            <v>0.36</v>
          </cell>
          <cell r="G43" t="str">
            <v>A3</v>
          </cell>
          <cell r="H43" t="str">
            <v>A3.2</v>
          </cell>
        </row>
        <row r="44">
          <cell r="C44" t="str">
            <v>Kế toán viên chính</v>
          </cell>
          <cell r="D44" t="str">
            <v>06.030</v>
          </cell>
          <cell r="E44">
            <v>4</v>
          </cell>
          <cell r="F44">
            <v>0.34</v>
          </cell>
          <cell r="G44" t="str">
            <v>A2</v>
          </cell>
          <cell r="H44" t="str">
            <v>A2.2</v>
          </cell>
        </row>
        <row r="45">
          <cell r="C45" t="str">
            <v>Kế toán viên</v>
          </cell>
          <cell r="D45" t="str">
            <v>06.031</v>
          </cell>
          <cell r="E45">
            <v>2.34</v>
          </cell>
          <cell r="F45">
            <v>0.33</v>
          </cell>
          <cell r="G45" t="str">
            <v>A1</v>
          </cell>
          <cell r="H45" t="str">
            <v>- - -</v>
          </cell>
        </row>
        <row r="46">
          <cell r="C46" t="str">
            <v>Kế toán viên (cao đẳng)</v>
          </cell>
          <cell r="D46" t="str">
            <v>06a.031</v>
          </cell>
          <cell r="E46">
            <v>2.1</v>
          </cell>
          <cell r="F46">
            <v>0.31</v>
          </cell>
          <cell r="G46" t="str">
            <v>A0</v>
          </cell>
          <cell r="H46" t="str">
            <v>- - -</v>
          </cell>
        </row>
        <row r="47">
          <cell r="C47" t="str">
            <v>Kế toán viên trung cấp</v>
          </cell>
          <cell r="D47" t="str">
            <v>06.032</v>
          </cell>
          <cell r="E47">
            <v>1.86</v>
          </cell>
          <cell r="F47">
            <v>0.2</v>
          </cell>
          <cell r="G47" t="str">
            <v>B</v>
          </cell>
          <cell r="H47" t="str">
            <v>- - -</v>
          </cell>
        </row>
        <row r="48">
          <cell r="C48" t="str">
            <v>Lưu trữ viên</v>
          </cell>
          <cell r="D48" t="str">
            <v>02.014</v>
          </cell>
          <cell r="E48">
            <v>2.34</v>
          </cell>
          <cell r="F48">
            <v>0.33</v>
          </cell>
          <cell r="G48" t="str">
            <v>A1</v>
          </cell>
          <cell r="H48" t="str">
            <v>- - -</v>
          </cell>
        </row>
        <row r="49">
          <cell r="C49" t="str">
            <v>Lưu trữ viên (cao đẳng)</v>
          </cell>
          <cell r="D49" t="str">
            <v>02a.014</v>
          </cell>
          <cell r="E49">
            <v>2.1</v>
          </cell>
          <cell r="F49">
            <v>0.31</v>
          </cell>
          <cell r="G49" t="str">
            <v>A0</v>
          </cell>
          <cell r="H49" t="str">
            <v>- - -</v>
          </cell>
        </row>
        <row r="50">
          <cell r="C50" t="str">
            <v>Lưu trữ viên trung cấp</v>
          </cell>
          <cell r="D50" t="str">
            <v>02.015</v>
          </cell>
          <cell r="E50">
            <v>1.86</v>
          </cell>
          <cell r="F50">
            <v>0.2</v>
          </cell>
          <cell r="G50" t="str">
            <v>B</v>
          </cell>
          <cell r="H50" t="str">
            <v>- - -</v>
          </cell>
        </row>
        <row r="51">
          <cell r="C51" t="str">
            <v>Kỹ Thuật viên đánh máy</v>
          </cell>
          <cell r="D51" t="str">
            <v>01.005</v>
          </cell>
          <cell r="E51">
            <v>2.0499999999999998</v>
          </cell>
          <cell r="F51">
            <v>0.18</v>
          </cell>
          <cell r="G51" t="str">
            <v>C</v>
          </cell>
          <cell r="H51" t="str">
            <v>Nhân viên</v>
          </cell>
        </row>
        <row r="52">
          <cell r="C52" t="str">
            <v>Nhân viên đánh máy</v>
          </cell>
          <cell r="D52" t="str">
            <v>01.006</v>
          </cell>
          <cell r="E52">
            <v>1.5</v>
          </cell>
          <cell r="F52">
            <v>0.18</v>
          </cell>
          <cell r="G52" t="str">
            <v>C</v>
          </cell>
          <cell r="H52" t="str">
            <v>Nhân viên</v>
          </cell>
        </row>
        <row r="53">
          <cell r="C53" t="str">
            <v>Nhân viên kỹ thuật</v>
          </cell>
          <cell r="D53" t="str">
            <v>01.007</v>
          </cell>
          <cell r="E53">
            <v>1.65</v>
          </cell>
          <cell r="F53">
            <v>0.18</v>
          </cell>
          <cell r="G53" t="str">
            <v>C</v>
          </cell>
          <cell r="H53" t="str">
            <v>Nhân viên</v>
          </cell>
        </row>
        <row r="54">
          <cell r="C54" t="str">
            <v>Nhân viên văn thư</v>
          </cell>
          <cell r="D54" t="str">
            <v>01.008</v>
          </cell>
          <cell r="E54">
            <v>1.35</v>
          </cell>
          <cell r="F54">
            <v>0.18</v>
          </cell>
          <cell r="G54" t="str">
            <v>C</v>
          </cell>
          <cell r="H54" t="str">
            <v>Nhân viên</v>
          </cell>
        </row>
        <row r="55">
          <cell r="C55" t="str">
            <v>Nhân viên phục vụ</v>
          </cell>
          <cell r="D55" t="str">
            <v>01.009</v>
          </cell>
          <cell r="E55">
            <v>1</v>
          </cell>
          <cell r="F55">
            <v>0.18</v>
          </cell>
          <cell r="G55" t="str">
            <v>C</v>
          </cell>
          <cell r="H55" t="str">
            <v>Nhân viên</v>
          </cell>
        </row>
        <row r="56">
          <cell r="C56" t="str">
            <v>Lái xe cơ quan</v>
          </cell>
          <cell r="D56" t="str">
            <v>01.010</v>
          </cell>
          <cell r="E56">
            <v>2.0499999999999998</v>
          </cell>
          <cell r="F56">
            <v>0.18</v>
          </cell>
          <cell r="G56" t="str">
            <v>C</v>
          </cell>
          <cell r="H56" t="str">
            <v>Nhân viên</v>
          </cell>
        </row>
        <row r="57">
          <cell r="C57" t="str">
            <v>Nhân viên bảo vệ</v>
          </cell>
          <cell r="D57" t="str">
            <v>01.011</v>
          </cell>
          <cell r="E57">
            <v>1.5</v>
          </cell>
          <cell r="F57">
            <v>0.18</v>
          </cell>
          <cell r="G57" t="str">
            <v>C</v>
          </cell>
          <cell r="H57" t="str">
            <v>Nhân viên</v>
          </cell>
        </row>
        <row r="58">
          <cell r="C58" t="str">
            <v>Thủ kho bảo quản</v>
          </cell>
          <cell r="D58" t="str">
            <v>19.185</v>
          </cell>
          <cell r="E58">
            <v>1.65</v>
          </cell>
          <cell r="F58">
            <v>0.18</v>
          </cell>
          <cell r="G58" t="str">
            <v>C</v>
          </cell>
          <cell r="H58" t="str">
            <v>Nhân viên</v>
          </cell>
        </row>
        <row r="59">
          <cell r="C59" t="str">
            <v>Thủ quỹ</v>
          </cell>
          <cell r="D59" t="str">
            <v>06.035</v>
          </cell>
          <cell r="E59">
            <v>1.5</v>
          </cell>
          <cell r="F59">
            <v>0.18</v>
          </cell>
          <cell r="G59" t="str">
            <v>C</v>
          </cell>
          <cell r="H59" t="str">
            <v>Nhân viên</v>
          </cell>
        </row>
        <row r="61">
          <cell r="C61" t="str">
            <v>CHỨC VỤ</v>
          </cell>
          <cell r="D61" t="str">
            <v>PC CV</v>
          </cell>
        </row>
        <row r="62">
          <cell r="C62" t="str">
            <v>Giám đốc Học viện</v>
          </cell>
          <cell r="D62">
            <v>1.25</v>
          </cell>
        </row>
        <row r="63">
          <cell r="C63" t="str">
            <v>Phó Giám đốc Học viện</v>
          </cell>
          <cell r="D63">
            <v>1.1000000000000001</v>
          </cell>
        </row>
        <row r="64">
          <cell r="C64" t="str">
            <v>Nguyên Phó Giám đốc Học viện</v>
          </cell>
          <cell r="D64">
            <v>1.1000000000000001</v>
          </cell>
        </row>
        <row r="65">
          <cell r="C65" t="str">
            <v>Trưởng khoa</v>
          </cell>
          <cell r="D65" t="str">
            <v>1,0</v>
          </cell>
        </row>
        <row r="66">
          <cell r="C66" t="str">
            <v>Nguyên Trưởng khoa</v>
          </cell>
          <cell r="D66" t="str">
            <v>1,0</v>
          </cell>
        </row>
        <row r="67">
          <cell r="C67" t="str">
            <v>Q. Trưởng khoa</v>
          </cell>
          <cell r="D67">
            <v>1</v>
          </cell>
        </row>
        <row r="68">
          <cell r="C68" t="str">
            <v>Nguyên Q. Trưởng khoa</v>
          </cell>
          <cell r="D68">
            <v>1</v>
          </cell>
        </row>
        <row r="69">
          <cell r="C69" t="str">
            <v>Giám đốc phân viện</v>
          </cell>
          <cell r="D69">
            <v>1</v>
          </cell>
        </row>
        <row r="70">
          <cell r="C70" t="str">
            <v>Trưởng ban</v>
          </cell>
          <cell r="D70" t="str">
            <v>1,0</v>
          </cell>
        </row>
        <row r="71">
          <cell r="C71" t="str">
            <v>Nguyên Trưởng ban</v>
          </cell>
          <cell r="D71" t="str">
            <v>1,0</v>
          </cell>
        </row>
        <row r="72">
          <cell r="C72" t="str">
            <v>Tổng Biên tập</v>
          </cell>
          <cell r="D72" t="str">
            <v>1,0</v>
          </cell>
        </row>
        <row r="73">
          <cell r="C73" t="str">
            <v>Viện Trưởng</v>
          </cell>
          <cell r="D73" t="str">
            <v>1,0</v>
          </cell>
        </row>
        <row r="74">
          <cell r="C74" t="str">
            <v>Nguyên Viện Trưởng</v>
          </cell>
          <cell r="D74" t="str">
            <v>1,0</v>
          </cell>
        </row>
        <row r="75">
          <cell r="C75" t="str">
            <v>Giám đốc (cấp vụ)</v>
          </cell>
          <cell r="D75" t="str">
            <v>1,0</v>
          </cell>
        </row>
        <row r="76">
          <cell r="C76" t="str">
            <v>Chánh Văn phòng</v>
          </cell>
          <cell r="D76" t="str">
            <v>1,0</v>
          </cell>
        </row>
        <row r="77">
          <cell r="C77" t="str">
            <v>Phó Trưởng khoa</v>
          </cell>
          <cell r="D77" t="str">
            <v>0,8</v>
          </cell>
        </row>
        <row r="78">
          <cell r="C78" t="str">
            <v>Nguyên Phó Trưởng khoa</v>
          </cell>
          <cell r="D78" t="str">
            <v>0,8</v>
          </cell>
        </row>
        <row r="79">
          <cell r="C79" t="str">
            <v>Phó Trưởng ban</v>
          </cell>
          <cell r="D79" t="str">
            <v>0,8</v>
          </cell>
        </row>
        <row r="80">
          <cell r="C80" t="str">
            <v>Phó Trưởng ban (PT)</v>
          </cell>
          <cell r="D80" t="str">
            <v>0,8</v>
          </cell>
        </row>
        <row r="81">
          <cell r="C81" t="str">
            <v>Nguyên Phó Trưởng ban</v>
          </cell>
          <cell r="D81" t="str">
            <v>0,8</v>
          </cell>
        </row>
        <row r="82">
          <cell r="C82" t="str">
            <v>Phó Tổng biên tập</v>
          </cell>
          <cell r="D82" t="str">
            <v>0,8</v>
          </cell>
        </row>
        <row r="83">
          <cell r="C83" t="str">
            <v>Phó Viện trưởng</v>
          </cell>
          <cell r="D83" t="str">
            <v>0,8</v>
          </cell>
        </row>
        <row r="84">
          <cell r="C84" t="str">
            <v>Nguyên Phó Viện trưởng</v>
          </cell>
          <cell r="D84" t="str">
            <v>0,8</v>
          </cell>
        </row>
        <row r="85">
          <cell r="C85" t="str">
            <v>Phó Giám đốc (cấp vụ)</v>
          </cell>
          <cell r="D85" t="str">
            <v>0,8</v>
          </cell>
        </row>
        <row r="86">
          <cell r="C86" t="str">
            <v>Phó Chánh Văn phòng</v>
          </cell>
          <cell r="D86" t="str">
            <v>0,8</v>
          </cell>
        </row>
        <row r="87">
          <cell r="C87" t="str">
            <v>Giám đốc (cấp phòng)</v>
          </cell>
          <cell r="D87">
            <v>0.6</v>
          </cell>
        </row>
        <row r="88">
          <cell r="C88" t="str">
            <v>Chánh Văn phòng (cấp phòng)</v>
          </cell>
          <cell r="D88">
            <v>0.6</v>
          </cell>
        </row>
        <row r="89">
          <cell r="C89" t="str">
            <v>Trưởng khoa (cấp phòng)</v>
          </cell>
          <cell r="D89" t="str">
            <v>0,6</v>
          </cell>
        </row>
        <row r="90">
          <cell r="C90" t="str">
            <v>Trưởng phòng</v>
          </cell>
          <cell r="D90" t="str">
            <v>0,6</v>
          </cell>
        </row>
        <row r="91">
          <cell r="C91" t="str">
            <v>Q. Trưởng phòng</v>
          </cell>
          <cell r="D91" t="str">
            <v>0,6</v>
          </cell>
        </row>
        <row r="92">
          <cell r="C92" t="str">
            <v>Trưởng bộ môn</v>
          </cell>
          <cell r="D92" t="str">
            <v>0,6</v>
          </cell>
        </row>
        <row r="93">
          <cell r="C93" t="str">
            <v>Nguyên Trưởng bộ môn</v>
          </cell>
          <cell r="D93" t="str">
            <v>0,6</v>
          </cell>
        </row>
        <row r="94">
          <cell r="C94" t="str">
            <v>Trưởng ban (cấp phòng)</v>
          </cell>
          <cell r="D94" t="str">
            <v>0,6</v>
          </cell>
        </row>
        <row r="95">
          <cell r="C95" t="str">
            <v>Chủ nhiệm (cấp phòng)</v>
          </cell>
          <cell r="D95" t="str">
            <v>0,6</v>
          </cell>
        </row>
        <row r="96">
          <cell r="C96" t="str">
            <v>Đội Trưởng (cấp phòng)</v>
          </cell>
          <cell r="D96" t="str">
            <v>0,6</v>
          </cell>
        </row>
        <row r="97">
          <cell r="C97" t="str">
            <v>Phó Trưởng phòng</v>
          </cell>
          <cell r="D97" t="str">
            <v>0,4</v>
          </cell>
        </row>
        <row r="98">
          <cell r="C98" t="str">
            <v>Phó Trưởng phòng (PT)</v>
          </cell>
          <cell r="D98" t="str">
            <v>0,4</v>
          </cell>
        </row>
        <row r="99">
          <cell r="C99" t="str">
            <v>Phó Trưởng bộ môn</v>
          </cell>
          <cell r="D99" t="str">
            <v>0,4</v>
          </cell>
        </row>
        <row r="100">
          <cell r="C100" t="str">
            <v>Nguyên Phó Trưởng bộ môn</v>
          </cell>
          <cell r="D100" t="str">
            <v>0,4</v>
          </cell>
        </row>
        <row r="101">
          <cell r="C101" t="str">
            <v>Phó Trưởng ban (cấp phòng)</v>
          </cell>
          <cell r="D101" t="str">
            <v>0,4</v>
          </cell>
        </row>
        <row r="102">
          <cell r="C102" t="str">
            <v>Phó Trưởng ban (cấp phòng)</v>
          </cell>
          <cell r="D102" t="str">
            <v>0,4</v>
          </cell>
        </row>
        <row r="103">
          <cell r="C103" t="str">
            <v>Phó Chủ nhiệm (cấp phòng)</v>
          </cell>
          <cell r="D103" t="str">
            <v>0,4</v>
          </cell>
        </row>
        <row r="104">
          <cell r="C104" t="str">
            <v>Phó Giám đốc (cấp phòng)</v>
          </cell>
          <cell r="D104" t="str">
            <v>0,4</v>
          </cell>
        </row>
        <row r="105">
          <cell r="C105" t="str">
            <v>Phó Chánh Văn phòng (cấp phòng)</v>
          </cell>
          <cell r="D105" t="str">
            <v>0,4</v>
          </cell>
        </row>
        <row r="106">
          <cell r="C106" t="str">
            <v>Đội Phó (cấp phòng)</v>
          </cell>
          <cell r="D106" t="str">
            <v>0,4</v>
          </cell>
        </row>
      </sheetData>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o QĐ"/>
      <sheetName val="$-Ds in QĐ"/>
      <sheetName val="$-BB1"/>
      <sheetName val="% BC 1"/>
      <sheetName val="$-TBao1"/>
      <sheetName val="@.DL-New "/>
      <sheetName val="%-TBao2"/>
      <sheetName val="%-BCcao2"/>
      <sheetName val="%-BBan2"/>
      <sheetName val="%-Ds QĐ2"/>
      <sheetName val="Giao QD %"/>
      <sheetName val="Ds Huu+Thoi.."/>
      <sheetName val="- DLiêu Gốc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C2" t="str">
            <v>Giảng viên cao cấp (hạng I)</v>
          </cell>
          <cell r="D2" t="str">
            <v>V.07.01.01</v>
          </cell>
          <cell r="E2">
            <v>6.2</v>
          </cell>
          <cell r="F2">
            <v>0.36</v>
          </cell>
          <cell r="G2" t="str">
            <v>A3</v>
          </cell>
          <cell r="H2" t="str">
            <v>A3.1</v>
          </cell>
        </row>
        <row r="3">
          <cell r="C3" t="str">
            <v>Giảng viên chính (hạng II)</v>
          </cell>
          <cell r="D3" t="str">
            <v>V.07.01.02</v>
          </cell>
          <cell r="E3">
            <v>4.4000000000000004</v>
          </cell>
          <cell r="F3">
            <v>0.34</v>
          </cell>
          <cell r="G3" t="str">
            <v>A2</v>
          </cell>
          <cell r="H3" t="str">
            <v>A2.1</v>
          </cell>
        </row>
        <row r="4">
          <cell r="C4" t="str">
            <v>Giảng viên (hạng III)</v>
          </cell>
          <cell r="D4" t="str">
            <v>V.07.01.03</v>
          </cell>
          <cell r="E4">
            <v>2.34</v>
          </cell>
          <cell r="F4">
            <v>0.33</v>
          </cell>
          <cell r="G4" t="str">
            <v>A1</v>
          </cell>
          <cell r="H4" t="str">
            <v>- - -</v>
          </cell>
        </row>
        <row r="5">
          <cell r="C5" t="str">
            <v>Giảng viên chính</v>
          </cell>
          <cell r="D5" t="str">
            <v>15.110</v>
          </cell>
          <cell r="E5">
            <v>4.4000000000000004</v>
          </cell>
          <cell r="F5">
            <v>0.34</v>
          </cell>
          <cell r="G5" t="str">
            <v>A2</v>
          </cell>
          <cell r="H5" t="str">
            <v>A2.1</v>
          </cell>
        </row>
        <row r="6">
          <cell r="C6" t="str">
            <v xml:space="preserve">Giảng viên </v>
          </cell>
          <cell r="D6" t="str">
            <v>15.111</v>
          </cell>
          <cell r="E6">
            <v>2.34</v>
          </cell>
          <cell r="F6">
            <v>0.33</v>
          </cell>
          <cell r="G6" t="str">
            <v>A1</v>
          </cell>
          <cell r="H6" t="str">
            <v>- - -</v>
          </cell>
        </row>
        <row r="7">
          <cell r="C7" t="str">
            <v>Giáo viên trung học cao cấp</v>
          </cell>
          <cell r="D7" t="str">
            <v>15.112</v>
          </cell>
          <cell r="E7">
            <v>4</v>
          </cell>
          <cell r="F7">
            <v>0.34</v>
          </cell>
          <cell r="G7" t="str">
            <v>A2</v>
          </cell>
          <cell r="H7" t="str">
            <v>A2.2</v>
          </cell>
        </row>
        <row r="8">
          <cell r="C8" t="str">
            <v>Giáo viên trung học</v>
          </cell>
          <cell r="D8" t="str">
            <v>15.113</v>
          </cell>
          <cell r="E8">
            <v>2.34</v>
          </cell>
          <cell r="F8">
            <v>0.33</v>
          </cell>
          <cell r="G8" t="str">
            <v>A1</v>
          </cell>
          <cell r="H8" t="str">
            <v>- - -</v>
          </cell>
        </row>
        <row r="9">
          <cell r="C9" t="str">
            <v>Giáo viên trung học cơ sở chính</v>
          </cell>
          <cell r="D9" t="str">
            <v>15a.201</v>
          </cell>
          <cell r="E9">
            <v>2.34</v>
          </cell>
          <cell r="F9">
            <v>0.33</v>
          </cell>
          <cell r="G9" t="str">
            <v>A1</v>
          </cell>
          <cell r="H9" t="str">
            <v>- - -</v>
          </cell>
        </row>
        <row r="10">
          <cell r="C10" t="str">
            <v>Giáo viên trung học cơ sở</v>
          </cell>
          <cell r="D10" t="str">
            <v>15a.202</v>
          </cell>
          <cell r="E10">
            <v>2.1</v>
          </cell>
          <cell r="F10">
            <v>0.31</v>
          </cell>
          <cell r="G10" t="str">
            <v>A0</v>
          </cell>
          <cell r="H10" t="str">
            <v>- - -</v>
          </cell>
        </row>
        <row r="11">
          <cell r="C11" t="str">
            <v>Nghiên cứu viên cao cấp (hạng I)</v>
          </cell>
          <cell r="D11" t="str">
            <v>V.05.01.01</v>
          </cell>
          <cell r="E11">
            <v>6.2</v>
          </cell>
          <cell r="F11">
            <v>0.36</v>
          </cell>
          <cell r="G11" t="str">
            <v>A3</v>
          </cell>
          <cell r="H11" t="str">
            <v>A3.1</v>
          </cell>
        </row>
        <row r="12">
          <cell r="C12" t="str">
            <v>Nghiên cứu viên chính (hạng II)</v>
          </cell>
          <cell r="D12" t="str">
            <v>V.05.01.02</v>
          </cell>
          <cell r="E12">
            <v>4.4000000000000004</v>
          </cell>
          <cell r="F12">
            <v>0.34</v>
          </cell>
          <cell r="G12" t="str">
            <v>A2</v>
          </cell>
          <cell r="H12" t="str">
            <v>A2.1</v>
          </cell>
        </row>
        <row r="13">
          <cell r="C13" t="str">
            <v>Nghiên cứu viên (hạng III)</v>
          </cell>
          <cell r="D13" t="str">
            <v>V.05.01.03</v>
          </cell>
          <cell r="E13">
            <v>2.34</v>
          </cell>
          <cell r="F13">
            <v>0.33</v>
          </cell>
          <cell r="G13" t="str">
            <v>A1</v>
          </cell>
          <cell r="H13" t="str">
            <v>- - -</v>
          </cell>
        </row>
        <row r="14">
          <cell r="C14" t="str">
            <v>Chuyên viên cao cấp</v>
          </cell>
          <cell r="D14" t="str">
            <v>01.001</v>
          </cell>
          <cell r="E14">
            <v>6.2</v>
          </cell>
          <cell r="F14">
            <v>0.36</v>
          </cell>
          <cell r="G14" t="str">
            <v>A3</v>
          </cell>
          <cell r="H14" t="str">
            <v>A3.1</v>
          </cell>
        </row>
        <row r="15">
          <cell r="C15" t="str">
            <v>Chuyên viên chính</v>
          </cell>
          <cell r="D15" t="str">
            <v>01.002</v>
          </cell>
          <cell r="E15">
            <v>4.4000000000000004</v>
          </cell>
          <cell r="F15">
            <v>0.34</v>
          </cell>
          <cell r="G15" t="str">
            <v>A2</v>
          </cell>
          <cell r="H15" t="str">
            <v>A2.1</v>
          </cell>
        </row>
        <row r="16">
          <cell r="C16" t="str">
            <v>Chuyên viên</v>
          </cell>
          <cell r="D16" t="str">
            <v>01.003</v>
          </cell>
          <cell r="E16">
            <v>2.34</v>
          </cell>
          <cell r="F16">
            <v>0.33</v>
          </cell>
          <cell r="G16" t="str">
            <v>A1</v>
          </cell>
          <cell r="H16" t="str">
            <v>- - -</v>
          </cell>
        </row>
        <row r="17">
          <cell r="C17" t="str">
            <v>Chuyên viên (cao đẳng)</v>
          </cell>
          <cell r="D17" t="str">
            <v>01a.003</v>
          </cell>
          <cell r="E17">
            <v>2.1</v>
          </cell>
          <cell r="F17">
            <v>0.31</v>
          </cell>
          <cell r="G17" t="str">
            <v>A0</v>
          </cell>
          <cell r="H17" t="str">
            <v>- - -</v>
          </cell>
        </row>
        <row r="18">
          <cell r="C18" t="str">
            <v>Cán sự</v>
          </cell>
          <cell r="D18" t="str">
            <v>01.004</v>
          </cell>
          <cell r="E18">
            <v>1.86</v>
          </cell>
          <cell r="F18">
            <v>0.2</v>
          </cell>
          <cell r="G18" t="str">
            <v>B</v>
          </cell>
          <cell r="H18" t="str">
            <v>- - -</v>
          </cell>
        </row>
        <row r="19">
          <cell r="C19" t="str">
            <v>Thanh tra viên cao cấp</v>
          </cell>
          <cell r="D19" t="str">
            <v>04.023</v>
          </cell>
          <cell r="E19">
            <v>6.2</v>
          </cell>
          <cell r="F19">
            <v>0.36</v>
          </cell>
          <cell r="G19" t="str">
            <v>A3</v>
          </cell>
          <cell r="H19" t="str">
            <v>A3.1</v>
          </cell>
        </row>
        <row r="20">
          <cell r="C20" t="str">
            <v>Thanh tra viên chính</v>
          </cell>
          <cell r="D20" t="str">
            <v>04.024</v>
          </cell>
          <cell r="E20">
            <v>4.4000000000000004</v>
          </cell>
          <cell r="F20">
            <v>0.34</v>
          </cell>
          <cell r="G20" t="str">
            <v>A2</v>
          </cell>
          <cell r="H20" t="str">
            <v>A2.1</v>
          </cell>
        </row>
        <row r="21">
          <cell r="C21" t="str">
            <v>Thanh tra viên</v>
          </cell>
          <cell r="D21" t="str">
            <v>04.025</v>
          </cell>
          <cell r="E21">
            <v>2.34</v>
          </cell>
          <cell r="F21">
            <v>0.33</v>
          </cell>
          <cell r="G21" t="str">
            <v>A1</v>
          </cell>
          <cell r="H21" t="str">
            <v>- - -</v>
          </cell>
        </row>
        <row r="22">
          <cell r="C22" t="str">
            <v>Kiểm tra viên</v>
          </cell>
          <cell r="D22" t="str">
            <v>04,025A</v>
          </cell>
          <cell r="E22">
            <v>2.34</v>
          </cell>
          <cell r="F22">
            <v>0.33</v>
          </cell>
          <cell r="G22" t="str">
            <v>A1</v>
          </cell>
          <cell r="H22" t="str">
            <v>- - -</v>
          </cell>
        </row>
        <row r="23">
          <cell r="C23" t="str">
            <v>Thẩm tra viên</v>
          </cell>
          <cell r="D23" t="str">
            <v>03.230</v>
          </cell>
          <cell r="E23">
            <v>2.34</v>
          </cell>
          <cell r="F23">
            <v>0.33</v>
          </cell>
          <cell r="G23" t="str">
            <v>A1</v>
          </cell>
          <cell r="H23" t="str">
            <v>- - -</v>
          </cell>
        </row>
        <row r="24">
          <cell r="C24" t="str">
            <v>Thư viện viên hạng II</v>
          </cell>
          <cell r="D24" t="str">
            <v>V.10.02.05</v>
          </cell>
          <cell r="E24">
            <v>4</v>
          </cell>
          <cell r="F24">
            <v>0.34</v>
          </cell>
          <cell r="G24" t="str">
            <v>A2</v>
          </cell>
          <cell r="H24" t="str">
            <v>A2.2</v>
          </cell>
        </row>
        <row r="25">
          <cell r="C25" t="str">
            <v>Thư viện viên hạng III</v>
          </cell>
          <cell r="D25" t="str">
            <v>V.10.02.06</v>
          </cell>
          <cell r="E25">
            <v>2.34</v>
          </cell>
          <cell r="F25">
            <v>0.33</v>
          </cell>
          <cell r="G25" t="str">
            <v>A1</v>
          </cell>
          <cell r="H25" t="str">
            <v>- - -</v>
          </cell>
        </row>
        <row r="26">
          <cell r="C26" t="str">
            <v>Thư viện viên hạng IV</v>
          </cell>
          <cell r="D26" t="str">
            <v>V.10.02.07</v>
          </cell>
          <cell r="E26">
            <v>1.86</v>
          </cell>
          <cell r="F26">
            <v>0.2</v>
          </cell>
          <cell r="G26" t="str">
            <v>B</v>
          </cell>
          <cell r="H26" t="str">
            <v>- - -</v>
          </cell>
        </row>
        <row r="27">
          <cell r="C27" t="str">
            <v>Thư viện viên (cao đẳng)</v>
          </cell>
          <cell r="D27" t="str">
            <v>17a.170</v>
          </cell>
          <cell r="E27">
            <v>2.1</v>
          </cell>
          <cell r="F27">
            <v>0.31</v>
          </cell>
          <cell r="G27" t="str">
            <v>A0</v>
          </cell>
          <cell r="H27" t="str">
            <v>- - -</v>
          </cell>
        </row>
        <row r="28">
          <cell r="C28" t="str">
            <v>Kỹ sư cao cấp (hạng I)</v>
          </cell>
          <cell r="D28" t="str">
            <v>V.05.02.05</v>
          </cell>
          <cell r="E28">
            <v>6.2</v>
          </cell>
          <cell r="F28">
            <v>0.36</v>
          </cell>
          <cell r="G28" t="str">
            <v>A3</v>
          </cell>
          <cell r="H28" t="str">
            <v>A3.1</v>
          </cell>
        </row>
        <row r="29">
          <cell r="C29" t="str">
            <v>Kỹ sư chính (hạng II)</v>
          </cell>
          <cell r="D29" t="str">
            <v>V.05.02.06</v>
          </cell>
          <cell r="E29">
            <v>4.4000000000000004</v>
          </cell>
          <cell r="F29">
            <v>0.34</v>
          </cell>
          <cell r="G29" t="str">
            <v>A2</v>
          </cell>
          <cell r="H29" t="str">
            <v>A2.1</v>
          </cell>
        </row>
        <row r="30">
          <cell r="C30" t="str">
            <v>Kỹ sư (hạng III)</v>
          </cell>
          <cell r="D30" t="str">
            <v>V.05.02.07</v>
          </cell>
          <cell r="E30">
            <v>2.34</v>
          </cell>
          <cell r="F30">
            <v>0.33</v>
          </cell>
          <cell r="G30" t="str">
            <v>A1</v>
          </cell>
          <cell r="H30" t="str">
            <v>- - -</v>
          </cell>
        </row>
        <row r="31">
          <cell r="C31" t="str">
            <v>Kỹ thuật viên (hạng IV)</v>
          </cell>
          <cell r="D31" t="str">
            <v>V.05.02.08</v>
          </cell>
          <cell r="E31">
            <v>1.86</v>
          </cell>
          <cell r="F31">
            <v>0.2</v>
          </cell>
          <cell r="G31" t="str">
            <v>B</v>
          </cell>
          <cell r="H31" t="str">
            <v>- - -</v>
          </cell>
        </row>
        <row r="32">
          <cell r="C32" t="str">
            <v>Bác sĩ cao cấp (hạng I)</v>
          </cell>
          <cell r="D32" t="str">
            <v>V.08.01.01</v>
          </cell>
          <cell r="E32">
            <v>6.2</v>
          </cell>
          <cell r="F32">
            <v>0.36</v>
          </cell>
          <cell r="G32" t="str">
            <v>A3</v>
          </cell>
          <cell r="H32" t="str">
            <v>A3.1</v>
          </cell>
        </row>
        <row r="33">
          <cell r="C33" t="str">
            <v>Bác sĩ chính (hạng II)</v>
          </cell>
          <cell r="D33" t="str">
            <v>V.08.01.02</v>
          </cell>
          <cell r="E33">
            <v>4.4000000000000004</v>
          </cell>
          <cell r="F33">
            <v>0.34</v>
          </cell>
          <cell r="G33" t="str">
            <v>A2</v>
          </cell>
          <cell r="H33" t="str">
            <v>A2.1</v>
          </cell>
        </row>
        <row r="34">
          <cell r="C34" t="str">
            <v>Bác sĩ (hạng III)</v>
          </cell>
          <cell r="D34" t="str">
            <v>V.08.01.03</v>
          </cell>
          <cell r="E34">
            <v>2.34</v>
          </cell>
          <cell r="F34">
            <v>0.33</v>
          </cell>
          <cell r="G34" t="str">
            <v>A1</v>
          </cell>
          <cell r="H34" t="str">
            <v>- - -</v>
          </cell>
        </row>
        <row r="35">
          <cell r="C35" t="str">
            <v>Y sĩ (hạng IV)</v>
          </cell>
          <cell r="D35" t="str">
            <v>V.08.01.04</v>
          </cell>
          <cell r="E35">
            <v>1.86</v>
          </cell>
          <cell r="F35">
            <v>0.2</v>
          </cell>
          <cell r="G35" t="str">
            <v>B</v>
          </cell>
          <cell r="H35" t="str">
            <v>- - -</v>
          </cell>
        </row>
        <row r="36">
          <cell r="C36" t="str">
            <v>Biên tập viên hạng I</v>
          </cell>
          <cell r="D36" t="str">
            <v>V1.11.01.01</v>
          </cell>
          <cell r="E36">
            <v>6.2</v>
          </cell>
          <cell r="F36">
            <v>0.36</v>
          </cell>
          <cell r="G36" t="str">
            <v>A3</v>
          </cell>
          <cell r="H36" t="str">
            <v>A3.1</v>
          </cell>
        </row>
        <row r="37">
          <cell r="C37" t="str">
            <v>Biên tập viên hạng II</v>
          </cell>
          <cell r="D37" t="str">
            <v>V1.11.01.02</v>
          </cell>
          <cell r="E37">
            <v>4.4000000000000004</v>
          </cell>
          <cell r="F37">
            <v>0.34</v>
          </cell>
          <cell r="G37" t="str">
            <v>A2</v>
          </cell>
          <cell r="H37" t="str">
            <v>A2.1</v>
          </cell>
        </row>
        <row r="38">
          <cell r="C38" t="str">
            <v>Biên tập viên hạng III</v>
          </cell>
          <cell r="D38" t="str">
            <v>V1.11.01.03</v>
          </cell>
          <cell r="E38">
            <v>2.34</v>
          </cell>
          <cell r="F38">
            <v>0.33</v>
          </cell>
          <cell r="G38" t="str">
            <v>A1</v>
          </cell>
          <cell r="H38" t="str">
            <v>- - -</v>
          </cell>
        </row>
        <row r="39">
          <cell r="C39" t="str">
            <v>Phóng viên hạng I</v>
          </cell>
          <cell r="D39" t="str">
            <v>V1.11.01.04</v>
          </cell>
          <cell r="E39">
            <v>6.2</v>
          </cell>
          <cell r="F39">
            <v>0.36</v>
          </cell>
          <cell r="G39" t="str">
            <v>A3</v>
          </cell>
          <cell r="H39" t="str">
            <v>A3.1</v>
          </cell>
        </row>
        <row r="40">
          <cell r="C40" t="str">
            <v>Phóng viên hạng II</v>
          </cell>
          <cell r="D40" t="str">
            <v>V1.11.01.05</v>
          </cell>
          <cell r="E40">
            <v>4.4000000000000004</v>
          </cell>
          <cell r="F40">
            <v>0.34</v>
          </cell>
          <cell r="G40" t="str">
            <v>A2</v>
          </cell>
          <cell r="H40" t="str">
            <v>A2.1</v>
          </cell>
        </row>
        <row r="41">
          <cell r="C41" t="str">
            <v>Phóng viên hạng III</v>
          </cell>
          <cell r="D41" t="str">
            <v>V1.11.01.06</v>
          </cell>
          <cell r="E41">
            <v>2.34</v>
          </cell>
          <cell r="F41">
            <v>0.33</v>
          </cell>
          <cell r="G41" t="str">
            <v>A1</v>
          </cell>
          <cell r="H41" t="str">
            <v>- - -</v>
          </cell>
        </row>
        <row r="42">
          <cell r="C42" t="str">
            <v>Biên tập viên chính</v>
          </cell>
          <cell r="D42" t="str">
            <v>17.140</v>
          </cell>
          <cell r="E42">
            <v>4.4000000000000004</v>
          </cell>
          <cell r="F42">
            <v>0.34</v>
          </cell>
          <cell r="G42" t="str">
            <v>A2</v>
          </cell>
          <cell r="H42" t="str">
            <v>A2.1</v>
          </cell>
        </row>
        <row r="43">
          <cell r="C43" t="str">
            <v>Phóng viên chính</v>
          </cell>
          <cell r="D43" t="str">
            <v>17.143</v>
          </cell>
          <cell r="E43">
            <v>4.4000000000000004</v>
          </cell>
          <cell r="F43">
            <v>0.34</v>
          </cell>
          <cell r="G43" t="str">
            <v>A2</v>
          </cell>
          <cell r="H43" t="str">
            <v>A2.1</v>
          </cell>
        </row>
        <row r="44">
          <cell r="C44" t="str">
            <v>Kế toán viên cao cấp</v>
          </cell>
          <cell r="D44" t="str">
            <v>06.029</v>
          </cell>
          <cell r="E44">
            <v>5.75</v>
          </cell>
          <cell r="F44">
            <v>0.36</v>
          </cell>
          <cell r="G44" t="str">
            <v>A3</v>
          </cell>
          <cell r="H44" t="str">
            <v>A3.2</v>
          </cell>
        </row>
        <row r="45">
          <cell r="C45" t="str">
            <v>Kế toán viên chính</v>
          </cell>
          <cell r="D45" t="str">
            <v>06.030</v>
          </cell>
          <cell r="E45">
            <v>4</v>
          </cell>
          <cell r="F45">
            <v>0.34</v>
          </cell>
          <cell r="G45" t="str">
            <v>A2</v>
          </cell>
          <cell r="H45" t="str">
            <v>A2.2</v>
          </cell>
        </row>
        <row r="46">
          <cell r="C46" t="str">
            <v>Kế toán viên</v>
          </cell>
          <cell r="D46" t="str">
            <v>06.031</v>
          </cell>
          <cell r="E46">
            <v>2.34</v>
          </cell>
          <cell r="F46">
            <v>0.33</v>
          </cell>
          <cell r="G46" t="str">
            <v>A1</v>
          </cell>
          <cell r="H46" t="str">
            <v>- - -</v>
          </cell>
        </row>
        <row r="47">
          <cell r="C47" t="str">
            <v>Kế toán viên (cao đẳng)</v>
          </cell>
          <cell r="D47" t="str">
            <v>06a.031</v>
          </cell>
          <cell r="E47">
            <v>2.1</v>
          </cell>
          <cell r="F47">
            <v>0.31</v>
          </cell>
          <cell r="G47" t="str">
            <v>A0</v>
          </cell>
          <cell r="H47" t="str">
            <v>- - -</v>
          </cell>
        </row>
        <row r="48">
          <cell r="C48" t="str">
            <v>Kế toán viên trung cấp</v>
          </cell>
          <cell r="D48" t="str">
            <v>06.032</v>
          </cell>
          <cell r="E48">
            <v>1.86</v>
          </cell>
          <cell r="F48">
            <v>0.2</v>
          </cell>
          <cell r="G48" t="str">
            <v>B</v>
          </cell>
          <cell r="H48" t="str">
            <v>- - -</v>
          </cell>
        </row>
        <row r="49">
          <cell r="C49" t="str">
            <v>Lưu trữ viên</v>
          </cell>
          <cell r="D49" t="str">
            <v>02.014</v>
          </cell>
          <cell r="E49">
            <v>2.34</v>
          </cell>
          <cell r="F49">
            <v>0.33</v>
          </cell>
          <cell r="G49" t="str">
            <v>A1</v>
          </cell>
          <cell r="H49" t="str">
            <v>- - -</v>
          </cell>
        </row>
        <row r="50">
          <cell r="C50" t="str">
            <v>Lưu trữ viên (cao đẳng)</v>
          </cell>
          <cell r="D50" t="str">
            <v>02a.014</v>
          </cell>
          <cell r="E50">
            <v>2.1</v>
          </cell>
          <cell r="F50">
            <v>0.31</v>
          </cell>
          <cell r="G50" t="str">
            <v>A0</v>
          </cell>
          <cell r="H50" t="str">
            <v>- - -</v>
          </cell>
        </row>
        <row r="51">
          <cell r="C51" t="str">
            <v>Lưu trữ viên trung cấp</v>
          </cell>
          <cell r="D51" t="str">
            <v>02.015</v>
          </cell>
          <cell r="E51">
            <v>1.86</v>
          </cell>
          <cell r="F51">
            <v>0.2</v>
          </cell>
          <cell r="G51" t="str">
            <v>B</v>
          </cell>
          <cell r="H51" t="str">
            <v>- - -</v>
          </cell>
        </row>
        <row r="52">
          <cell r="C52" t="str">
            <v>Kỹ Thuật viên đánh máy</v>
          </cell>
          <cell r="D52" t="str">
            <v>01.005</v>
          </cell>
          <cell r="E52">
            <v>2.0499999999999998</v>
          </cell>
          <cell r="F52">
            <v>0.18</v>
          </cell>
          <cell r="G52" t="str">
            <v>C</v>
          </cell>
          <cell r="H52" t="str">
            <v>Nhân viên</v>
          </cell>
        </row>
        <row r="53">
          <cell r="C53" t="str">
            <v>Nhân viên đánh máy</v>
          </cell>
          <cell r="D53" t="str">
            <v>01.006</v>
          </cell>
          <cell r="E53">
            <v>1.5</v>
          </cell>
          <cell r="F53">
            <v>0.18</v>
          </cell>
          <cell r="G53" t="str">
            <v>C</v>
          </cell>
          <cell r="H53" t="str">
            <v>Nhân viên</v>
          </cell>
        </row>
        <row r="54">
          <cell r="C54" t="str">
            <v>Nhân viên kỹ thuật</v>
          </cell>
          <cell r="D54" t="str">
            <v>01.007</v>
          </cell>
          <cell r="E54">
            <v>1.65</v>
          </cell>
          <cell r="F54">
            <v>0.18</v>
          </cell>
          <cell r="G54" t="str">
            <v>C</v>
          </cell>
          <cell r="H54" t="str">
            <v>Nhân viên</v>
          </cell>
        </row>
        <row r="55">
          <cell r="C55" t="str">
            <v>Nhân viên văn thư</v>
          </cell>
          <cell r="D55" t="str">
            <v>01.008</v>
          </cell>
          <cell r="E55">
            <v>1.35</v>
          </cell>
          <cell r="F55">
            <v>0.18</v>
          </cell>
          <cell r="G55" t="str">
            <v>C</v>
          </cell>
          <cell r="H55" t="str">
            <v>Nhân viên</v>
          </cell>
        </row>
        <row r="56">
          <cell r="C56" t="str">
            <v>Nhân viên phục vụ</v>
          </cell>
          <cell r="D56" t="str">
            <v>01.009</v>
          </cell>
          <cell r="E56">
            <v>1</v>
          </cell>
          <cell r="F56">
            <v>0.18</v>
          </cell>
          <cell r="G56" t="str">
            <v>C</v>
          </cell>
          <cell r="H56" t="str">
            <v>Nhân viên</v>
          </cell>
        </row>
        <row r="57">
          <cell r="C57" t="str">
            <v>Lái xe cơ quan</v>
          </cell>
          <cell r="D57" t="str">
            <v>01.010</v>
          </cell>
          <cell r="E57">
            <v>2.0499999999999998</v>
          </cell>
          <cell r="F57">
            <v>0.18</v>
          </cell>
          <cell r="G57" t="str">
            <v>C</v>
          </cell>
          <cell r="H57" t="str">
            <v>Nhân viên</v>
          </cell>
        </row>
        <row r="58">
          <cell r="C58" t="str">
            <v>Nhân viên bảo vệ</v>
          </cell>
          <cell r="D58" t="str">
            <v>01.011</v>
          </cell>
          <cell r="E58">
            <v>1.5</v>
          </cell>
          <cell r="F58">
            <v>0.18</v>
          </cell>
          <cell r="G58" t="str">
            <v>C</v>
          </cell>
          <cell r="H58" t="str">
            <v>Nhân viên</v>
          </cell>
        </row>
        <row r="59">
          <cell r="C59" t="str">
            <v>Thủ kho bảo quản</v>
          </cell>
          <cell r="D59" t="str">
            <v>19.185</v>
          </cell>
          <cell r="E59">
            <v>1.65</v>
          </cell>
          <cell r="F59">
            <v>0.18</v>
          </cell>
          <cell r="G59" t="str">
            <v>C</v>
          </cell>
          <cell r="H59" t="str">
            <v>Nhân viên</v>
          </cell>
        </row>
        <row r="60">
          <cell r="C60" t="str">
            <v>Thủ quỹ</v>
          </cell>
          <cell r="D60" t="str">
            <v>06.035</v>
          </cell>
          <cell r="E60">
            <v>1.5</v>
          </cell>
          <cell r="F60">
            <v>0.18</v>
          </cell>
          <cell r="G60" t="str">
            <v>C</v>
          </cell>
          <cell r="H60" t="str">
            <v>Nhân viên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85"/>
  <sheetViews>
    <sheetView view="pageBreakPreview" topLeftCell="B19" zoomScale="115" zoomScaleNormal="100" zoomScaleSheetLayoutView="115" workbookViewId="0">
      <selection activeCell="V3" sqref="V3:AO3"/>
    </sheetView>
  </sheetViews>
  <sheetFormatPr defaultColWidth="9.140625" defaultRowHeight="16.5" x14ac:dyDescent="0.2"/>
  <cols>
    <col min="1" max="1" width="5.7109375" style="8" hidden="1" customWidth="1"/>
    <col min="2" max="2" width="3.5703125" style="9" customWidth="1"/>
    <col min="3" max="3" width="5" style="8" hidden="1" customWidth="1"/>
    <col min="4" max="4" width="7.140625" style="113" hidden="1" customWidth="1"/>
    <col min="5" max="5" width="14.140625" style="391" customWidth="1"/>
    <col min="6" max="6" width="3.42578125" style="390" customWidth="1"/>
    <col min="7" max="7" width="5.5703125" style="21" hidden="1" customWidth="1"/>
    <col min="8" max="8" width="0.85546875" style="21" hidden="1" customWidth="1"/>
    <col min="9" max="9" width="4.5703125" style="21" hidden="1" customWidth="1"/>
    <col min="10" max="10" width="1.5703125" style="22" hidden="1" customWidth="1"/>
    <col min="11" max="12" width="7.140625" style="22" hidden="1" customWidth="1"/>
    <col min="13" max="13" width="5.140625" style="22" customWidth="1"/>
    <col min="14" max="14" width="7.140625" style="22" hidden="1" customWidth="1"/>
    <col min="15" max="16" width="3" style="22" hidden="1" customWidth="1"/>
    <col min="17" max="17" width="3" style="162" hidden="1" customWidth="1"/>
    <col min="18" max="18" width="18.140625" style="163" hidden="1" customWidth="1"/>
    <col min="19" max="19" width="31.140625" style="423" customWidth="1"/>
    <col min="20" max="20" width="2.28515625" style="423" hidden="1" customWidth="1"/>
    <col min="21" max="21" width="10.7109375" style="24" hidden="1" customWidth="1"/>
    <col min="22" max="22" width="0.42578125" style="424" customWidth="1"/>
    <col min="23" max="23" width="12.28515625" style="23" customWidth="1"/>
    <col min="24" max="24" width="9.28515625" style="20" customWidth="1"/>
    <col min="25" max="25" width="8" style="32" hidden="1" customWidth="1"/>
    <col min="26" max="26" width="7.85546875" style="32" hidden="1" customWidth="1"/>
    <col min="27" max="27" width="3.28515625" style="27" hidden="1" customWidth="1"/>
    <col min="28" max="28" width="2.85546875" style="27" customWidth="1"/>
    <col min="29" max="29" width="0.7109375" style="29" customWidth="1"/>
    <col min="30" max="30" width="2.42578125" style="30" customWidth="1"/>
    <col min="31" max="31" width="4.140625" style="425" customWidth="1"/>
    <col min="32" max="32" width="2.7109375" style="425" customWidth="1"/>
    <col min="33" max="33" width="2.85546875" style="425" customWidth="1"/>
    <col min="34" max="34" width="2.7109375" style="25" customWidth="1"/>
    <col min="35" max="35" width="0.7109375" style="29" customWidth="1"/>
    <col min="36" max="36" width="4.28515625" style="426" customWidth="1"/>
    <col min="37" max="37" width="5.140625" style="426" customWidth="1"/>
    <col min="38" max="38" width="5.85546875" style="426" customWidth="1"/>
    <col min="39" max="39" width="2.85546875" style="28" customWidth="1"/>
    <col min="40" max="40" width="1.5703125" style="29" customWidth="1"/>
    <col min="41" max="41" width="2.7109375" style="684" customWidth="1"/>
    <col min="42" max="42" width="5.28515625" style="114" customWidth="1"/>
    <col min="43" max="43" width="1.85546875" style="114" customWidth="1"/>
    <col min="44" max="44" width="2.85546875" style="30" hidden="1" customWidth="1"/>
    <col min="45" max="45" width="3.5703125" style="34" hidden="1" customWidth="1"/>
    <col min="46" max="46" width="2.85546875" style="25" customWidth="1"/>
    <col min="47" max="47" width="0.7109375" style="29" customWidth="1"/>
    <col min="48" max="48" width="4.5703125" style="426" customWidth="1"/>
    <col min="49" max="49" width="5.42578125" style="689" customWidth="1"/>
    <col min="50" max="50" width="9.140625" style="427" customWidth="1"/>
    <col min="51" max="51" width="5.140625" style="5" customWidth="1"/>
    <col min="52" max="52" width="10.85546875" style="27" customWidth="1"/>
    <col min="53" max="53" width="4.7109375" style="26" customWidth="1"/>
    <col min="54" max="54" width="3.42578125" style="30" customWidth="1"/>
    <col min="55" max="55" width="5.85546875" style="31" customWidth="1"/>
    <col min="56" max="56" width="4.42578125" style="28" customWidth="1"/>
    <col min="57" max="57" width="4.140625" style="30" customWidth="1"/>
    <col min="58" max="58" width="4.7109375" style="28" customWidth="1"/>
    <col min="59" max="59" width="7.5703125" style="31" customWidth="1"/>
    <col min="60" max="60" width="10" style="30" customWidth="1"/>
    <col min="61" max="61" width="8.7109375" style="428" customWidth="1"/>
    <col min="62" max="62" width="4.7109375" style="429" customWidth="1"/>
    <col min="63" max="63" width="4.5703125" style="430" customWidth="1"/>
    <col min="64" max="64" width="2.42578125" style="5" customWidth="1"/>
    <col min="65" max="65" width="7" style="5" customWidth="1"/>
    <col min="66" max="66" width="3" style="5" customWidth="1"/>
    <col min="67" max="67" width="4.7109375" style="5" customWidth="1"/>
    <col min="68" max="68" width="5.5703125" style="431" customWidth="1"/>
    <col min="69" max="69" width="0.5703125" style="432" customWidth="1"/>
    <col min="70" max="70" width="6.42578125" style="117" customWidth="1"/>
    <col min="71" max="71" width="5.42578125" style="24" customWidth="1"/>
    <col min="72" max="72" width="8.85546875" style="113" customWidth="1"/>
    <col min="73" max="73" width="9.5703125" style="168" customWidth="1"/>
    <col min="74" max="74" width="41.28515625" style="7" customWidth="1"/>
    <col min="75" max="75" width="50.140625" style="7" customWidth="1"/>
    <col min="76" max="76" width="14" style="8" customWidth="1"/>
    <col min="77" max="77" width="8.5703125" style="118" customWidth="1"/>
    <col min="78" max="78" width="4.7109375" style="7" customWidth="1"/>
    <col min="79" max="79" width="4.7109375" style="5" customWidth="1"/>
    <col min="80" max="80" width="7.140625" style="25" customWidth="1"/>
    <col min="81" max="81" width="5.7109375" style="119" customWidth="1"/>
    <col min="82" max="82" width="5.140625" style="8" customWidth="1"/>
    <col min="83" max="85" width="9.28515625" style="5" bestFit="1" customWidth="1"/>
    <col min="86" max="86" width="9.140625" style="5"/>
    <col min="87" max="96" width="9.28515625" style="5" bestFit="1" customWidth="1"/>
    <col min="97" max="99" width="9.140625" style="5"/>
    <col min="100" max="101" width="9.28515625" style="5" bestFit="1" customWidth="1"/>
    <col min="102" max="102" width="11.7109375" style="5" bestFit="1" customWidth="1"/>
    <col min="103" max="103" width="9.140625" style="5"/>
    <col min="104" max="104" width="18.28515625" style="5" customWidth="1"/>
    <col min="105" max="105" width="9.28515625" style="5" bestFit="1" customWidth="1"/>
    <col min="106" max="118" width="9.140625" style="5"/>
    <col min="119" max="119" width="9.28515625" style="5" bestFit="1" customWidth="1"/>
    <col min="120" max="120" width="9.140625" style="5"/>
    <col min="121" max="121" width="9.28515625" style="5" bestFit="1" customWidth="1"/>
    <col min="122" max="125" width="9.140625" style="5"/>
    <col min="126" max="126" width="9.28515625" style="5" bestFit="1" customWidth="1"/>
    <col min="127" max="16384" width="9.140625" style="5"/>
  </cols>
  <sheetData>
    <row r="1" spans="1:133" s="183" customFormat="1" ht="18.75" customHeight="1" x14ac:dyDescent="0.3">
      <c r="A1" s="181"/>
      <c r="B1" s="1156" t="s">
        <v>242</v>
      </c>
      <c r="C1" s="1156"/>
      <c r="D1" s="1156"/>
      <c r="E1" s="1156"/>
      <c r="F1" s="1156"/>
      <c r="G1" s="1156"/>
      <c r="H1" s="1156"/>
      <c r="I1" s="1156"/>
      <c r="J1" s="1156"/>
      <c r="K1" s="1156"/>
      <c r="L1" s="1156"/>
      <c r="M1" s="1156"/>
      <c r="N1" s="1156"/>
      <c r="O1" s="1156"/>
      <c r="P1" s="1156"/>
      <c r="Q1" s="1156"/>
      <c r="R1" s="1156"/>
      <c r="S1" s="182"/>
      <c r="T1" s="182"/>
      <c r="U1" s="292"/>
      <c r="V1" s="1178" t="s">
        <v>98</v>
      </c>
      <c r="W1" s="1178"/>
      <c r="X1" s="1178"/>
      <c r="Y1" s="1178"/>
      <c r="Z1" s="1178"/>
      <c r="AA1" s="1178"/>
      <c r="AB1" s="1178"/>
      <c r="AC1" s="1178"/>
      <c r="AD1" s="1178"/>
      <c r="AE1" s="1178"/>
      <c r="AF1" s="1178"/>
      <c r="AG1" s="1178"/>
      <c r="AH1" s="1178"/>
      <c r="AI1" s="1178"/>
      <c r="AJ1" s="1178"/>
      <c r="AK1" s="1178"/>
      <c r="AL1" s="1178"/>
      <c r="AM1" s="1178"/>
      <c r="AN1" s="1178"/>
      <c r="AO1" s="1178"/>
      <c r="AP1" s="1012"/>
      <c r="AQ1" s="182"/>
      <c r="AR1" s="182"/>
      <c r="AS1" s="667"/>
      <c r="AT1" s="182"/>
      <c r="AU1" s="667"/>
      <c r="AV1" s="182"/>
      <c r="AW1" s="512"/>
      <c r="BT1" s="282"/>
      <c r="BU1" s="282"/>
    </row>
    <row r="2" spans="1:133" s="183" customFormat="1" x14ac:dyDescent="0.3">
      <c r="A2" s="181"/>
      <c r="B2" s="1178" t="s">
        <v>331</v>
      </c>
      <c r="C2" s="1178"/>
      <c r="D2" s="1178"/>
      <c r="E2" s="1178"/>
      <c r="F2" s="1178"/>
      <c r="G2" s="1178"/>
      <c r="H2" s="1178"/>
      <c r="I2" s="1178"/>
      <c r="J2" s="1178"/>
      <c r="K2" s="1178"/>
      <c r="L2" s="1178"/>
      <c r="M2" s="1178"/>
      <c r="N2" s="1178"/>
      <c r="O2" s="1178"/>
      <c r="P2" s="1178"/>
      <c r="Q2" s="1178"/>
      <c r="R2" s="1178"/>
      <c r="S2" s="182"/>
      <c r="T2" s="182"/>
      <c r="U2" s="292"/>
      <c r="V2" s="1179" t="s">
        <v>99</v>
      </c>
      <c r="W2" s="1179"/>
      <c r="X2" s="1179"/>
      <c r="Y2" s="1179"/>
      <c r="Z2" s="1179"/>
      <c r="AA2" s="1179"/>
      <c r="AB2" s="1179"/>
      <c r="AC2" s="1179"/>
      <c r="AD2" s="1179"/>
      <c r="AE2" s="1179"/>
      <c r="AF2" s="1179"/>
      <c r="AG2" s="1179"/>
      <c r="AH2" s="1179"/>
      <c r="AI2" s="1179"/>
      <c r="AJ2" s="1179"/>
      <c r="AK2" s="1179"/>
      <c r="AL2" s="1179"/>
      <c r="AM2" s="1179"/>
      <c r="AN2" s="1179"/>
      <c r="AO2" s="1179"/>
      <c r="AP2" s="1012"/>
      <c r="AQ2" s="182"/>
      <c r="AR2" s="182"/>
      <c r="AS2" s="667"/>
      <c r="AT2" s="182"/>
      <c r="AU2" s="667"/>
      <c r="AV2" s="182"/>
      <c r="AW2" s="512"/>
      <c r="BT2" s="282"/>
      <c r="BU2" s="282"/>
    </row>
    <row r="3" spans="1:133" s="397" customFormat="1" ht="25.5" customHeight="1" x14ac:dyDescent="0.25">
      <c r="A3" s="156"/>
      <c r="B3" s="156"/>
      <c r="C3" s="156"/>
      <c r="D3" s="392"/>
      <c r="E3" s="156"/>
      <c r="F3" s="393"/>
      <c r="G3" s="156"/>
      <c r="H3" s="156"/>
      <c r="I3" s="156"/>
      <c r="J3" s="156"/>
      <c r="K3" s="156"/>
      <c r="L3" s="156"/>
      <c r="M3" s="156"/>
      <c r="N3" s="156"/>
      <c r="O3" s="156"/>
      <c r="P3" s="156"/>
      <c r="Q3" s="392"/>
      <c r="R3" s="394"/>
      <c r="S3" s="395"/>
      <c r="T3" s="395"/>
      <c r="U3" s="396"/>
      <c r="V3" s="1180" t="s">
        <v>430</v>
      </c>
      <c r="W3" s="1180"/>
      <c r="X3" s="1180"/>
      <c r="Y3" s="1180"/>
      <c r="Z3" s="1180"/>
      <c r="AA3" s="1180"/>
      <c r="AB3" s="1180"/>
      <c r="AC3" s="1180"/>
      <c r="AD3" s="1180"/>
      <c r="AE3" s="1180"/>
      <c r="AF3" s="1180"/>
      <c r="AG3" s="1180"/>
      <c r="AH3" s="1180"/>
      <c r="AI3" s="1180"/>
      <c r="AJ3" s="1180"/>
      <c r="AK3" s="1180"/>
      <c r="AL3" s="1180"/>
      <c r="AM3" s="1180"/>
      <c r="AN3" s="1180"/>
      <c r="AO3" s="1180"/>
      <c r="AP3" s="1013"/>
      <c r="AQ3" s="418"/>
      <c r="AR3" s="418"/>
      <c r="AS3" s="668"/>
      <c r="AT3" s="418"/>
      <c r="AU3" s="668"/>
      <c r="AV3" s="418"/>
      <c r="AW3" s="685"/>
      <c r="AX3" s="418"/>
      <c r="AY3" s="418"/>
      <c r="AZ3" s="418"/>
      <c r="BA3" s="418"/>
      <c r="BB3" s="418"/>
      <c r="BC3" s="418"/>
      <c r="BD3" s="418"/>
      <c r="BE3" s="418"/>
      <c r="BF3" s="418"/>
      <c r="BG3" s="418"/>
      <c r="BH3" s="418"/>
      <c r="BI3" s="418"/>
      <c r="BJ3" s="418"/>
      <c r="BK3" s="418"/>
      <c r="BL3" s="418"/>
      <c r="BM3" s="418"/>
      <c r="BN3" s="418"/>
      <c r="BO3" s="418"/>
      <c r="BP3" s="418"/>
      <c r="BQ3" s="418"/>
      <c r="BS3" s="418"/>
      <c r="BT3" s="398"/>
      <c r="BU3" s="398"/>
      <c r="BW3" s="399"/>
    </row>
    <row r="4" spans="1:133" s="846" customFormat="1" ht="52.5" customHeight="1" x14ac:dyDescent="0.3">
      <c r="A4" s="841"/>
      <c r="B4" s="1164" t="s">
        <v>414</v>
      </c>
      <c r="C4" s="1164"/>
      <c r="D4" s="1164"/>
      <c r="E4" s="1164"/>
      <c r="F4" s="1164"/>
      <c r="G4" s="1164"/>
      <c r="H4" s="1164"/>
      <c r="I4" s="1164"/>
      <c r="J4" s="1164"/>
      <c r="K4" s="1164"/>
      <c r="L4" s="1164"/>
      <c r="M4" s="1164"/>
      <c r="N4" s="1164"/>
      <c r="O4" s="1164"/>
      <c r="P4" s="1164"/>
      <c r="Q4" s="1164"/>
      <c r="R4" s="1164"/>
      <c r="S4" s="1164"/>
      <c r="T4" s="1164"/>
      <c r="U4" s="1164"/>
      <c r="V4" s="1164"/>
      <c r="W4" s="1164"/>
      <c r="X4" s="1164"/>
      <c r="Y4" s="1164"/>
      <c r="Z4" s="1164"/>
      <c r="AA4" s="1164"/>
      <c r="AB4" s="1164"/>
      <c r="AC4" s="1164"/>
      <c r="AD4" s="1164"/>
      <c r="AE4" s="1164"/>
      <c r="AF4" s="1164"/>
      <c r="AG4" s="1164"/>
      <c r="AH4" s="1164"/>
      <c r="AI4" s="1164"/>
      <c r="AJ4" s="1164"/>
      <c r="AK4" s="1164"/>
      <c r="AL4" s="1164"/>
      <c r="AM4" s="1164"/>
      <c r="AN4" s="1164"/>
      <c r="AO4" s="1164"/>
      <c r="AP4" s="1164"/>
      <c r="AQ4" s="1164"/>
      <c r="AR4" s="1164"/>
      <c r="AS4" s="1164"/>
      <c r="AT4" s="1164"/>
      <c r="AU4" s="1164"/>
      <c r="AV4" s="1164"/>
      <c r="AW4" s="1164"/>
      <c r="AX4" s="839"/>
      <c r="AY4" s="839"/>
      <c r="AZ4" s="839"/>
      <c r="BA4" s="839"/>
      <c r="BB4" s="839"/>
      <c r="BC4" s="839"/>
      <c r="BD4" s="839"/>
      <c r="BE4" s="839"/>
      <c r="BF4" s="839"/>
      <c r="BG4" s="839"/>
      <c r="BH4" s="839"/>
      <c r="BI4" s="839"/>
      <c r="BJ4" s="839"/>
      <c r="BK4" s="839"/>
      <c r="BL4" s="839"/>
      <c r="BM4" s="839"/>
      <c r="BN4" s="839"/>
      <c r="BO4" s="839"/>
      <c r="BP4" s="839"/>
      <c r="BQ4" s="839"/>
      <c r="BR4" s="839"/>
      <c r="BS4" s="839"/>
      <c r="BT4" s="842"/>
      <c r="BU4" s="843"/>
      <c r="BV4" s="844"/>
      <c r="BW4" s="845"/>
    </row>
    <row r="5" spans="1:133" s="492" customFormat="1" ht="20.25" customHeight="1" x14ac:dyDescent="0.25">
      <c r="A5" s="465"/>
      <c r="B5" s="466" t="s">
        <v>415</v>
      </c>
      <c r="C5" s="465"/>
      <c r="D5" s="467"/>
      <c r="E5" s="468"/>
      <c r="F5" s="469"/>
      <c r="G5" s="467"/>
      <c r="H5" s="467"/>
      <c r="I5" s="467"/>
      <c r="J5" s="468"/>
      <c r="K5" s="468"/>
      <c r="L5" s="468"/>
      <c r="M5" s="468"/>
      <c r="N5" s="468"/>
      <c r="O5" s="468"/>
      <c r="P5" s="468"/>
      <c r="Q5" s="466"/>
      <c r="R5" s="466"/>
      <c r="S5" s="466"/>
      <c r="T5" s="470"/>
      <c r="U5" s="470"/>
      <c r="V5" s="470"/>
      <c r="W5" s="471"/>
      <c r="X5" s="472"/>
      <c r="Y5" s="473"/>
      <c r="Z5" s="472"/>
      <c r="AA5" s="472"/>
      <c r="AB5" s="467"/>
      <c r="AC5" s="475"/>
      <c r="AD5" s="475"/>
      <c r="AE5" s="476"/>
      <c r="AF5" s="477"/>
      <c r="AG5" s="474"/>
      <c r="AH5" s="478"/>
      <c r="AI5" s="468"/>
      <c r="AJ5" s="479"/>
      <c r="AK5" s="479"/>
      <c r="AL5" s="480"/>
      <c r="AM5" s="480"/>
      <c r="AN5" s="481"/>
      <c r="AO5" s="680"/>
      <c r="AP5" s="1014"/>
      <c r="AQ5" s="482"/>
      <c r="AR5" s="467"/>
      <c r="AS5" s="475"/>
      <c r="AT5" s="483"/>
      <c r="AU5" s="466"/>
      <c r="AV5" s="484"/>
      <c r="AW5" s="150"/>
      <c r="AX5" s="485"/>
      <c r="AY5" s="476"/>
      <c r="AZ5" s="474"/>
      <c r="BA5" s="484"/>
      <c r="BB5" s="476"/>
      <c r="BC5" s="486"/>
      <c r="BD5" s="487"/>
      <c r="BE5" s="488"/>
      <c r="BF5" s="474"/>
      <c r="BG5" s="474"/>
      <c r="BH5" s="489"/>
      <c r="BI5" s="489"/>
      <c r="BJ5" s="485"/>
      <c r="BK5" s="477"/>
      <c r="BL5" s="490"/>
      <c r="BM5" s="490"/>
      <c r="BN5" s="146"/>
      <c r="BO5" s="491"/>
      <c r="BP5" s="491"/>
      <c r="BQ5" s="491"/>
      <c r="BR5" s="491"/>
      <c r="BS5" s="148"/>
      <c r="BU5" s="146"/>
      <c r="BV5" s="146"/>
      <c r="BW5" s="146"/>
      <c r="BX5" s="146"/>
    </row>
    <row r="6" spans="1:133" s="492" customFormat="1" ht="15.75" x14ac:dyDescent="0.25">
      <c r="A6" s="465"/>
      <c r="B6" s="466"/>
      <c r="C6" s="465"/>
      <c r="D6" s="468" t="s">
        <v>270</v>
      </c>
      <c r="E6" s="468" t="s">
        <v>301</v>
      </c>
      <c r="F6" s="469"/>
      <c r="G6" s="467"/>
      <c r="H6" s="467"/>
      <c r="I6" s="467"/>
      <c r="J6" s="468"/>
      <c r="K6" s="468"/>
      <c r="L6" s="468"/>
      <c r="M6" s="468"/>
      <c r="N6" s="468"/>
      <c r="O6" s="468"/>
      <c r="P6" s="468"/>
      <c r="Q6" s="466"/>
      <c r="R6" s="466"/>
      <c r="S6" s="466"/>
      <c r="T6" s="470"/>
      <c r="U6" s="470"/>
      <c r="V6" s="470"/>
      <c r="W6" s="471"/>
      <c r="X6" s="472"/>
      <c r="Y6" s="473"/>
      <c r="Z6" s="472"/>
      <c r="AA6" s="472"/>
      <c r="AB6" s="467"/>
      <c r="AC6" s="475"/>
      <c r="AD6" s="475"/>
      <c r="AE6" s="476"/>
      <c r="AF6" s="477"/>
      <c r="AG6" s="474"/>
      <c r="AH6" s="478"/>
      <c r="AI6" s="468"/>
      <c r="AJ6" s="479"/>
      <c r="AK6" s="479"/>
      <c r="AL6" s="480"/>
      <c r="AM6" s="480"/>
      <c r="AN6" s="481"/>
      <c r="AO6" s="680"/>
      <c r="AP6" s="1014"/>
      <c r="AQ6" s="482"/>
      <c r="AR6" s="467"/>
      <c r="AS6" s="475"/>
      <c r="AT6" s="483"/>
      <c r="AU6" s="466"/>
      <c r="AV6" s="484"/>
      <c r="AW6" s="150"/>
      <c r="AX6" s="485"/>
      <c r="AY6" s="476"/>
      <c r="AZ6" s="474"/>
      <c r="BA6" s="484"/>
      <c r="BB6" s="476"/>
      <c r="BC6" s="486"/>
      <c r="BD6" s="487"/>
      <c r="BE6" s="488"/>
      <c r="BF6" s="474"/>
      <c r="BG6" s="474"/>
      <c r="BH6" s="489"/>
      <c r="BI6" s="489"/>
      <c r="BJ6" s="485"/>
      <c r="BK6" s="477"/>
      <c r="BL6" s="490"/>
      <c r="BM6" s="490"/>
      <c r="BN6" s="146"/>
      <c r="BO6" s="491"/>
      <c r="BP6" s="491"/>
      <c r="BQ6" s="491"/>
      <c r="BR6" s="491"/>
      <c r="BS6" s="148"/>
      <c r="BU6" s="146"/>
      <c r="BV6" s="146"/>
      <c r="BW6" s="146"/>
      <c r="BX6" s="146"/>
    </row>
    <row r="7" spans="1:133" s="490" customFormat="1" thickBot="1" x14ac:dyDescent="0.3">
      <c r="A7" s="493"/>
      <c r="B7" s="479"/>
      <c r="C7" s="465"/>
      <c r="D7" s="467" t="s">
        <v>279</v>
      </c>
      <c r="E7" s="467" t="s">
        <v>413</v>
      </c>
      <c r="F7" s="467"/>
      <c r="G7" s="467"/>
      <c r="H7" s="467"/>
      <c r="I7" s="467"/>
      <c r="J7" s="467"/>
      <c r="K7" s="467"/>
      <c r="L7" s="467"/>
      <c r="M7" s="467"/>
      <c r="N7" s="467"/>
      <c r="O7" s="467"/>
      <c r="P7" s="467"/>
      <c r="Q7" s="467"/>
      <c r="R7" s="467"/>
      <c r="S7" s="467"/>
      <c r="T7" s="467"/>
      <c r="U7" s="467"/>
      <c r="V7" s="467"/>
      <c r="W7" s="467"/>
      <c r="X7" s="467"/>
      <c r="Y7" s="467"/>
      <c r="Z7" s="467"/>
      <c r="AA7" s="467"/>
      <c r="AB7" s="467"/>
      <c r="AC7" s="466"/>
      <c r="AD7" s="467"/>
      <c r="AE7" s="474"/>
      <c r="AF7" s="474"/>
      <c r="AG7" s="474"/>
      <c r="AH7" s="494"/>
      <c r="AI7" s="670"/>
      <c r="AJ7" s="495"/>
      <c r="AK7" s="495"/>
      <c r="AL7" s="495"/>
      <c r="AM7" s="496"/>
      <c r="AN7" s="497"/>
      <c r="AO7" s="680"/>
      <c r="AP7" s="1014"/>
      <c r="AQ7" s="482"/>
      <c r="AR7" s="467"/>
      <c r="AS7" s="475"/>
      <c r="AT7" s="479"/>
      <c r="AU7" s="466"/>
      <c r="AV7" s="484"/>
      <c r="AW7" s="150"/>
      <c r="AX7" s="476"/>
      <c r="AY7" s="476"/>
      <c r="AZ7" s="474"/>
      <c r="BA7" s="484"/>
      <c r="BB7" s="476"/>
      <c r="BC7" s="484"/>
      <c r="BD7" s="487"/>
      <c r="BE7" s="488"/>
      <c r="BF7" s="474"/>
      <c r="BG7" s="474"/>
      <c r="BH7" s="489"/>
      <c r="BI7" s="489"/>
      <c r="BJ7" s="476"/>
      <c r="BK7" s="477"/>
      <c r="BO7" s="491"/>
      <c r="BP7" s="491"/>
      <c r="BQ7" s="491"/>
      <c r="BR7" s="491"/>
    </row>
    <row r="8" spans="1:133" s="505" customFormat="1" ht="15" customHeight="1" thickTop="1" x14ac:dyDescent="0.25">
      <c r="A8" s="467"/>
      <c r="B8" s="479" t="s">
        <v>86</v>
      </c>
      <c r="C8" s="465"/>
      <c r="D8" s="466" t="s">
        <v>271</v>
      </c>
      <c r="E8" s="466" t="s">
        <v>341</v>
      </c>
      <c r="F8" s="469"/>
      <c r="G8" s="467"/>
      <c r="H8" s="467"/>
      <c r="I8" s="467"/>
      <c r="J8" s="468"/>
      <c r="K8" s="468"/>
      <c r="L8" s="468"/>
      <c r="M8" s="468"/>
      <c r="N8" s="468"/>
      <c r="O8" s="468"/>
      <c r="P8" s="468"/>
      <c r="Q8" s="466"/>
      <c r="R8" s="466"/>
      <c r="S8" s="466"/>
      <c r="T8" s="470"/>
      <c r="U8" s="470"/>
      <c r="V8" s="470"/>
      <c r="W8" s="471"/>
      <c r="X8" s="472"/>
      <c r="Y8" s="473"/>
      <c r="Z8" s="472"/>
      <c r="AA8" s="472"/>
      <c r="AB8" s="467"/>
      <c r="AC8" s="475"/>
      <c r="AD8" s="475"/>
      <c r="AE8" s="476"/>
      <c r="AF8" s="477"/>
      <c r="AG8" s="474"/>
      <c r="AH8" s="499"/>
      <c r="AI8" s="481"/>
      <c r="AJ8" s="480"/>
      <c r="AK8" s="480"/>
      <c r="AL8" s="480"/>
      <c r="AM8" s="500"/>
      <c r="AN8" s="481"/>
      <c r="AO8" s="680"/>
      <c r="AP8" s="1014"/>
      <c r="AQ8" s="482"/>
      <c r="AR8" s="467"/>
      <c r="AS8" s="475"/>
      <c r="AT8" s="483"/>
      <c r="AU8" s="466"/>
      <c r="AV8" s="484"/>
      <c r="AW8" s="150"/>
      <c r="AX8" s="485"/>
      <c r="AY8" s="476"/>
      <c r="AZ8" s="474"/>
      <c r="BA8" s="484"/>
      <c r="BB8" s="476"/>
      <c r="BC8" s="486"/>
      <c r="BD8" s="487"/>
      <c r="BE8" s="488"/>
      <c r="BF8" s="474"/>
      <c r="BG8" s="474"/>
      <c r="BH8" s="489"/>
      <c r="BI8" s="489"/>
      <c r="BJ8" s="485"/>
      <c r="BK8" s="477"/>
      <c r="BL8" s="490"/>
      <c r="BM8" s="501"/>
      <c r="BN8" s="501"/>
      <c r="BO8" s="501"/>
      <c r="BP8" s="501"/>
      <c r="BQ8" s="502"/>
      <c r="BR8" s="501"/>
      <c r="BS8" s="503"/>
      <c r="BT8" s="503"/>
      <c r="BU8" s="504"/>
      <c r="BV8" s="504"/>
      <c r="BW8" s="504"/>
      <c r="BX8" s="504"/>
      <c r="BY8" s="504"/>
      <c r="CR8" s="501"/>
      <c r="CS8" s="498"/>
      <c r="CT8" s="506"/>
      <c r="CU8" s="502"/>
      <c r="CV8" s="506"/>
      <c r="CW8" s="506"/>
      <c r="CX8" s="501"/>
      <c r="CY8" s="501"/>
      <c r="CZ8" s="501"/>
      <c r="DA8" s="506"/>
      <c r="DB8" s="506"/>
      <c r="DC8" s="501"/>
      <c r="DD8" s="501"/>
    </row>
    <row r="9" spans="1:133" s="411" customFormat="1" ht="18" customHeight="1" x14ac:dyDescent="0.3">
      <c r="A9" s="467"/>
      <c r="B9" s="263"/>
      <c r="C9" s="263"/>
      <c r="D9" s="847" t="s">
        <v>163</v>
      </c>
      <c r="E9" s="419" t="s">
        <v>163</v>
      </c>
      <c r="F9" s="128" t="s">
        <v>412</v>
      </c>
      <c r="G9" s="129"/>
      <c r="H9" s="129"/>
      <c r="I9" s="130"/>
      <c r="J9" s="131"/>
      <c r="K9" s="131"/>
      <c r="L9" s="131"/>
      <c r="M9" s="128"/>
      <c r="N9" s="131"/>
      <c r="O9" s="131"/>
      <c r="P9" s="131"/>
      <c r="Q9" s="848" t="s">
        <v>263</v>
      </c>
      <c r="R9" s="128" t="s">
        <v>164</v>
      </c>
      <c r="S9" s="128"/>
      <c r="T9" s="128"/>
      <c r="U9" s="126"/>
      <c r="V9" s="835"/>
      <c r="W9" s="186"/>
      <c r="X9" s="127"/>
      <c r="Y9" s="129"/>
      <c r="Z9" s="129"/>
      <c r="AA9" s="128"/>
      <c r="AB9" s="129"/>
      <c r="AC9" s="128"/>
      <c r="AD9" s="129"/>
      <c r="AE9" s="128"/>
      <c r="AF9" s="128"/>
      <c r="AG9" s="128"/>
      <c r="AH9" s="420"/>
      <c r="AI9" s="664"/>
      <c r="AJ9" s="131"/>
      <c r="AK9" s="715"/>
      <c r="AL9" s="112"/>
      <c r="AM9" s="128"/>
      <c r="AN9" s="128"/>
      <c r="AO9" s="681"/>
      <c r="AP9" s="1015"/>
      <c r="AQ9" s="264"/>
      <c r="AR9" s="265"/>
      <c r="AS9" s="664"/>
      <c r="AT9" s="420"/>
      <c r="AU9" s="664"/>
      <c r="AV9" s="131"/>
      <c r="AW9" s="686"/>
      <c r="AX9" s="132"/>
      <c r="AY9" s="132"/>
      <c r="AZ9" s="132"/>
      <c r="BA9" s="132"/>
      <c r="BB9" s="132"/>
      <c r="BC9" s="132"/>
      <c r="BD9" s="132"/>
      <c r="BE9" s="132"/>
      <c r="BF9" s="132"/>
      <c r="BG9" s="132"/>
      <c r="BH9" s="132"/>
      <c r="BI9" s="132"/>
      <c r="BJ9" s="132"/>
      <c r="BK9" s="132"/>
      <c r="BL9" s="132"/>
      <c r="BM9" s="132"/>
      <c r="BN9" s="132"/>
      <c r="BO9" s="132"/>
      <c r="BP9" s="132"/>
      <c r="BQ9" s="132"/>
      <c r="BR9" s="132"/>
      <c r="BS9" s="408"/>
      <c r="BT9" s="409"/>
      <c r="BU9" s="410"/>
      <c r="BW9" s="412"/>
    </row>
    <row r="10" spans="1:133" s="266" customFormat="1" ht="5.25" customHeight="1" x14ac:dyDescent="0.3">
      <c r="A10" s="265"/>
      <c r="B10" s="263"/>
      <c r="C10" s="263"/>
      <c r="D10" s="847"/>
      <c r="E10" s="421"/>
      <c r="F10" s="389"/>
      <c r="G10" s="129"/>
      <c r="H10" s="129"/>
      <c r="I10" s="130"/>
      <c r="J10" s="131"/>
      <c r="K10" s="131"/>
      <c r="L10" s="131"/>
      <c r="M10" s="131"/>
      <c r="N10" s="131"/>
      <c r="O10" s="131"/>
      <c r="P10" s="131"/>
      <c r="Q10" s="848"/>
      <c r="R10" s="128"/>
      <c r="S10" s="128"/>
      <c r="T10" s="128"/>
      <c r="U10" s="126"/>
      <c r="V10" s="835"/>
      <c r="W10" s="186"/>
      <c r="X10" s="127"/>
      <c r="Y10" s="129"/>
      <c r="Z10" s="129"/>
      <c r="AA10" s="128"/>
      <c r="AB10" s="129"/>
      <c r="AC10" s="128"/>
      <c r="AD10" s="129"/>
      <c r="AE10" s="128"/>
      <c r="AF10" s="128"/>
      <c r="AG10" s="128"/>
      <c r="AH10" s="420"/>
      <c r="AI10" s="664"/>
      <c r="AJ10" s="131"/>
      <c r="AK10" s="715"/>
      <c r="AL10" s="112"/>
      <c r="AM10" s="128"/>
      <c r="AN10" s="128"/>
      <c r="AO10" s="681"/>
      <c r="AP10" s="1015"/>
      <c r="AQ10" s="264"/>
      <c r="AR10" s="265"/>
      <c r="AS10" s="664"/>
      <c r="AT10" s="420"/>
      <c r="AU10" s="664"/>
      <c r="AV10" s="131"/>
      <c r="AW10" s="686"/>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293"/>
      <c r="BT10" s="267"/>
      <c r="BU10" s="283"/>
      <c r="BW10" s="290"/>
    </row>
    <row r="11" spans="1:133" s="530" customFormat="1" ht="25.5" customHeight="1" x14ac:dyDescent="0.2">
      <c r="A11" s="528"/>
      <c r="B11" s="1161" t="s">
        <v>307</v>
      </c>
      <c r="C11" s="529"/>
      <c r="D11" s="1161" t="s">
        <v>60</v>
      </c>
      <c r="E11" s="1161" t="s">
        <v>308</v>
      </c>
      <c r="F11" s="1165" t="s">
        <v>309</v>
      </c>
      <c r="G11" s="691"/>
      <c r="H11" s="691"/>
      <c r="I11" s="691"/>
      <c r="J11" s="691"/>
      <c r="K11" s="531"/>
      <c r="L11" s="531"/>
      <c r="M11" s="1197" t="s">
        <v>302</v>
      </c>
      <c r="N11" s="531"/>
      <c r="O11" s="531"/>
      <c r="P11" s="531"/>
      <c r="Q11" s="833"/>
      <c r="R11" s="1173" t="s">
        <v>310</v>
      </c>
      <c r="S11" s="1169"/>
      <c r="T11" s="837"/>
      <c r="U11" s="849"/>
      <c r="V11" s="1168" t="s">
        <v>321</v>
      </c>
      <c r="W11" s="1173"/>
      <c r="X11" s="1169"/>
      <c r="Y11" s="1161" t="s">
        <v>76</v>
      </c>
      <c r="Z11" s="529"/>
      <c r="AA11" s="850" t="s">
        <v>257</v>
      </c>
      <c r="AB11" s="1203" t="s">
        <v>316</v>
      </c>
      <c r="AC11" s="1204"/>
      <c r="AD11" s="1204"/>
      <c r="AE11" s="1204"/>
      <c r="AF11" s="1204"/>
      <c r="AG11" s="1204"/>
      <c r="AH11" s="1204"/>
      <c r="AI11" s="1204"/>
      <c r="AJ11" s="1205"/>
      <c r="AK11" s="1168" t="s">
        <v>313</v>
      </c>
      <c r="AL11" s="1169"/>
      <c r="AM11" s="1203" t="s">
        <v>320</v>
      </c>
      <c r="AN11" s="1204"/>
      <c r="AO11" s="1204"/>
      <c r="AP11" s="1204"/>
      <c r="AQ11" s="1204"/>
      <c r="AR11" s="1204"/>
      <c r="AS11" s="1204"/>
      <c r="AT11" s="1204"/>
      <c r="AU11" s="1204"/>
      <c r="AV11" s="1205"/>
      <c r="AW11" s="1206" t="s">
        <v>231</v>
      </c>
      <c r="AY11" s="531"/>
      <c r="AZ11" s="531"/>
      <c r="BA11" s="531"/>
      <c r="BB11" s="531"/>
      <c r="BC11" s="531"/>
      <c r="BD11" s="531"/>
      <c r="BE11" s="531"/>
      <c r="BF11" s="531"/>
      <c r="BG11" s="531"/>
      <c r="BH11" s="1209" t="s">
        <v>77</v>
      </c>
      <c r="BI11" s="531"/>
      <c r="BJ11" s="531"/>
      <c r="BK11" s="531"/>
      <c r="BL11" s="531"/>
      <c r="BM11" s="531"/>
      <c r="BN11" s="531"/>
      <c r="BO11" s="531"/>
      <c r="BP11" s="531"/>
      <c r="BQ11" s="531"/>
      <c r="BR11" s="1209" t="s">
        <v>77</v>
      </c>
      <c r="BS11" s="1200" t="s">
        <v>231</v>
      </c>
      <c r="BT11" s="532"/>
      <c r="BU11" s="354"/>
      <c r="BV11" s="190"/>
      <c r="BW11" s="533"/>
      <c r="BX11" s="190"/>
      <c r="BY11" s="534"/>
      <c r="BZ11" s="526"/>
      <c r="CA11" s="525"/>
      <c r="CB11" s="535"/>
      <c r="CC11" s="190"/>
      <c r="CD11" s="190"/>
      <c r="CU11" s="536"/>
      <c r="CV11" s="525"/>
      <c r="CW11" s="521"/>
      <c r="CX11" s="3"/>
      <c r="CY11" s="527"/>
      <c r="CZ11" s="522"/>
      <c r="DA11" s="524"/>
      <c r="DB11" s="527"/>
      <c r="DC11" s="537"/>
      <c r="DD11" s="523"/>
      <c r="DE11" s="523"/>
      <c r="DF11" s="524"/>
      <c r="DG11" s="538"/>
      <c r="DH11" s="539"/>
    </row>
    <row r="12" spans="1:133" s="530" customFormat="1" ht="13.5" customHeight="1" x14ac:dyDescent="0.2">
      <c r="A12" s="528"/>
      <c r="B12" s="1162"/>
      <c r="C12" s="529"/>
      <c r="D12" s="1162"/>
      <c r="E12" s="1162"/>
      <c r="F12" s="1166"/>
      <c r="G12" s="691"/>
      <c r="H12" s="691"/>
      <c r="I12" s="691"/>
      <c r="J12" s="691"/>
      <c r="K12" s="531"/>
      <c r="L12" s="531"/>
      <c r="M12" s="1198"/>
      <c r="N12" s="531"/>
      <c r="O12" s="531"/>
      <c r="P12" s="531"/>
      <c r="Q12" s="834"/>
      <c r="R12" s="1174"/>
      <c r="S12" s="1175"/>
      <c r="T12" s="837"/>
      <c r="U12" s="849"/>
      <c r="V12" s="1177"/>
      <c r="W12" s="1174"/>
      <c r="X12" s="1175"/>
      <c r="Y12" s="1162"/>
      <c r="Z12" s="529"/>
      <c r="AA12" s="1172" t="s">
        <v>280</v>
      </c>
      <c r="AB12" s="1172"/>
      <c r="AC12" s="1172"/>
      <c r="AD12" s="1172"/>
      <c r="AE12" s="1172" t="s">
        <v>272</v>
      </c>
      <c r="AF12" s="1172" t="s">
        <v>305</v>
      </c>
      <c r="AG12" s="1172"/>
      <c r="AH12" s="1193"/>
      <c r="AI12" s="1193"/>
      <c r="AJ12" s="1194"/>
      <c r="AK12" s="1170"/>
      <c r="AL12" s="1171"/>
      <c r="AM12" s="1172" t="s">
        <v>280</v>
      </c>
      <c r="AN12" s="1172"/>
      <c r="AO12" s="1172"/>
      <c r="AP12" s="1172" t="s">
        <v>317</v>
      </c>
      <c r="AQ12" s="1172"/>
      <c r="AR12" s="837"/>
      <c r="AS12" s="837"/>
      <c r="AT12" s="1172" t="s">
        <v>311</v>
      </c>
      <c r="AU12" s="1172"/>
      <c r="AV12" s="1172"/>
      <c r="AW12" s="1207"/>
      <c r="AY12" s="531"/>
      <c r="AZ12" s="531"/>
      <c r="BA12" s="531"/>
      <c r="BB12" s="531"/>
      <c r="BC12" s="531"/>
      <c r="BD12" s="531"/>
      <c r="BE12" s="531"/>
      <c r="BF12" s="531"/>
      <c r="BG12" s="531"/>
      <c r="BH12" s="1210"/>
      <c r="BI12" s="531"/>
      <c r="BJ12" s="531"/>
      <c r="BK12" s="531"/>
      <c r="BL12" s="531"/>
      <c r="BM12" s="531"/>
      <c r="BN12" s="531"/>
      <c r="BO12" s="531"/>
      <c r="BP12" s="531"/>
      <c r="BQ12" s="531"/>
      <c r="BR12" s="1210"/>
      <c r="BS12" s="1201"/>
      <c r="BT12" s="532"/>
      <c r="BU12" s="354"/>
      <c r="BV12" s="190"/>
      <c r="BW12" s="533"/>
      <c r="BX12" s="190"/>
      <c r="BY12" s="534"/>
      <c r="BZ12" s="526"/>
      <c r="CA12" s="525"/>
      <c r="CB12" s="535"/>
      <c r="CC12" s="190"/>
      <c r="CD12" s="190"/>
      <c r="CU12" s="536"/>
      <c r="CV12" s="525"/>
      <c r="CW12" s="521"/>
      <c r="CX12" s="3"/>
      <c r="CY12" s="527"/>
      <c r="CZ12" s="522"/>
      <c r="DA12" s="524"/>
      <c r="DB12" s="527"/>
      <c r="DC12" s="537"/>
      <c r="DD12" s="523"/>
      <c r="DE12" s="523"/>
      <c r="DF12" s="524"/>
      <c r="DG12" s="538"/>
      <c r="DH12" s="539"/>
    </row>
    <row r="13" spans="1:133" s="530" customFormat="1" ht="27" customHeight="1" x14ac:dyDescent="0.2">
      <c r="A13" s="528">
        <v>163</v>
      </c>
      <c r="B13" s="1163"/>
      <c r="C13" s="529"/>
      <c r="D13" s="1163"/>
      <c r="E13" s="1163"/>
      <c r="F13" s="1167"/>
      <c r="G13" s="691"/>
      <c r="H13" s="691"/>
      <c r="I13" s="691"/>
      <c r="J13" s="691"/>
      <c r="K13" s="531"/>
      <c r="L13" s="531"/>
      <c r="M13" s="1199"/>
      <c r="N13" s="531"/>
      <c r="O13" s="531"/>
      <c r="P13" s="531"/>
      <c r="Q13" s="851"/>
      <c r="R13" s="1176"/>
      <c r="S13" s="1171"/>
      <c r="T13" s="837"/>
      <c r="U13" s="849"/>
      <c r="V13" s="1170"/>
      <c r="W13" s="1176"/>
      <c r="X13" s="1171"/>
      <c r="Y13" s="1163"/>
      <c r="Z13" s="529"/>
      <c r="AA13" s="1172"/>
      <c r="AB13" s="1172"/>
      <c r="AC13" s="1172"/>
      <c r="AD13" s="1172"/>
      <c r="AE13" s="1172"/>
      <c r="AF13" s="1172"/>
      <c r="AG13" s="1172"/>
      <c r="AH13" s="1195"/>
      <c r="AI13" s="1195"/>
      <c r="AJ13" s="1196"/>
      <c r="AK13" s="852" t="s">
        <v>306</v>
      </c>
      <c r="AL13" s="840" t="s">
        <v>318</v>
      </c>
      <c r="AM13" s="1172"/>
      <c r="AN13" s="1172"/>
      <c r="AO13" s="1172"/>
      <c r="AP13" s="1172"/>
      <c r="AQ13" s="1172"/>
      <c r="AS13" s="355"/>
      <c r="AT13" s="1172"/>
      <c r="AU13" s="1172"/>
      <c r="AV13" s="1172"/>
      <c r="AW13" s="1208"/>
      <c r="AY13" s="531"/>
      <c r="AZ13" s="531"/>
      <c r="BA13" s="531"/>
      <c r="BB13" s="531"/>
      <c r="BC13" s="531"/>
      <c r="BD13" s="531"/>
      <c r="BE13" s="531"/>
      <c r="BF13" s="531"/>
      <c r="BG13" s="531"/>
      <c r="BH13" s="1211"/>
      <c r="BI13" s="531"/>
      <c r="BJ13" s="531"/>
      <c r="BK13" s="531"/>
      <c r="BL13" s="531"/>
      <c r="BM13" s="531"/>
      <c r="BN13" s="531"/>
      <c r="BO13" s="531"/>
      <c r="BP13" s="531"/>
      <c r="BQ13" s="531"/>
      <c r="BR13" s="1211"/>
      <c r="BS13" s="1202"/>
      <c r="BT13" s="532"/>
      <c r="BU13" s="354" t="s">
        <v>267</v>
      </c>
      <c r="BV13" s="190" t="s">
        <v>268</v>
      </c>
      <c r="BW13" s="533"/>
      <c r="BX13" s="190" t="e">
        <f>IF(AND(#REF!&gt;0,#REF!&lt;(#REF!-1),BY13&gt;0,BY13&lt;13,OR(AND(CA13="Cùg Ng",(#REF!-#REF!)&gt;#REF!),CA13="- - -")),"Sớm TT","=&gt; s")</f>
        <v>#REF!</v>
      </c>
      <c r="BY13" s="534" t="e">
        <f>IF(#REF!=3,36-(12*(#REF!-#REF!)+(12-#REF!)-#REF!),IF(#REF!=2,24-(12*(#REF!-#REF!)+(12-#REF!)-#REF!),"---"))</f>
        <v>#REF!</v>
      </c>
      <c r="BZ13" s="526"/>
      <c r="CA13" s="525" t="e">
        <f>IF(#REF!=#REF!,"Cùg Ng","- - -")</f>
        <v>#REF!</v>
      </c>
      <c r="CB13" s="535" t="str">
        <f>IF(CD13&gt;2000,"NN","- - -")</f>
        <v>- - -</v>
      </c>
      <c r="CC13" s="190"/>
      <c r="CD13" s="190"/>
      <c r="CG13" s="530" t="str">
        <f>IF(CI13&gt;2000,"CN","- - -")</f>
        <v>- - -</v>
      </c>
      <c r="CL13" s="530" t="e">
        <f>IF(AND(CM13="Hưu",#REF!&lt;(#REF!-1),CT13&gt;0,CT13&lt;18,OR(#REF!&lt;4,AND(#REF!&gt;3,OR(#REF!&lt;3,#REF!&gt;5)))),"Lg Sớm",IF(AND(CM13="Hưu",#REF!&gt;(#REF!-2),OR(#REF!=0.33,#REF!=0.34),OR(#REF!&lt;4,AND(#REF!&gt;3,OR(#REF!&lt;3,#REF!&gt;5)))),"Nâng Ngạch",IF(AND(CM13="Hưu",#REF!=1,CT13&gt;2,CT13&lt;6,OR(#REF!&lt;4,AND(#REF!&gt;3,OR(#REF!&lt;3,#REF!&gt;5)))),"Nâng PcVK cùng QĐ",IF(AND(CM13="Hưu",#REF!&gt;3,#REF!&gt;2,#REF!&lt;6,#REF!&lt;(#REF!-1),CT13&gt;17,OR(#REF!&gt;1,AND(#REF!=1,OR(CT13&lt;3,CT13&gt;5)))),"Nâng PcNG cùng QĐ",IF(AND(CM13="Hưu",#REF!&lt;(#REF!-1),CT13&gt;0,CT13&lt;18,#REF!&gt;3,#REF!&gt;2,#REF!&lt;6),"Nâng Lg Sớm +(PcNG cùng QĐ)",IF(AND(CM13="Hưu",#REF!&gt;(#REF!-2),OR(#REF!=0.33,#REF!=0.34),#REF!&gt;3,#REF!&gt;2,#REF!&lt;6),"Nâng Ngạch +(PcNG cùng QĐ)",IF(AND(CM13="Hưu",#REF!=1,CT13&gt;2,CT13&lt;6,#REF!&gt;3,#REF!&gt;2,#REF!&lt;6),"Nâng (PcVK +PcNG) cùng QĐ",("---"))))))))</f>
        <v>#REF!</v>
      </c>
      <c r="CM13" s="530" t="e">
        <f>IF(AND(CX13&gt;CW13,CX13&lt;(CW13+13)),"Hưu",IF(AND(CX13&gt;(CW13+12),CX13&lt;1000),"Quá","/-/ /-/"))</f>
        <v>#REF!</v>
      </c>
      <c r="CN13" s="530" t="e">
        <f>IF((#REF!+0)&lt;12,(#REF!+0)+1,IF((#REF!+0)=12,1,IF((#REF!+0)&gt;12,(#REF!+0)-12)))</f>
        <v>#REF!</v>
      </c>
      <c r="CO13" s="530" t="e">
        <f>IF(OR((#REF!+0)=12,(#REF!+0)&gt;12),#REF!+CW13/12+1,IF(AND((#REF!+0)&gt;0,(#REF!+0)&lt;12),#REF!+CW13/12,"---"))</f>
        <v>#REF!</v>
      </c>
      <c r="CP13" s="530" t="e">
        <f>IF(AND(CN13&gt;3,CN13&lt;13),CN13-3,IF(CN13&lt;4,CN13-3+12))</f>
        <v>#REF!</v>
      </c>
      <c r="CQ13" s="530" t="e">
        <f>IF(CP13&lt;CN13,CO13,IF(CP13&gt;CN13,CO13-1))</f>
        <v>#REF!</v>
      </c>
      <c r="CR13" s="530" t="e">
        <f>IF(CN13&gt;6,CN13-6,IF(CN13=6,12,IF(CN13&lt;6,CN13+6)))</f>
        <v>#REF!</v>
      </c>
      <c r="CS13" s="530" t="e">
        <f>IF(CN13&gt;6,CO13,IF(CN13&lt;7,CO13-1))</f>
        <v>#REF!</v>
      </c>
      <c r="CT13" s="530" t="e">
        <f>IF(AND(CM13="Hưu",#REF!=3),36+#REF!-(12*(CS13-#REF!)+(CR13-#REF!)),IF(AND(CM13="Hưu",#REF!=2),24+#REF!-(12*(CS13-#REF!)+(CR13-#REF!)),IF(AND(CM13="Hưu",#REF!=1),12+#REF!-(12*(CS13-#REF!)+(CR13-#REF!)),"- - -")))</f>
        <v>#REF!</v>
      </c>
      <c r="CU13" s="536" t="str">
        <f>IF(CV13&gt;0,"K.Dài",". .")</f>
        <v>. .</v>
      </c>
      <c r="CV13" s="525"/>
      <c r="CW13" s="521" t="e">
        <f>IF(#REF!="Nam",(60+CV13)*12,IF(#REF!="Nữ",(55+CV13)*12,))</f>
        <v>#REF!</v>
      </c>
      <c r="CX13" s="3" t="e">
        <f>12*(#REF!-#REF!)+(12-#REF!)</f>
        <v>#REF!</v>
      </c>
      <c r="CY13" s="527" t="e">
        <f>#REF!-#REF!</f>
        <v>#REF!</v>
      </c>
      <c r="CZ13" s="522" t="e">
        <f>IF(AND(CY13&lt;35,#REF!="Nam"),"Nam dưới 35",IF(AND(CY13&lt;30,#REF!="Nữ"),"Nữ dưới 30",IF(AND(CY13&gt;34,CY13&lt;46,#REF!="Nam"),"Nam từ 35 - 45",IF(AND(CY13&gt;29,CY13&lt;41,#REF!="Nữ"),"Nữ từ 30 - 40",IF(AND(CY13&gt;45,CY13&lt;56,#REF!="Nam"),"Nam trên 45 - 55",IF(AND(CY13&gt;40,CY13&lt;51,#REF!="Nữ"),"Nữ trên 40 - 50",IF(AND(CY13&gt;55,#REF!="Nam"),"Nam trên 55","Nữ trên 50")))))))</f>
        <v>#REF!</v>
      </c>
      <c r="DA13" s="524"/>
      <c r="DB13" s="527"/>
      <c r="DC13" s="537" t="e">
        <f>IF(CY13&lt;31,"Đến 30",IF(AND(CY13&gt;30,CY13&lt;46),"31 - 45",IF(AND(CY13&gt;45,CY13&lt;70),"Trên 45")))</f>
        <v>#REF!</v>
      </c>
      <c r="DD13" s="523" t="str">
        <f>IF(DE13&gt;0,"TD","--")</f>
        <v>--</v>
      </c>
      <c r="DE13" s="523"/>
      <c r="DF13" s="524"/>
      <c r="DG13" s="538"/>
      <c r="DH13" s="539"/>
      <c r="DN13" s="530" t="s">
        <v>124</v>
      </c>
      <c r="DO13" s="530" t="s">
        <v>183</v>
      </c>
      <c r="DP13" s="530" t="s">
        <v>200</v>
      </c>
      <c r="DQ13" s="530" t="s">
        <v>187</v>
      </c>
      <c r="DR13" s="530" t="s">
        <v>200</v>
      </c>
      <c r="DS13" s="530" t="s">
        <v>203</v>
      </c>
      <c r="DT13" s="530">
        <f>(DO13+0)-(DV13+0)</f>
        <v>0</v>
      </c>
      <c r="DU13" s="530" t="str">
        <f>IF(DT13&gt;0,"Sửa","- - -")</f>
        <v>- - -</v>
      </c>
      <c r="DV13" s="530" t="s">
        <v>183</v>
      </c>
      <c r="DW13" s="530" t="s">
        <v>200</v>
      </c>
      <c r="DX13" s="530" t="s">
        <v>187</v>
      </c>
      <c r="DY13" s="530" t="s">
        <v>200</v>
      </c>
      <c r="DZ13" s="530" t="s">
        <v>203</v>
      </c>
      <c r="EB13" s="530" t="e">
        <f>IF(AND(#REF!&gt;0.34,#REF!=1,OR(#REF!=6.2,#REF!=5.75)),((#REF!-EA13)-2*0.34),IF(AND(#REF!&gt;0.33,#REF!=1,OR(#REF!=4.4,#REF!=4)),((#REF!-EA13)-2*0.33),"- - -"))</f>
        <v>#REF!</v>
      </c>
      <c r="EC13" s="530" t="e">
        <f>IF(CM13="Hưu",12*(CS13-#REF!)+(CR13-#REF!),"---")</f>
        <v>#REF!</v>
      </c>
    </row>
    <row r="14" spans="1:133" s="853" customFormat="1" ht="12" customHeight="1" x14ac:dyDescent="0.2">
      <c r="B14" s="1010">
        <v>1</v>
      </c>
      <c r="C14" s="1010"/>
      <c r="D14" s="1010">
        <v>2</v>
      </c>
      <c r="E14" s="854">
        <v>2</v>
      </c>
      <c r="F14" s="1010">
        <v>3</v>
      </c>
      <c r="G14" s="1010"/>
      <c r="H14" s="1010"/>
      <c r="I14" s="1010"/>
      <c r="J14" s="1010"/>
      <c r="K14" s="1010"/>
      <c r="L14" s="1010"/>
      <c r="M14" s="1010">
        <v>4</v>
      </c>
      <c r="N14" s="1010"/>
      <c r="O14" s="1010"/>
      <c r="P14" s="1010"/>
      <c r="Q14" s="1009"/>
      <c r="R14" s="1185">
        <v>4</v>
      </c>
      <c r="S14" s="1186"/>
      <c r="T14" s="1010"/>
      <c r="U14" s="1010"/>
      <c r="V14" s="1191">
        <v>5</v>
      </c>
      <c r="W14" s="1192"/>
      <c r="X14" s="876">
        <v>6</v>
      </c>
      <c r="Y14" s="1010">
        <v>6</v>
      </c>
      <c r="Z14" s="1010"/>
      <c r="AA14" s="1184">
        <v>7</v>
      </c>
      <c r="AB14" s="1185"/>
      <c r="AC14" s="1185"/>
      <c r="AD14" s="1186"/>
      <c r="AE14" s="1010">
        <v>8</v>
      </c>
      <c r="AF14" s="1187">
        <v>9</v>
      </c>
      <c r="AG14" s="1187"/>
      <c r="AH14" s="1185"/>
      <c r="AI14" s="1185"/>
      <c r="AJ14" s="1186"/>
      <c r="AK14" s="1184">
        <v>11</v>
      </c>
      <c r="AL14" s="1186"/>
      <c r="AM14" s="1184">
        <v>12</v>
      </c>
      <c r="AN14" s="1185"/>
      <c r="AO14" s="1186"/>
      <c r="AP14" s="1184">
        <v>13</v>
      </c>
      <c r="AQ14" s="1186"/>
      <c r="AR14" s="1184">
        <v>14</v>
      </c>
      <c r="AS14" s="1185"/>
      <c r="AT14" s="1185"/>
      <c r="AU14" s="1185"/>
      <c r="AV14" s="1186"/>
      <c r="AW14" s="854">
        <v>15</v>
      </c>
      <c r="AX14" s="1010"/>
      <c r="AY14" s="1010"/>
      <c r="AZ14" s="1010"/>
      <c r="BA14" s="1010"/>
      <c r="BB14" s="1010"/>
      <c r="BC14" s="1010"/>
      <c r="BD14" s="1010"/>
      <c r="BE14" s="1010"/>
      <c r="BF14" s="1010"/>
      <c r="BG14" s="1010"/>
      <c r="BH14" s="1010">
        <v>12</v>
      </c>
      <c r="BI14" s="1010"/>
      <c r="BJ14" s="1010"/>
      <c r="BK14" s="1010"/>
      <c r="BL14" s="1010"/>
      <c r="BM14" s="1010"/>
      <c r="BN14" s="1010"/>
      <c r="BO14" s="1010"/>
      <c r="BP14" s="1010"/>
      <c r="BQ14" s="1010"/>
      <c r="BR14" s="1010">
        <v>11</v>
      </c>
      <c r="BS14" s="1010">
        <v>13</v>
      </c>
    </row>
    <row r="15" spans="1:133" s="855" customFormat="1" ht="45.75" hidden="1" customHeight="1" x14ac:dyDescent="0.2">
      <c r="B15" s="856" t="s">
        <v>228</v>
      </c>
      <c r="C15" s="856"/>
      <c r="D15" s="856" t="s">
        <v>297</v>
      </c>
      <c r="E15" s="857" t="s">
        <v>296</v>
      </c>
      <c r="F15" s="858"/>
      <c r="G15" s="856"/>
      <c r="H15" s="856"/>
      <c r="I15" s="856"/>
      <c r="J15" s="856"/>
      <c r="K15" s="856"/>
      <c r="L15" s="856"/>
      <c r="M15" s="856"/>
      <c r="N15" s="856"/>
      <c r="O15" s="856"/>
      <c r="P15" s="856"/>
      <c r="Q15" s="859"/>
      <c r="R15" s="856" t="s">
        <v>295</v>
      </c>
      <c r="S15" s="856" t="s">
        <v>294</v>
      </c>
      <c r="T15" s="858"/>
      <c r="U15" s="860"/>
      <c r="V15" s="861" t="s">
        <v>292</v>
      </c>
      <c r="W15" s="862" t="s">
        <v>293</v>
      </c>
      <c r="X15" s="863" t="s">
        <v>256</v>
      </c>
      <c r="Y15" s="864"/>
      <c r="Z15" s="865"/>
      <c r="AA15" s="864"/>
      <c r="AB15" s="866" t="s">
        <v>56</v>
      </c>
      <c r="AC15" s="867"/>
      <c r="AD15" s="865" t="s">
        <v>57</v>
      </c>
      <c r="AE15" s="864" t="s">
        <v>291</v>
      </c>
      <c r="AF15" s="868" t="s">
        <v>298</v>
      </c>
      <c r="AG15" s="869"/>
      <c r="AH15" s="866" t="s">
        <v>290</v>
      </c>
      <c r="AI15" s="867"/>
      <c r="AJ15" s="856" t="s">
        <v>289</v>
      </c>
      <c r="AK15" s="877"/>
      <c r="AL15" s="878"/>
      <c r="AM15" s="864" t="s">
        <v>58</v>
      </c>
      <c r="AN15" s="867"/>
      <c r="AO15" s="879" t="s">
        <v>59</v>
      </c>
      <c r="AP15" s="1016" t="s">
        <v>299</v>
      </c>
      <c r="AQ15" s="870"/>
      <c r="AR15" s="864"/>
      <c r="AS15" s="867"/>
      <c r="AT15" s="856" t="s">
        <v>288</v>
      </c>
      <c r="AU15" s="867"/>
      <c r="AV15" s="856" t="s">
        <v>287</v>
      </c>
      <c r="AW15" s="880"/>
      <c r="AX15" s="866"/>
      <c r="AY15" s="856"/>
      <c r="AZ15" s="856"/>
      <c r="BA15" s="856"/>
      <c r="BB15" s="864"/>
      <c r="BC15" s="856"/>
      <c r="BD15" s="856"/>
      <c r="BE15" s="856"/>
      <c r="BF15" s="856"/>
      <c r="BG15" s="856"/>
      <c r="BH15" s="856"/>
      <c r="BI15" s="864"/>
      <c r="BJ15" s="865"/>
      <c r="BK15" s="856"/>
      <c r="BL15" s="856"/>
      <c r="BM15" s="856"/>
      <c r="BN15" s="856"/>
      <c r="BO15" s="856"/>
      <c r="BP15" s="856"/>
      <c r="BQ15" s="856"/>
      <c r="BR15" s="866"/>
      <c r="BS15" s="871"/>
      <c r="BT15" s="872"/>
      <c r="BU15" s="872"/>
      <c r="BV15" s="857" t="s">
        <v>286</v>
      </c>
      <c r="BW15" s="856" t="s">
        <v>285</v>
      </c>
    </row>
    <row r="16" spans="1:133" s="563" customFormat="1" ht="40.5" customHeight="1" x14ac:dyDescent="0.2">
      <c r="A16" s="540"/>
      <c r="B16" s="541" t="s">
        <v>157</v>
      </c>
      <c r="C16" s="541"/>
      <c r="D16" s="542"/>
      <c r="E16" s="542" t="s">
        <v>332</v>
      </c>
      <c r="F16" s="543"/>
      <c r="G16" s="544"/>
      <c r="H16" s="544"/>
      <c r="I16" s="544"/>
      <c r="J16" s="545"/>
      <c r="K16" s="545"/>
      <c r="L16" s="545"/>
      <c r="M16" s="545"/>
      <c r="N16" s="545"/>
      <c r="O16" s="545"/>
      <c r="P16" s="545"/>
      <c r="Q16" s="542"/>
      <c r="R16" s="546"/>
      <c r="S16" s="547"/>
      <c r="T16" s="548"/>
      <c r="U16" s="548"/>
      <c r="V16" s="733"/>
      <c r="W16" s="734"/>
      <c r="X16" s="587"/>
      <c r="Y16" s="586"/>
      <c r="Z16" s="587"/>
      <c r="AA16" s="588"/>
      <c r="AB16" s="572"/>
      <c r="AC16" s="649"/>
      <c r="AD16" s="573"/>
      <c r="AE16" s="584"/>
      <c r="AF16" s="576"/>
      <c r="AG16" s="573"/>
      <c r="AH16" s="647"/>
      <c r="AI16" s="672"/>
      <c r="AJ16" s="678"/>
      <c r="AK16" s="737"/>
      <c r="AL16" s="738"/>
      <c r="AM16" s="679"/>
      <c r="AN16" s="666"/>
      <c r="AO16" s="682"/>
      <c r="AP16" s="576"/>
      <c r="AQ16" s="649"/>
      <c r="AR16" s="574"/>
      <c r="AS16" s="665"/>
      <c r="AT16" s="716"/>
      <c r="AU16" s="671"/>
      <c r="AV16" s="575"/>
      <c r="AW16" s="688"/>
      <c r="AX16" s="550"/>
      <c r="AY16" s="551"/>
      <c r="AZ16" s="551"/>
      <c r="BA16" s="545"/>
      <c r="BB16" s="552"/>
      <c r="BC16" s="553"/>
      <c r="BD16" s="553"/>
      <c r="BE16" s="541"/>
      <c r="BF16" s="729"/>
      <c r="BG16" s="729"/>
      <c r="BH16" s="553"/>
      <c r="BI16" s="554"/>
      <c r="BJ16" s="549"/>
      <c r="BK16" s="555"/>
      <c r="BL16" s="556"/>
      <c r="BM16" s="556"/>
      <c r="BN16" s="556"/>
      <c r="BO16" s="556"/>
      <c r="BP16" s="556"/>
      <c r="BQ16" s="553"/>
      <c r="BR16" s="557"/>
      <c r="BS16" s="558"/>
      <c r="BT16" s="553"/>
      <c r="BU16" s="541"/>
      <c r="BV16" s="545"/>
      <c r="BW16" s="559"/>
      <c r="BX16" s="560"/>
      <c r="BY16" s="540"/>
      <c r="BZ16" s="561"/>
      <c r="CA16" s="561"/>
      <c r="CB16" s="540"/>
      <c r="CC16" s="562"/>
      <c r="CD16" s="540"/>
      <c r="CE16" s="540"/>
      <c r="CV16" s="564"/>
      <c r="CW16" s="565"/>
      <c r="CX16" s="566"/>
      <c r="CY16" s="540"/>
      <c r="CZ16" s="567"/>
      <c r="DA16" s="567"/>
      <c r="DB16" s="567"/>
      <c r="DC16" s="567"/>
      <c r="DD16" s="568"/>
      <c r="DE16" s="569"/>
      <c r="DF16" s="569"/>
      <c r="DG16" s="567"/>
      <c r="DH16" s="570"/>
      <c r="DI16" s="569"/>
      <c r="DJ16" s="571"/>
      <c r="DK16" s="571"/>
    </row>
    <row r="17" spans="1:144" s="1076" customFormat="1" ht="27" customHeight="1" x14ac:dyDescent="0.2">
      <c r="A17" s="1089">
        <v>19</v>
      </c>
      <c r="B17" s="1086">
        <v>1</v>
      </c>
      <c r="C17" s="1043"/>
      <c r="D17" s="1043" t="str">
        <f t="shared" ref="D17:D38" si="0">IF(F17="Nam","Ông","Bà")</f>
        <v>Bà</v>
      </c>
      <c r="E17" s="1091" t="s">
        <v>360</v>
      </c>
      <c r="F17" s="1092" t="s">
        <v>221</v>
      </c>
      <c r="G17" s="1093" t="s">
        <v>183</v>
      </c>
      <c r="H17" s="1093" t="s">
        <v>200</v>
      </c>
      <c r="I17" s="1093" t="s">
        <v>210</v>
      </c>
      <c r="J17" s="1042" t="s">
        <v>200</v>
      </c>
      <c r="K17" s="1042">
        <v>1982</v>
      </c>
      <c r="L17" s="1042" t="s">
        <v>264</v>
      </c>
      <c r="M17" s="1042" t="s">
        <v>269</v>
      </c>
      <c r="N17" s="1042"/>
      <c r="O17" s="1042" t="e">
        <v>#N/A</v>
      </c>
      <c r="P17" s="1042"/>
      <c r="Q17" s="1091" t="e">
        <v>#N/A</v>
      </c>
      <c r="R17" s="1094" t="s">
        <v>361</v>
      </c>
      <c r="S17" s="1095" t="s">
        <v>362</v>
      </c>
      <c r="T17" s="1096" t="s">
        <v>53</v>
      </c>
      <c r="U17" s="1096" t="s">
        <v>96</v>
      </c>
      <c r="V17" s="1097" t="s">
        <v>249</v>
      </c>
      <c r="W17" s="1098" t="s">
        <v>181</v>
      </c>
      <c r="X17" s="1099" t="s">
        <v>87</v>
      </c>
      <c r="Y17" s="1100" t="s">
        <v>261</v>
      </c>
      <c r="Z17" s="1099" t="e">
        <f>VLOOKUP(Y17,#REF!,2,0)</f>
        <v>#REF!</v>
      </c>
      <c r="AA17" s="1101" t="e">
        <f t="shared" ref="AA17:AA39" si="1">IF(OR(AND(BC17=36,BB17=3),AND(BC17=24,BB17=2),AND(BC17=12,BB17=1)),"Đến $",IF(OR(AND(BC17&gt;36,BB17=3),AND(BC17&gt;24,BB17=2),AND(BC17&gt;12,BB17=1)),"Dừng $","Lương"))</f>
        <v>#REF!</v>
      </c>
      <c r="AB17" s="1102">
        <v>3</v>
      </c>
      <c r="AC17" s="1088" t="s">
        <v>200</v>
      </c>
      <c r="AD17" s="1041">
        <v>9</v>
      </c>
      <c r="AE17" s="1103">
        <v>3</v>
      </c>
      <c r="AF17" s="1104"/>
      <c r="AG17" s="1041"/>
      <c r="AH17" s="1105" t="s">
        <v>189</v>
      </c>
      <c r="AI17" s="1106" t="s">
        <v>200</v>
      </c>
      <c r="AJ17" s="1107" t="s">
        <v>363</v>
      </c>
      <c r="AK17" s="1108"/>
      <c r="AL17" s="1109"/>
      <c r="AM17" s="1110">
        <v>4</v>
      </c>
      <c r="AN17" s="1111" t="s">
        <v>200</v>
      </c>
      <c r="AO17" s="1112">
        <v>9</v>
      </c>
      <c r="AP17" s="1121">
        <v>3.33</v>
      </c>
      <c r="AQ17" s="1041"/>
      <c r="AR17" s="1113" t="e">
        <f>IF(AD17=AB17,"%",IF(AD17&gt;AB17,AE17+BE17))</f>
        <v>#REF!</v>
      </c>
      <c r="AS17" s="1114"/>
      <c r="AT17" s="1115" t="s">
        <v>189</v>
      </c>
      <c r="AU17" s="1116" t="s">
        <v>200</v>
      </c>
      <c r="AV17" s="1117">
        <v>2019</v>
      </c>
      <c r="AW17" s="1120"/>
      <c r="AX17" s="1060"/>
      <c r="AY17" s="1051"/>
      <c r="AZ17" s="1118"/>
      <c r="BA17" s="1048"/>
      <c r="BB17" s="1048" t="e">
        <f t="shared" ref="BB17:BB39" si="2">IF(AND(AD17&gt;AB17,OR(BE17=0.18,BE17=0.2)),2,IF(AND(AD17&gt;AB17,OR(BE17=0.31,BE17=0.33,BE17=0.34,BE17=0.36)),3,IF(AD17=AB17,1)))</f>
        <v>#REF!</v>
      </c>
      <c r="BC17" s="1053">
        <f t="shared" ref="BC17:BC39" si="3">12*($AA$2-AX17)+($AA$3-AV17)-AM17</f>
        <v>-2023</v>
      </c>
      <c r="BD17" s="1054" t="e">
        <f>VLOOKUP(Y17,#REF!,3,0)</f>
        <v>#REF!</v>
      </c>
      <c r="BE17" s="1085" t="e">
        <f>VLOOKUP(Y17,#REF!,4,0)</f>
        <v>#REF!</v>
      </c>
      <c r="BF17" s="1056" t="str">
        <f t="shared" ref="BF17:BF39" si="4">IF(AND(BG17&gt;3,BY17=12),"Đến %",IF(AND(BG17&gt;3,BY17&gt;12,BY17&lt;120),"Dừng %",IF(AND(BG17&gt;3,BY17&lt;12),"PCTN","o-o-o")))</f>
        <v>o-o-o</v>
      </c>
      <c r="BG17" s="1087"/>
      <c r="BH17" s="1084"/>
      <c r="BI17" s="1087"/>
      <c r="BJ17" s="1077"/>
      <c r="BK17" s="1052"/>
      <c r="BL17" s="1081"/>
      <c r="BM17" s="1055"/>
      <c r="BN17" s="1090"/>
      <c r="BO17" s="1056"/>
      <c r="BP17" s="1087"/>
      <c r="BQ17" s="1084"/>
      <c r="BR17" s="1087"/>
      <c r="BS17" s="1077"/>
      <c r="BT17" s="1079"/>
      <c r="BU17" s="1060"/>
      <c r="BV17" s="1119"/>
      <c r="BW17" s="1053"/>
      <c r="BX17" s="1044"/>
      <c r="BY17" s="1057" t="str">
        <f t="shared" ref="BY17:BY38" si="5">IF(BG17&gt;3,(($BF$2-BV17)*12+($BF$3-BT17)-BN17),"- - -")</f>
        <v>- - -</v>
      </c>
      <c r="BZ17" s="1058" t="str">
        <f t="shared" ref="BZ17:BZ38" si="6">IF(AND(CV17="Hưu",BG17&gt;3),12-(12*(DB17-BV17)+(DA17-BT17))-BN17,"- - -")</f>
        <v>- - -</v>
      </c>
      <c r="CA17" s="1047" t="str">
        <f t="shared" ref="CA17:CA38" si="7">IF(OR(S17="Ban Tổ chức - Cán bộ",S17="Văn phòng Học viện",S17="Phó Giám đốc Thường trực Học viện",S17="Phó Giám đốc Học viện"),"Chánh Văn phòng Học viện, Trưởng Ban Tổ chức - Cán bộ",IF(OR(S17="Trung tâm Ngoại ngữ",S17="Trung tâm Tin học hành chính và Công nghệ thông tin",S17="Trung tâm Tin học - Thư viện",S17="Phân viện khu vực Tây Nguyên"),"Chánh Văn phòng Học viện, Trưởng Ban Tổ chức - Cán bộ, "&amp;CONCATENATE("Giám đốc ",S17),IF(S17="Tạp chí Quản lý nhà nước","Chánh Văn phòng Học viện, Trưởng Ban Tổ chức - Cán bộ, "&amp;CONCATENATE("Tổng Biên tập ",S17),IF(S17="Văn phòng Đảng uỷ Học viện","Chánh Văn phòng Học viện, Trưởng Ban Tổ chức - Cán bộ, "&amp;CONCATENATE("Chánh",S17),IF(S17="Viện Nghiên cứu Khoa học hành chính","Chánh Văn phòng Học viện, Trưởng Ban Tổ chức - Cán bộ, "&amp;CONCATENATE("Viện Trưởng ",S17),IF(OR(S17="Cơ sở Học viện Hành chính Quốc gia khu vực miền Trung",S17="Cơ sở Học viện Hành chính Quốc gia tại Thành phố Hồ Chí Minh"),"Chánh Văn phòng Học viện, Trưởng Ban Tổ chức - Cán bộ, "&amp;CONCATENATE("Thủ trưởng ",S17),"Chánh Văn phòng Học viện, Trưởng Ban Tổ chức - Cán bộ, "&amp;CONCATENATE("Trưởng ",S17)))))))</f>
        <v>Chánh Văn phòng Học viện, Trưởng Ban Tổ chức - Cán bộ, Trưởng Ban Hợp tác quốc tế</v>
      </c>
      <c r="CB17" s="1043" t="str">
        <f t="shared" ref="CB17:CB38" si="8">IF(S17="Cơ sở Học viện Hành chính khu vực miền Trung","B",IF(S17="Phân viện Khu vực Tây Nguyên","C",IF(S17="Cơ sở Học viện Hành chính tại thành phố Hồ Chí Minh","D","A")))</f>
        <v>A</v>
      </c>
      <c r="CC17" s="1043" t="e">
        <f t="shared" ref="CC17:CC38" si="9">IF(AND(AO17&gt;0,AB17&lt;(AD17-1),CD17&gt;0,CD17&lt;13,OR(AND(CJ17="Cùg Ng",($CC$2-CF17)&gt;BB17),CJ17="- - -")),"Sớm TT","=&gt; s")</f>
        <v>#REF!</v>
      </c>
      <c r="CD17" s="1083" t="e">
        <f t="shared" ref="CD17:CD38" si="10">IF(BB17=3,36-(12*($CC$2-AX17)+(12-AV17)-AM17),IF(BB17=2,24-(12*($CC$2-AX17)+(12-AV17)-AM17),"---"))</f>
        <v>#REF!</v>
      </c>
      <c r="CE17" s="1043" t="str">
        <f t="shared" ref="CE17:CE38" si="11">IF(CF17&gt;1,"S","---")</f>
        <v>---</v>
      </c>
      <c r="CF17" s="1059"/>
      <c r="CG17" s="1043"/>
      <c r="CH17" s="1060"/>
      <c r="CI17" s="1061"/>
      <c r="CJ17" s="1062" t="str">
        <f t="shared" ref="CJ17:CJ38" si="12">IF(X17=CG17,"Cùg Ng","- - -")</f>
        <v>- - -</v>
      </c>
      <c r="CK17" s="1061" t="str">
        <f t="shared" ref="CK17:CK38" si="13">IF(CM17&gt;2000,"NN","- - -")</f>
        <v>- - -</v>
      </c>
      <c r="CL17" s="1063"/>
      <c r="CM17" s="1060"/>
      <c r="CN17" s="1061"/>
      <c r="CO17" s="1062"/>
      <c r="CP17" s="1061" t="str">
        <f t="shared" ref="CP17:CP38" si="14">IF(CR17&gt;2000,"CN","- - -")</f>
        <v>- - -</v>
      </c>
      <c r="CQ17" s="1063"/>
      <c r="CR17" s="1064"/>
      <c r="CS17" s="1082"/>
      <c r="CT17" s="1065"/>
      <c r="CU17" s="1066" t="e">
        <f t="shared" ref="CU17:CU30" si="15">IF(AND(CV17="Hưu",AB17&lt;(AD17-1),DC17&gt;0,DC17&lt;18,OR(BG17&lt;4,AND(BG17&gt;3,OR(BZ17&lt;3,BZ17&gt;5)))),"Lg Sớm",IF(AND(CV17="Hưu",AB17&gt;(AD17-2),OR(BE17=0.33,BE17=0.34),OR(BG17&lt;4,AND(BG17&gt;3,OR(BZ17&lt;3,BZ17&gt;5)))),"Nâng Ngạch",IF(AND(CV17="Hưu",BB17=1,DC17&gt;2,DC17&lt;6,OR(BG17&lt;4,AND(BG17&gt;3,OR(BZ17&lt;3,BZ17&gt;5)))),"Nâng PcVK cùng QĐ",IF(AND(CV17="Hưu",BG17&gt;3,BZ17&gt;2,BZ17&lt;6,AB17&lt;(AD17-1),DC17&gt;17,OR(BB17&gt;1,AND(BB17=1,OR(DC17&lt;3,DC17&gt;5)))),"Nâng PcNG cùng QĐ",IF(AND(CV17="Hưu",AB17&lt;(AD17-1),DC17&gt;0,DC17&lt;18,BG17&gt;3,BZ17&gt;2,BZ17&lt;6),"Nâng Lg Sớm +(PcNG cùng QĐ)",IF(AND(CV17="Hưu",AB17&gt;(AD17-2),OR(BE17=0.33,BE17=0.34),BG17&gt;3,BZ17&gt;2,BZ17&lt;6),"Nâng Ngạch +(PcNG cùng QĐ)",IF(AND(CV17="Hưu",BB17=1,DC17&gt;2,DC17&lt;6,BG17&gt;3,BZ17&gt;2,BZ17&lt;6),"Nâng (PcVK +PcNG) cùng QĐ",("---"))))))))</f>
        <v>#REF!</v>
      </c>
      <c r="CV17" s="1065" t="str">
        <f t="shared" ref="CV17:CV38" si="16">IF(AND(DG17&gt;DF17,DG17&lt;(DF17+13)),"Hưu",IF(AND(DG17&gt;(DF17+12),DG17&lt;1000),"Quá","/-/ /-/"))</f>
        <v>/-/ /-/</v>
      </c>
      <c r="CW17" s="1066">
        <f t="shared" ref="CW17:CW38" si="17">IF((I17+0)&lt;12,(I17+0)+1,IF((I17+0)=12,1,IF((I17+0)&gt;12,(I17+0)-12)))</f>
        <v>11</v>
      </c>
      <c r="CX17" s="1065">
        <f t="shared" ref="CX17:CX38" si="18">IF(OR((I17+0)=12,(I17+0)&gt;12),K17+DF17/12+1,IF(AND((I17+0)&gt;0,(I17+0)&lt;12),K17+DF17/12,"---"))</f>
        <v>2037</v>
      </c>
      <c r="CY17" s="1066">
        <f t="shared" ref="CY17:CY38" si="19">IF(AND(CW17&gt;3,CW17&lt;13),CW17-3,IF(CW17&lt;4,CW17-3+12))</f>
        <v>8</v>
      </c>
      <c r="CZ17" s="1067">
        <f t="shared" ref="CZ17:CZ38" si="20">IF(CY17&lt;CW17,CX17,IF(CY17&gt;CW17,CX17-1))</f>
        <v>2037</v>
      </c>
      <c r="DA17" s="1068">
        <f t="shared" ref="DA17:DA38" si="21">IF(CW17&gt;6,CW17-6,IF(CW17=6,12,IF(CW17&lt;6,CW17+6)))</f>
        <v>5</v>
      </c>
      <c r="DB17" s="1068">
        <f t="shared" ref="DB17:DB38" si="22">IF(CW17&gt;6,CX17,IF(CW17&lt;7,CX17-1))</f>
        <v>2037</v>
      </c>
      <c r="DC17" s="1047" t="e">
        <f t="shared" ref="DC17:DC38" si="23">IF(AND(CV17="Hưu",BB17=3),36+AM17-(12*(DB17-AX17)+(DA17-AV17)),IF(AND(CV17="Hưu",BB17=2),24+AM17-(12*(DB17-AX17)+(DA17-AV17)),IF(AND(CV17="Hưu",BB17=1),12+AM17-(12*(DB17-AX17)+(DA17-AV17)),"- - -")))</f>
        <v>#REF!</v>
      </c>
      <c r="DD17" s="1047" t="str">
        <f t="shared" ref="DD17:DD38" si="24">IF(DE17&gt;0,"K.Dài",". .")</f>
        <v>. .</v>
      </c>
      <c r="DE17" s="1047"/>
      <c r="DF17" s="1047">
        <f t="shared" ref="DF17:DF38" si="25">IF(F17="Nam",(60+DE17)*12,IF(F17="Nữ",(55+DE17)*12,))</f>
        <v>660</v>
      </c>
      <c r="DG17" s="1047">
        <f t="shared" ref="DG17:DG38" si="26">12*($CV$4-K17)+(12-I17)</f>
        <v>-23782</v>
      </c>
      <c r="DH17" s="1047">
        <f t="shared" ref="DH17:DH38" si="27">$DL$4-K17</f>
        <v>-1982</v>
      </c>
      <c r="DI17" s="1053" t="str">
        <f t="shared" ref="DI17:DI38" si="28">IF(AND(DH17&lt;35,F17="Nam"),"Nam dưới 35",IF(AND(DH17&lt;30,F17="Nữ"),"Nữ dưới 30",IF(AND(DH17&gt;34,DH17&lt;46,F17="Nam"),"Nam từ 35 - 45",IF(AND(DH17&gt;29,DH17&lt;41,F17="Nữ"),"Nữ từ 30 - 40",IF(AND(DH17&gt;45,DH17&lt;56,F17="Nam"),"Nam trên 45 - 55",IF(AND(DH17&gt;40,DH17&lt;51,F17="Nữ"),"Nữ trên 40 - 50",IF(AND(DH17&gt;55,F17="Nam"),"Nam trên 55","Nữ trên 50")))))))</f>
        <v>Nữ dưới 30</v>
      </c>
      <c r="DJ17" s="1061"/>
      <c r="DK17" s="1045"/>
      <c r="DL17" s="1043" t="str">
        <f t="shared" ref="DL17:DL38" si="29">IF(DH17&lt;31,"Đến 30",IF(AND(DH17&gt;30,DH17&lt;46),"31 - 45",IF(AND(DH17&gt;45,DH17&lt;70),"Trên 45")))</f>
        <v>Đến 30</v>
      </c>
      <c r="DM17" s="1078"/>
      <c r="DN17" s="1045"/>
      <c r="DO17" s="1063"/>
      <c r="DP17" s="1069"/>
      <c r="DQ17" s="1070"/>
      <c r="DR17" s="1071"/>
      <c r="DS17" s="1072"/>
      <c r="DT17" s="1046"/>
      <c r="DU17" s="1049"/>
      <c r="DV17" s="1050"/>
      <c r="DW17" s="1080" t="s">
        <v>24</v>
      </c>
      <c r="DX17" s="1050" t="s">
        <v>72</v>
      </c>
      <c r="DY17" s="1073" t="s">
        <v>24</v>
      </c>
      <c r="DZ17" s="1050" t="s">
        <v>183</v>
      </c>
      <c r="EA17" s="1074" t="s">
        <v>200</v>
      </c>
      <c r="EB17" s="1049" t="s">
        <v>186</v>
      </c>
      <c r="EC17" s="1050" t="s">
        <v>200</v>
      </c>
      <c r="ED17" s="1080">
        <v>2013</v>
      </c>
      <c r="EE17" s="1050">
        <f t="shared" ref="EE17:EE38" si="30">(DZ17+0)-(EG17+0)</f>
        <v>0</v>
      </c>
      <c r="EF17" s="1073" t="str">
        <f t="shared" ref="EF17:EF38" si="31">IF(EE17&gt;0,"Sửa","- - -")</f>
        <v>- - -</v>
      </c>
      <c r="EG17" s="1043" t="s">
        <v>183</v>
      </c>
      <c r="EH17" s="1060" t="s">
        <v>200</v>
      </c>
      <c r="EI17" s="1075" t="s">
        <v>186</v>
      </c>
      <c r="EJ17" s="1072" t="s">
        <v>200</v>
      </c>
      <c r="EK17" s="1076">
        <v>2013</v>
      </c>
      <c r="EM17" s="1076" t="e">
        <f t="shared" ref="EM17:EM38" si="32">IF(AND(BE17&gt;0.34,AO17=1,OR(BD17=6.2,BD17=5.75)),((BD17-EL17)-2*0.34),IF(AND(BE17&gt;0.33,AO17=1,OR(BD17=4.4,BD17=4)),((BD17-EL17)-2*0.33),"- - -"))</f>
        <v>#REF!</v>
      </c>
      <c r="EN17" s="1076" t="str">
        <f t="shared" ref="EN17:EN38" si="33">IF(CV17="Hưu",12*(DB17-AX17)+(DA17-AV17),"---")</f>
        <v>---</v>
      </c>
    </row>
    <row r="18" spans="1:144" s="1076" customFormat="1" ht="27" customHeight="1" x14ac:dyDescent="0.2">
      <c r="A18" s="1089">
        <v>81</v>
      </c>
      <c r="B18" s="1086">
        <v>2</v>
      </c>
      <c r="C18" s="1043"/>
      <c r="D18" s="1043" t="str">
        <f t="shared" si="0"/>
        <v>Bà</v>
      </c>
      <c r="E18" s="1091" t="s">
        <v>364</v>
      </c>
      <c r="F18" s="1092" t="s">
        <v>221</v>
      </c>
      <c r="G18" s="1093" t="s">
        <v>213</v>
      </c>
      <c r="H18" s="1093" t="s">
        <v>200</v>
      </c>
      <c r="I18" s="1093" t="s">
        <v>216</v>
      </c>
      <c r="J18" s="1042" t="s">
        <v>200</v>
      </c>
      <c r="K18" s="1042">
        <v>1984</v>
      </c>
      <c r="L18" s="1042" t="s">
        <v>258</v>
      </c>
      <c r="M18" s="1042" t="s">
        <v>365</v>
      </c>
      <c r="N18" s="1042"/>
      <c r="O18" s="1042" t="e">
        <v>#N/A</v>
      </c>
      <c r="P18" s="1042"/>
      <c r="Q18" s="1091" t="e">
        <v>#N/A</v>
      </c>
      <c r="R18" s="1094" t="s">
        <v>366</v>
      </c>
      <c r="S18" s="1095" t="s">
        <v>362</v>
      </c>
      <c r="T18" s="1096" t="s">
        <v>53</v>
      </c>
      <c r="U18" s="1096" t="s">
        <v>96</v>
      </c>
      <c r="V18" s="1097" t="s">
        <v>249</v>
      </c>
      <c r="W18" s="1098" t="s">
        <v>181</v>
      </c>
      <c r="X18" s="1099" t="s">
        <v>87</v>
      </c>
      <c r="Y18" s="1100" t="s">
        <v>193</v>
      </c>
      <c r="Z18" s="1099" t="e">
        <f>VLOOKUP(Y18,#REF!,2,0)</f>
        <v>#REF!</v>
      </c>
      <c r="AA18" s="1101" t="e">
        <f t="shared" si="1"/>
        <v>#REF!</v>
      </c>
      <c r="AB18" s="1102">
        <v>4</v>
      </c>
      <c r="AC18" s="1088" t="s">
        <v>200</v>
      </c>
      <c r="AD18" s="1041">
        <v>9</v>
      </c>
      <c r="AE18" s="1103">
        <v>3.33</v>
      </c>
      <c r="AF18" s="1104"/>
      <c r="AG18" s="1041"/>
      <c r="AH18" s="1105" t="s">
        <v>189</v>
      </c>
      <c r="AI18" s="1106" t="s">
        <v>200</v>
      </c>
      <c r="AJ18" s="1107" t="s">
        <v>363</v>
      </c>
      <c r="AK18" s="1108"/>
      <c r="AL18" s="1109"/>
      <c r="AM18" s="1110">
        <v>5</v>
      </c>
      <c r="AN18" s="1111" t="s">
        <v>200</v>
      </c>
      <c r="AO18" s="1112">
        <v>9</v>
      </c>
      <c r="AP18" s="1121">
        <v>3.66</v>
      </c>
      <c r="AQ18" s="1041"/>
      <c r="AR18" s="1113" t="e">
        <f>IF(AD18=AB18,"%",IF(AD18&gt;AB18,AE18+BE18))</f>
        <v>#REF!</v>
      </c>
      <c r="AS18" s="1114"/>
      <c r="AT18" s="1115" t="s">
        <v>189</v>
      </c>
      <c r="AU18" s="1116" t="s">
        <v>200</v>
      </c>
      <c r="AV18" s="1117">
        <v>2019</v>
      </c>
      <c r="AW18" s="1120"/>
      <c r="AX18" s="1060"/>
      <c r="AY18" s="1051"/>
      <c r="AZ18" s="1118"/>
      <c r="BA18" s="1048"/>
      <c r="BB18" s="1048" t="e">
        <f t="shared" si="2"/>
        <v>#REF!</v>
      </c>
      <c r="BC18" s="1053">
        <f t="shared" si="3"/>
        <v>-2024</v>
      </c>
      <c r="BD18" s="1054" t="e">
        <f>VLOOKUP(Y18,#REF!,3,0)</f>
        <v>#REF!</v>
      </c>
      <c r="BE18" s="1085" t="e">
        <f>VLOOKUP(Y18,#REF!,4,0)</f>
        <v>#REF!</v>
      </c>
      <c r="BF18" s="1056" t="str">
        <f t="shared" si="4"/>
        <v>o-o-o</v>
      </c>
      <c r="BG18" s="1087"/>
      <c r="BH18" s="1084"/>
      <c r="BI18" s="1087"/>
      <c r="BJ18" s="1077"/>
      <c r="BK18" s="1052"/>
      <c r="BL18" s="1081"/>
      <c r="BM18" s="1055"/>
      <c r="BN18" s="1090"/>
      <c r="BO18" s="1056"/>
      <c r="BP18" s="1087"/>
      <c r="BQ18" s="1084"/>
      <c r="BR18" s="1087"/>
      <c r="BS18" s="1077"/>
      <c r="BT18" s="1079"/>
      <c r="BU18" s="1060"/>
      <c r="BV18" s="1119"/>
      <c r="BW18" s="1053"/>
      <c r="BX18" s="1044"/>
      <c r="BY18" s="1057" t="str">
        <f t="shared" si="5"/>
        <v>- - -</v>
      </c>
      <c r="BZ18" s="1058" t="str">
        <f t="shared" si="6"/>
        <v>- - -</v>
      </c>
      <c r="CA18" s="1047" t="str">
        <f t="shared" si="7"/>
        <v>Chánh Văn phòng Học viện, Trưởng Ban Tổ chức - Cán bộ, Trưởng Ban Hợp tác quốc tế</v>
      </c>
      <c r="CB18" s="1043" t="str">
        <f t="shared" si="8"/>
        <v>A</v>
      </c>
      <c r="CC18" s="1043" t="e">
        <f t="shared" si="9"/>
        <v>#REF!</v>
      </c>
      <c r="CD18" s="1083" t="e">
        <f t="shared" si="10"/>
        <v>#REF!</v>
      </c>
      <c r="CE18" s="1043" t="str">
        <f t="shared" si="11"/>
        <v>S</v>
      </c>
      <c r="CF18" s="1059">
        <v>2015</v>
      </c>
      <c r="CG18" s="1043"/>
      <c r="CH18" s="1060"/>
      <c r="CI18" s="1061"/>
      <c r="CJ18" s="1062" t="str">
        <f t="shared" si="12"/>
        <v>- - -</v>
      </c>
      <c r="CK18" s="1061" t="str">
        <f t="shared" si="13"/>
        <v>NN</v>
      </c>
      <c r="CL18" s="1063">
        <v>12</v>
      </c>
      <c r="CM18" s="1060">
        <v>2010</v>
      </c>
      <c r="CN18" s="1061"/>
      <c r="CO18" s="1062"/>
      <c r="CP18" s="1061" t="str">
        <f t="shared" si="14"/>
        <v>- - -</v>
      </c>
      <c r="CQ18" s="1063"/>
      <c r="CR18" s="1064"/>
      <c r="CS18" s="1082"/>
      <c r="CT18" s="1065"/>
      <c r="CU18" s="1066" t="e">
        <f t="shared" si="15"/>
        <v>#REF!</v>
      </c>
      <c r="CV18" s="1065" t="str">
        <f t="shared" si="16"/>
        <v>/-/ /-/</v>
      </c>
      <c r="CW18" s="1066">
        <f t="shared" si="17"/>
        <v>5</v>
      </c>
      <c r="CX18" s="1065">
        <f t="shared" si="18"/>
        <v>2039</v>
      </c>
      <c r="CY18" s="1066">
        <f t="shared" si="19"/>
        <v>2</v>
      </c>
      <c r="CZ18" s="1067">
        <f t="shared" si="20"/>
        <v>2039</v>
      </c>
      <c r="DA18" s="1068">
        <f t="shared" si="21"/>
        <v>11</v>
      </c>
      <c r="DB18" s="1068">
        <f t="shared" si="22"/>
        <v>2038</v>
      </c>
      <c r="DC18" s="1047" t="e">
        <f t="shared" si="23"/>
        <v>#REF!</v>
      </c>
      <c r="DD18" s="1047" t="str">
        <f t="shared" si="24"/>
        <v>. .</v>
      </c>
      <c r="DE18" s="1047"/>
      <c r="DF18" s="1047">
        <f t="shared" si="25"/>
        <v>660</v>
      </c>
      <c r="DG18" s="1047">
        <f t="shared" si="26"/>
        <v>-23800</v>
      </c>
      <c r="DH18" s="1047">
        <f t="shared" si="27"/>
        <v>-1984</v>
      </c>
      <c r="DI18" s="1053" t="str">
        <f t="shared" si="28"/>
        <v>Nữ dưới 30</v>
      </c>
      <c r="DJ18" s="1061"/>
      <c r="DK18" s="1045"/>
      <c r="DL18" s="1043" t="str">
        <f t="shared" si="29"/>
        <v>Đến 30</v>
      </c>
      <c r="DM18" s="1078" t="str">
        <f t="shared" ref="DM18:DM38" si="34">IF(DN18&gt;0,"TD","--")</f>
        <v>--</v>
      </c>
      <c r="DN18" s="1045"/>
      <c r="DO18" s="1063"/>
      <c r="DP18" s="1069"/>
      <c r="DQ18" s="1070"/>
      <c r="DR18" s="1071"/>
      <c r="DS18" s="1072"/>
      <c r="DT18" s="1046"/>
      <c r="DU18" s="1049"/>
      <c r="DV18" s="1050"/>
      <c r="DW18" s="1080"/>
      <c r="DX18" s="1050" t="s">
        <v>72</v>
      </c>
      <c r="DY18" s="1073"/>
      <c r="DZ18" s="1050" t="s">
        <v>183</v>
      </c>
      <c r="EA18" s="1074" t="s">
        <v>200</v>
      </c>
      <c r="EB18" s="1049" t="s">
        <v>191</v>
      </c>
      <c r="EC18" s="1050" t="s">
        <v>200</v>
      </c>
      <c r="ED18" s="1080">
        <v>2013</v>
      </c>
      <c r="EE18" s="1050">
        <f t="shared" si="30"/>
        <v>0</v>
      </c>
      <c r="EF18" s="1073" t="str">
        <f t="shared" si="31"/>
        <v>- - -</v>
      </c>
      <c r="EG18" s="1043" t="s">
        <v>183</v>
      </c>
      <c r="EH18" s="1060" t="s">
        <v>200</v>
      </c>
      <c r="EI18" s="1075" t="s">
        <v>191</v>
      </c>
      <c r="EJ18" s="1072" t="s">
        <v>200</v>
      </c>
      <c r="EK18" s="1076">
        <v>2013</v>
      </c>
      <c r="EL18" s="1076">
        <v>3.66</v>
      </c>
      <c r="EM18" s="1076" t="e">
        <f t="shared" si="32"/>
        <v>#REF!</v>
      </c>
      <c r="EN18" s="1076" t="str">
        <f t="shared" si="33"/>
        <v>---</v>
      </c>
    </row>
    <row r="19" spans="1:144" s="1076" customFormat="1" ht="27" customHeight="1" x14ac:dyDescent="0.2">
      <c r="A19" s="1089">
        <v>434</v>
      </c>
      <c r="B19" s="1086">
        <v>3</v>
      </c>
      <c r="C19" s="1043"/>
      <c r="D19" s="1043" t="str">
        <f t="shared" si="0"/>
        <v>Bà</v>
      </c>
      <c r="E19" s="1091" t="s">
        <v>367</v>
      </c>
      <c r="F19" s="1092" t="s">
        <v>221</v>
      </c>
      <c r="G19" s="1093" t="s">
        <v>223</v>
      </c>
      <c r="H19" s="1093" t="s">
        <v>200</v>
      </c>
      <c r="I19" s="1093" t="s">
        <v>191</v>
      </c>
      <c r="J19" s="1042" t="s">
        <v>200</v>
      </c>
      <c r="K19" s="1042" t="s">
        <v>368</v>
      </c>
      <c r="L19" s="1042" t="s">
        <v>264</v>
      </c>
      <c r="M19" s="1042" t="s">
        <v>269</v>
      </c>
      <c r="N19" s="1042"/>
      <c r="O19" s="1042" t="e">
        <v>#N/A</v>
      </c>
      <c r="P19" s="1042"/>
      <c r="Q19" s="1091" t="e">
        <v>#N/A</v>
      </c>
      <c r="R19" s="1094" t="s">
        <v>79</v>
      </c>
      <c r="S19" s="1095" t="s">
        <v>369</v>
      </c>
      <c r="T19" s="1096" t="s">
        <v>53</v>
      </c>
      <c r="U19" s="1096" t="s">
        <v>96</v>
      </c>
      <c r="V19" s="1097" t="s">
        <v>248</v>
      </c>
      <c r="W19" s="1098" t="s">
        <v>254</v>
      </c>
      <c r="X19" s="1099" t="s">
        <v>250</v>
      </c>
      <c r="Y19" s="1100" t="s">
        <v>181</v>
      </c>
      <c r="Z19" s="1099" t="e">
        <f>VLOOKUP(Y19,#REF!,2,0)</f>
        <v>#REF!</v>
      </c>
      <c r="AA19" s="1101" t="e">
        <f t="shared" si="1"/>
        <v>#REF!</v>
      </c>
      <c r="AB19" s="1102">
        <v>4</v>
      </c>
      <c r="AC19" s="1088" t="s">
        <v>200</v>
      </c>
      <c r="AD19" s="1041">
        <v>9</v>
      </c>
      <c r="AE19" s="1103">
        <v>3.33</v>
      </c>
      <c r="AF19" s="1104"/>
      <c r="AG19" s="1041"/>
      <c r="AH19" s="1105" t="s">
        <v>189</v>
      </c>
      <c r="AI19" s="1106" t="s">
        <v>200</v>
      </c>
      <c r="AJ19" s="1107" t="s">
        <v>363</v>
      </c>
      <c r="AK19" s="1108"/>
      <c r="AL19" s="1109"/>
      <c r="AM19" s="1110">
        <v>5</v>
      </c>
      <c r="AN19" s="1111" t="s">
        <v>200</v>
      </c>
      <c r="AO19" s="1112">
        <v>9</v>
      </c>
      <c r="AP19" s="1121">
        <v>3.66</v>
      </c>
      <c r="AQ19" s="1041"/>
      <c r="AR19" s="1113" t="e">
        <f>IF(AD19=AB19,"%",IF(AD19&gt;AB19,AE19+BE19))</f>
        <v>#REF!</v>
      </c>
      <c r="AS19" s="1114"/>
      <c r="AT19" s="1115" t="s">
        <v>189</v>
      </c>
      <c r="AU19" s="1116" t="s">
        <v>200</v>
      </c>
      <c r="AV19" s="1117">
        <v>2019</v>
      </c>
      <c r="AW19" s="1120"/>
      <c r="AX19" s="1060"/>
      <c r="AY19" s="1051"/>
      <c r="AZ19" s="1118"/>
      <c r="BA19" s="1048"/>
      <c r="BB19" s="1048" t="e">
        <f t="shared" si="2"/>
        <v>#REF!</v>
      </c>
      <c r="BC19" s="1053">
        <f t="shared" si="3"/>
        <v>-2024</v>
      </c>
      <c r="BD19" s="1054" t="e">
        <f>VLOOKUP(Y19,#REF!,3,0)</f>
        <v>#REF!</v>
      </c>
      <c r="BE19" s="1085" t="e">
        <f>VLOOKUP(Y19,#REF!,4,0)</f>
        <v>#REF!</v>
      </c>
      <c r="BF19" s="1056" t="str">
        <f t="shared" si="4"/>
        <v>o-o-o</v>
      </c>
      <c r="BG19" s="1087"/>
      <c r="BH19" s="1084"/>
      <c r="BI19" s="1087"/>
      <c r="BJ19" s="1077"/>
      <c r="BK19" s="1052"/>
      <c r="BL19" s="1081"/>
      <c r="BM19" s="1055"/>
      <c r="BN19" s="1090"/>
      <c r="BO19" s="1056"/>
      <c r="BP19" s="1087"/>
      <c r="BQ19" s="1084"/>
      <c r="BR19" s="1087"/>
      <c r="BS19" s="1077"/>
      <c r="BT19" s="1079"/>
      <c r="BU19" s="1060"/>
      <c r="BV19" s="1119"/>
      <c r="BW19" s="1053"/>
      <c r="BX19" s="1044"/>
      <c r="BY19" s="1057" t="str">
        <f t="shared" si="5"/>
        <v>- - -</v>
      </c>
      <c r="BZ19" s="1058" t="str">
        <f t="shared" si="6"/>
        <v>- - -</v>
      </c>
      <c r="CA19" s="1047" t="str">
        <f t="shared" si="7"/>
        <v>Chánh Văn phòng Học viện, Trưởng Ban Tổ chức - Cán bộ, Trưởng Ban Quản lý bồi dưỡng</v>
      </c>
      <c r="CB19" s="1043" t="str">
        <f t="shared" si="8"/>
        <v>A</v>
      </c>
      <c r="CC19" s="1043" t="e">
        <f t="shared" si="9"/>
        <v>#REF!</v>
      </c>
      <c r="CD19" s="1083" t="e">
        <f t="shared" si="10"/>
        <v>#REF!</v>
      </c>
      <c r="CE19" s="1043" t="str">
        <f t="shared" si="11"/>
        <v>---</v>
      </c>
      <c r="CF19" s="1059"/>
      <c r="CG19" s="1043"/>
      <c r="CH19" s="1060"/>
      <c r="CI19" s="1061"/>
      <c r="CJ19" s="1062" t="str">
        <f t="shared" si="12"/>
        <v>- - -</v>
      </c>
      <c r="CK19" s="1061" t="str">
        <f t="shared" si="13"/>
        <v>- - -</v>
      </c>
      <c r="CL19" s="1063"/>
      <c r="CM19" s="1060"/>
      <c r="CN19" s="1061"/>
      <c r="CO19" s="1062"/>
      <c r="CP19" s="1061" t="str">
        <f t="shared" si="14"/>
        <v>CN</v>
      </c>
      <c r="CQ19" s="1063">
        <v>6</v>
      </c>
      <c r="CR19" s="1064">
        <v>2013</v>
      </c>
      <c r="CS19" s="1082"/>
      <c r="CT19" s="1065"/>
      <c r="CU19" s="1066" t="e">
        <f t="shared" si="15"/>
        <v>#REF!</v>
      </c>
      <c r="CV19" s="1065" t="str">
        <f t="shared" si="16"/>
        <v>/-/ /-/</v>
      </c>
      <c r="CW19" s="1066">
        <f t="shared" si="17"/>
        <v>1</v>
      </c>
      <c r="CX19" s="1065">
        <f t="shared" si="18"/>
        <v>2031</v>
      </c>
      <c r="CY19" s="1066">
        <f t="shared" si="19"/>
        <v>10</v>
      </c>
      <c r="CZ19" s="1067">
        <f t="shared" si="20"/>
        <v>2030</v>
      </c>
      <c r="DA19" s="1068">
        <f t="shared" si="21"/>
        <v>7</v>
      </c>
      <c r="DB19" s="1068">
        <f t="shared" si="22"/>
        <v>2030</v>
      </c>
      <c r="DC19" s="1047" t="e">
        <f t="shared" si="23"/>
        <v>#REF!</v>
      </c>
      <c r="DD19" s="1047" t="str">
        <f t="shared" si="24"/>
        <v>. .</v>
      </c>
      <c r="DE19" s="1047"/>
      <c r="DF19" s="1047">
        <f t="shared" si="25"/>
        <v>660</v>
      </c>
      <c r="DG19" s="1047">
        <f t="shared" si="26"/>
        <v>-23700</v>
      </c>
      <c r="DH19" s="1047">
        <f t="shared" si="27"/>
        <v>-1975</v>
      </c>
      <c r="DI19" s="1053" t="str">
        <f t="shared" si="28"/>
        <v>Nữ dưới 30</v>
      </c>
      <c r="DJ19" s="1061"/>
      <c r="DK19" s="1045"/>
      <c r="DL19" s="1043" t="str">
        <f t="shared" si="29"/>
        <v>Đến 30</v>
      </c>
      <c r="DM19" s="1078" t="str">
        <f t="shared" si="34"/>
        <v>--</v>
      </c>
      <c r="DN19" s="1045"/>
      <c r="DO19" s="1063" t="s">
        <v>127</v>
      </c>
      <c r="DP19" s="1069">
        <v>6</v>
      </c>
      <c r="DQ19" s="1070">
        <v>2013</v>
      </c>
      <c r="DR19" s="1071"/>
      <c r="DS19" s="1072"/>
      <c r="DT19" s="1046"/>
      <c r="DU19" s="1049"/>
      <c r="DV19" s="1050"/>
      <c r="DW19" s="1080" t="s">
        <v>141</v>
      </c>
      <c r="DX19" s="1050" t="s">
        <v>69</v>
      </c>
      <c r="DY19" s="1073" t="s">
        <v>141</v>
      </c>
      <c r="DZ19" s="1050" t="s">
        <v>183</v>
      </c>
      <c r="EA19" s="1074" t="s">
        <v>200</v>
      </c>
      <c r="EB19" s="1049" t="s">
        <v>186</v>
      </c>
      <c r="EC19" s="1050" t="s">
        <v>200</v>
      </c>
      <c r="ED19" s="1080">
        <v>2013</v>
      </c>
      <c r="EE19" s="1050">
        <f t="shared" si="30"/>
        <v>0</v>
      </c>
      <c r="EF19" s="1073" t="str">
        <f t="shared" si="31"/>
        <v>- - -</v>
      </c>
      <c r="EG19" s="1043" t="s">
        <v>183</v>
      </c>
      <c r="EH19" s="1060" t="s">
        <v>200</v>
      </c>
      <c r="EI19" s="1075" t="s">
        <v>186</v>
      </c>
      <c r="EJ19" s="1072" t="s">
        <v>200</v>
      </c>
      <c r="EK19" s="1076">
        <v>2013</v>
      </c>
      <c r="EM19" s="1076" t="e">
        <f t="shared" si="32"/>
        <v>#REF!</v>
      </c>
      <c r="EN19" s="1076" t="str">
        <f t="shared" si="33"/>
        <v>---</v>
      </c>
    </row>
    <row r="20" spans="1:144" s="1076" customFormat="1" ht="27" customHeight="1" x14ac:dyDescent="0.2">
      <c r="A20" s="1089">
        <v>439</v>
      </c>
      <c r="B20" s="1086">
        <v>4</v>
      </c>
      <c r="C20" s="1043" t="s">
        <v>227</v>
      </c>
      <c r="D20" s="1043" t="str">
        <f t="shared" si="0"/>
        <v>Ông</v>
      </c>
      <c r="E20" s="1091" t="s">
        <v>370</v>
      </c>
      <c r="F20" s="1092" t="s">
        <v>219</v>
      </c>
      <c r="G20" s="1093" t="s">
        <v>371</v>
      </c>
      <c r="H20" s="1093" t="s">
        <v>200</v>
      </c>
      <c r="I20" s="1093" t="s">
        <v>210</v>
      </c>
      <c r="J20" s="1042" t="s">
        <v>200</v>
      </c>
      <c r="K20" s="1042">
        <v>1973</v>
      </c>
      <c r="L20" s="1042" t="s">
        <v>258</v>
      </c>
      <c r="M20" s="1042" t="s">
        <v>365</v>
      </c>
      <c r="N20" s="1042"/>
      <c r="O20" s="1042" t="e">
        <v>#N/A</v>
      </c>
      <c r="P20" s="1042"/>
      <c r="Q20" s="1091" t="e">
        <v>#N/A</v>
      </c>
      <c r="R20" s="1094" t="s">
        <v>37</v>
      </c>
      <c r="S20" s="1095" t="s">
        <v>342</v>
      </c>
      <c r="T20" s="1096" t="s">
        <v>53</v>
      </c>
      <c r="U20" s="1096" t="s">
        <v>96</v>
      </c>
      <c r="V20" s="1097" t="s">
        <v>248</v>
      </c>
      <c r="W20" s="1098" t="s">
        <v>254</v>
      </c>
      <c r="X20" s="1099" t="s">
        <v>250</v>
      </c>
      <c r="Y20" s="1100" t="s">
        <v>181</v>
      </c>
      <c r="Z20" s="1099" t="e">
        <f>VLOOKUP(Y20,#REF!,2,0)</f>
        <v>#REF!</v>
      </c>
      <c r="AA20" s="1101" t="e">
        <f t="shared" si="1"/>
        <v>#REF!</v>
      </c>
      <c r="AB20" s="1102">
        <v>4</v>
      </c>
      <c r="AC20" s="1088" t="s">
        <v>200</v>
      </c>
      <c r="AD20" s="1041">
        <v>9</v>
      </c>
      <c r="AE20" s="1103">
        <v>3.33</v>
      </c>
      <c r="AF20" s="1104"/>
      <c r="AG20" s="1041"/>
      <c r="AH20" s="1105" t="s">
        <v>189</v>
      </c>
      <c r="AI20" s="1106" t="s">
        <v>200</v>
      </c>
      <c r="AJ20" s="1107" t="s">
        <v>363</v>
      </c>
      <c r="AK20" s="1108"/>
      <c r="AL20" s="1109"/>
      <c r="AM20" s="1110">
        <v>5</v>
      </c>
      <c r="AN20" s="1111" t="s">
        <v>200</v>
      </c>
      <c r="AO20" s="1112">
        <v>9</v>
      </c>
      <c r="AP20" s="1121">
        <v>3.66</v>
      </c>
      <c r="AQ20" s="1041"/>
      <c r="AR20" s="1113" t="e">
        <f>IF(AD20=AB20,"%",IF(AD20&gt;AB20,AE20+BE20))</f>
        <v>#REF!</v>
      </c>
      <c r="AS20" s="1114"/>
      <c r="AT20" s="1115" t="s">
        <v>189</v>
      </c>
      <c r="AU20" s="1116" t="s">
        <v>200</v>
      </c>
      <c r="AV20" s="1117">
        <v>2019</v>
      </c>
      <c r="AW20" s="1120"/>
      <c r="AX20" s="1060"/>
      <c r="AY20" s="1051"/>
      <c r="AZ20" s="1118"/>
      <c r="BA20" s="1048"/>
      <c r="BB20" s="1048" t="e">
        <f t="shared" si="2"/>
        <v>#REF!</v>
      </c>
      <c r="BC20" s="1053">
        <f t="shared" si="3"/>
        <v>-2024</v>
      </c>
      <c r="BD20" s="1054" t="e">
        <f>VLOOKUP(Y20,#REF!,3,0)</f>
        <v>#REF!</v>
      </c>
      <c r="BE20" s="1085" t="e">
        <f>VLOOKUP(Y20,#REF!,4,0)</f>
        <v>#REF!</v>
      </c>
      <c r="BF20" s="1056" t="str">
        <f t="shared" si="4"/>
        <v>o-o-o</v>
      </c>
      <c r="BG20" s="1087"/>
      <c r="BH20" s="1084"/>
      <c r="BI20" s="1087"/>
      <c r="BJ20" s="1077"/>
      <c r="BK20" s="1052"/>
      <c r="BL20" s="1081"/>
      <c r="BM20" s="1055"/>
      <c r="BN20" s="1090"/>
      <c r="BO20" s="1056"/>
      <c r="BP20" s="1087"/>
      <c r="BQ20" s="1084"/>
      <c r="BR20" s="1087"/>
      <c r="BS20" s="1077"/>
      <c r="BT20" s="1079"/>
      <c r="BU20" s="1060"/>
      <c r="BV20" s="1119"/>
      <c r="BW20" s="1053"/>
      <c r="BX20" s="1044"/>
      <c r="BY20" s="1057" t="str">
        <f t="shared" si="5"/>
        <v>- - -</v>
      </c>
      <c r="BZ20" s="1058" t="str">
        <f t="shared" si="6"/>
        <v>- - -</v>
      </c>
      <c r="CA20" s="1047" t="str">
        <f t="shared" si="7"/>
        <v>Chánh Văn phòng Học viện, Trưởng Ban Tổ chức - Cán bộ, Trưởng Bộ môn Ngoại ngữ, Ban Hợp tác quốc tế</v>
      </c>
      <c r="CB20" s="1043" t="str">
        <f t="shared" si="8"/>
        <v>A</v>
      </c>
      <c r="CC20" s="1043" t="e">
        <f t="shared" si="9"/>
        <v>#REF!</v>
      </c>
      <c r="CD20" s="1083" t="e">
        <f t="shared" si="10"/>
        <v>#REF!</v>
      </c>
      <c r="CE20" s="1043" t="str">
        <f t="shared" si="11"/>
        <v>---</v>
      </c>
      <c r="CF20" s="1059"/>
      <c r="CG20" s="1043"/>
      <c r="CH20" s="1060"/>
      <c r="CI20" s="1061"/>
      <c r="CJ20" s="1062" t="str">
        <f t="shared" si="12"/>
        <v>- - -</v>
      </c>
      <c r="CK20" s="1061" t="str">
        <f t="shared" si="13"/>
        <v>- - -</v>
      </c>
      <c r="CL20" s="1063"/>
      <c r="CM20" s="1060"/>
      <c r="CN20" s="1061"/>
      <c r="CO20" s="1062"/>
      <c r="CP20" s="1061" t="str">
        <f t="shared" si="14"/>
        <v>- - -</v>
      </c>
      <c r="CQ20" s="1063"/>
      <c r="CR20" s="1064"/>
      <c r="CS20" s="1082"/>
      <c r="CT20" s="1065"/>
      <c r="CU20" s="1066" t="e">
        <f t="shared" si="15"/>
        <v>#REF!</v>
      </c>
      <c r="CV20" s="1065" t="str">
        <f t="shared" si="16"/>
        <v>/-/ /-/</v>
      </c>
      <c r="CW20" s="1066">
        <f t="shared" si="17"/>
        <v>11</v>
      </c>
      <c r="CX20" s="1065">
        <f t="shared" si="18"/>
        <v>2033</v>
      </c>
      <c r="CY20" s="1066">
        <f t="shared" si="19"/>
        <v>8</v>
      </c>
      <c r="CZ20" s="1067">
        <f t="shared" si="20"/>
        <v>2033</v>
      </c>
      <c r="DA20" s="1068">
        <f t="shared" si="21"/>
        <v>5</v>
      </c>
      <c r="DB20" s="1068">
        <f t="shared" si="22"/>
        <v>2033</v>
      </c>
      <c r="DC20" s="1047" t="e">
        <f t="shared" si="23"/>
        <v>#REF!</v>
      </c>
      <c r="DD20" s="1047" t="str">
        <f t="shared" si="24"/>
        <v>. .</v>
      </c>
      <c r="DE20" s="1047"/>
      <c r="DF20" s="1047">
        <f t="shared" si="25"/>
        <v>720</v>
      </c>
      <c r="DG20" s="1047">
        <f t="shared" si="26"/>
        <v>-23674</v>
      </c>
      <c r="DH20" s="1047">
        <f t="shared" si="27"/>
        <v>-1973</v>
      </c>
      <c r="DI20" s="1053" t="str">
        <f t="shared" si="28"/>
        <v>Nam dưới 35</v>
      </c>
      <c r="DJ20" s="1061"/>
      <c r="DK20" s="1045"/>
      <c r="DL20" s="1043" t="str">
        <f t="shared" si="29"/>
        <v>Đến 30</v>
      </c>
      <c r="DM20" s="1078" t="str">
        <f t="shared" si="34"/>
        <v>--</v>
      </c>
      <c r="DN20" s="1045"/>
      <c r="DO20" s="1063"/>
      <c r="DP20" s="1069"/>
      <c r="DQ20" s="1070"/>
      <c r="DR20" s="1071"/>
      <c r="DS20" s="1072"/>
      <c r="DT20" s="1046"/>
      <c r="DU20" s="1049"/>
      <c r="DV20" s="1050"/>
      <c r="DW20" s="1080" t="s">
        <v>141</v>
      </c>
      <c r="DX20" s="1050" t="s">
        <v>69</v>
      </c>
      <c r="DY20" s="1073" t="s">
        <v>141</v>
      </c>
      <c r="DZ20" s="1050" t="s">
        <v>192</v>
      </c>
      <c r="EA20" s="1074" t="s">
        <v>200</v>
      </c>
      <c r="EB20" s="1049" t="s">
        <v>186</v>
      </c>
      <c r="EC20" s="1050" t="s">
        <v>200</v>
      </c>
      <c r="ED20" s="1080" t="s">
        <v>203</v>
      </c>
      <c r="EE20" s="1050">
        <f t="shared" si="30"/>
        <v>14</v>
      </c>
      <c r="EF20" s="1073" t="str">
        <f t="shared" si="31"/>
        <v>Sửa</v>
      </c>
      <c r="EG20" s="1043" t="s">
        <v>183</v>
      </c>
      <c r="EH20" s="1060" t="s">
        <v>200</v>
      </c>
      <c r="EI20" s="1075" t="s">
        <v>186</v>
      </c>
      <c r="EJ20" s="1072" t="s">
        <v>200</v>
      </c>
      <c r="EK20" s="1076" t="s">
        <v>203</v>
      </c>
      <c r="EM20" s="1076" t="e">
        <f t="shared" si="32"/>
        <v>#REF!</v>
      </c>
      <c r="EN20" s="1076" t="str">
        <f t="shared" si="33"/>
        <v>---</v>
      </c>
    </row>
    <row r="21" spans="1:144" s="1076" customFormat="1" ht="27" customHeight="1" x14ac:dyDescent="0.2">
      <c r="A21" s="1089">
        <v>443</v>
      </c>
      <c r="B21" s="1086">
        <v>5</v>
      </c>
      <c r="C21" s="1043"/>
      <c r="D21" s="1043" t="str">
        <f t="shared" si="0"/>
        <v>Bà</v>
      </c>
      <c r="E21" s="1091" t="s">
        <v>372</v>
      </c>
      <c r="F21" s="1092" t="s">
        <v>221</v>
      </c>
      <c r="G21" s="1093" t="s">
        <v>134</v>
      </c>
      <c r="H21" s="1093" t="s">
        <v>200</v>
      </c>
      <c r="I21" s="1093" t="s">
        <v>191</v>
      </c>
      <c r="J21" s="1042" t="s">
        <v>200</v>
      </c>
      <c r="K21" s="1042">
        <v>1976</v>
      </c>
      <c r="L21" s="1042" t="s">
        <v>258</v>
      </c>
      <c r="M21" s="1042" t="s">
        <v>365</v>
      </c>
      <c r="N21" s="1042"/>
      <c r="O21" s="1042" t="e">
        <v>#N/A</v>
      </c>
      <c r="P21" s="1042"/>
      <c r="Q21" s="1091" t="e">
        <v>#N/A</v>
      </c>
      <c r="R21" s="1094" t="s">
        <v>37</v>
      </c>
      <c r="S21" s="1095" t="s">
        <v>362</v>
      </c>
      <c r="T21" s="1096" t="s">
        <v>53</v>
      </c>
      <c r="U21" s="1096" t="s">
        <v>96</v>
      </c>
      <c r="V21" s="1097" t="s">
        <v>248</v>
      </c>
      <c r="W21" s="1098" t="s">
        <v>254</v>
      </c>
      <c r="X21" s="1099" t="s">
        <v>250</v>
      </c>
      <c r="Y21" s="1100" t="s">
        <v>254</v>
      </c>
      <c r="Z21" s="1099" t="e">
        <f>VLOOKUP(Y21,#REF!,2,0)</f>
        <v>#REF!</v>
      </c>
      <c r="AA21" s="1101" t="e">
        <f t="shared" si="1"/>
        <v>#REF!</v>
      </c>
      <c r="AB21" s="1102">
        <v>4</v>
      </c>
      <c r="AC21" s="1088" t="s">
        <v>200</v>
      </c>
      <c r="AD21" s="1041">
        <v>9</v>
      </c>
      <c r="AE21" s="1103">
        <v>3.33</v>
      </c>
      <c r="AF21" s="1104"/>
      <c r="AG21" s="1041"/>
      <c r="AH21" s="1105" t="s">
        <v>189</v>
      </c>
      <c r="AI21" s="1106" t="s">
        <v>200</v>
      </c>
      <c r="AJ21" s="1107" t="s">
        <v>363</v>
      </c>
      <c r="AK21" s="1108"/>
      <c r="AL21" s="1109"/>
      <c r="AM21" s="1110">
        <v>5</v>
      </c>
      <c r="AN21" s="1111" t="s">
        <v>200</v>
      </c>
      <c r="AO21" s="1112">
        <v>9</v>
      </c>
      <c r="AP21" s="1121">
        <v>3.66</v>
      </c>
      <c r="AQ21" s="1041"/>
      <c r="AR21" s="1113" t="e">
        <f>IF(AD21=AB21,"%",IF(AD21&gt;AB21,AE21+BE21))</f>
        <v>#REF!</v>
      </c>
      <c r="AS21" s="1114"/>
      <c r="AT21" s="1115" t="s">
        <v>189</v>
      </c>
      <c r="AU21" s="1116" t="s">
        <v>200</v>
      </c>
      <c r="AV21" s="1117">
        <v>2019</v>
      </c>
      <c r="AW21" s="1120"/>
      <c r="AX21" s="1060"/>
      <c r="AY21" s="1051"/>
      <c r="AZ21" s="1118"/>
      <c r="BA21" s="1048"/>
      <c r="BB21" s="1048" t="e">
        <f t="shared" si="2"/>
        <v>#REF!</v>
      </c>
      <c r="BC21" s="1053">
        <f t="shared" si="3"/>
        <v>-2024</v>
      </c>
      <c r="BD21" s="1054" t="e">
        <f>VLOOKUP(Y21,#REF!,3,0)</f>
        <v>#REF!</v>
      </c>
      <c r="BE21" s="1085" t="e">
        <f>VLOOKUP(Y21,#REF!,4,0)</f>
        <v>#REF!</v>
      </c>
      <c r="BF21" s="1056" t="str">
        <f t="shared" si="4"/>
        <v>PCTN</v>
      </c>
      <c r="BG21" s="1087">
        <v>13</v>
      </c>
      <c r="BH21" s="1084" t="s">
        <v>178</v>
      </c>
      <c r="BI21" s="1087" t="s">
        <v>183</v>
      </c>
      <c r="BJ21" s="1077" t="s">
        <v>200</v>
      </c>
      <c r="BK21" s="1052">
        <v>10</v>
      </c>
      <c r="BL21" s="1081" t="s">
        <v>200</v>
      </c>
      <c r="BM21" s="1055">
        <v>2017</v>
      </c>
      <c r="BN21" s="1090"/>
      <c r="BO21" s="1056"/>
      <c r="BP21" s="1087">
        <f>IF(BG21&gt;3,BG21+1,0)</f>
        <v>14</v>
      </c>
      <c r="BQ21" s="1084" t="s">
        <v>178</v>
      </c>
      <c r="BR21" s="1087" t="s">
        <v>183</v>
      </c>
      <c r="BS21" s="1077" t="s">
        <v>200</v>
      </c>
      <c r="BT21" s="1079">
        <v>10</v>
      </c>
      <c r="BU21" s="1060" t="s">
        <v>200</v>
      </c>
      <c r="BV21" s="1119">
        <v>2018</v>
      </c>
      <c r="BW21" s="1053"/>
      <c r="BX21" s="1044"/>
      <c r="BY21" s="1057">
        <f t="shared" si="5"/>
        <v>-24226</v>
      </c>
      <c r="BZ21" s="1058" t="str">
        <f t="shared" si="6"/>
        <v>- - -</v>
      </c>
      <c r="CA21" s="1047" t="str">
        <f t="shared" si="7"/>
        <v>Chánh Văn phòng Học viện, Trưởng Ban Tổ chức - Cán bộ, Trưởng Ban Hợp tác quốc tế</v>
      </c>
      <c r="CB21" s="1043" t="str">
        <f t="shared" si="8"/>
        <v>A</v>
      </c>
      <c r="CC21" s="1043" t="e">
        <f t="shared" si="9"/>
        <v>#REF!</v>
      </c>
      <c r="CD21" s="1083" t="e">
        <f t="shared" si="10"/>
        <v>#REF!</v>
      </c>
      <c r="CE21" s="1043" t="str">
        <f t="shared" si="11"/>
        <v>---</v>
      </c>
      <c r="CF21" s="1059"/>
      <c r="CG21" s="1043"/>
      <c r="CH21" s="1060"/>
      <c r="CI21" s="1061"/>
      <c r="CJ21" s="1062" t="str">
        <f t="shared" si="12"/>
        <v>- - -</v>
      </c>
      <c r="CK21" s="1061" t="str">
        <f t="shared" si="13"/>
        <v>- - -</v>
      </c>
      <c r="CL21" s="1063"/>
      <c r="CM21" s="1060"/>
      <c r="CN21" s="1061"/>
      <c r="CO21" s="1062"/>
      <c r="CP21" s="1061" t="str">
        <f t="shared" si="14"/>
        <v>- - -</v>
      </c>
      <c r="CQ21" s="1063"/>
      <c r="CR21" s="1064"/>
      <c r="CS21" s="1082"/>
      <c r="CT21" s="1065"/>
      <c r="CU21" s="1066" t="e">
        <f t="shared" si="15"/>
        <v>#REF!</v>
      </c>
      <c r="CV21" s="1065" t="str">
        <f t="shared" si="16"/>
        <v>/-/ /-/</v>
      </c>
      <c r="CW21" s="1066">
        <f t="shared" si="17"/>
        <v>1</v>
      </c>
      <c r="CX21" s="1065">
        <f t="shared" si="18"/>
        <v>2032</v>
      </c>
      <c r="CY21" s="1066">
        <f t="shared" si="19"/>
        <v>10</v>
      </c>
      <c r="CZ21" s="1067">
        <f t="shared" si="20"/>
        <v>2031</v>
      </c>
      <c r="DA21" s="1068">
        <f t="shared" si="21"/>
        <v>7</v>
      </c>
      <c r="DB21" s="1068">
        <f t="shared" si="22"/>
        <v>2031</v>
      </c>
      <c r="DC21" s="1047" t="e">
        <f t="shared" si="23"/>
        <v>#REF!</v>
      </c>
      <c r="DD21" s="1047" t="str">
        <f t="shared" si="24"/>
        <v>. .</v>
      </c>
      <c r="DE21" s="1047"/>
      <c r="DF21" s="1047">
        <f t="shared" si="25"/>
        <v>660</v>
      </c>
      <c r="DG21" s="1047">
        <f t="shared" si="26"/>
        <v>-23712</v>
      </c>
      <c r="DH21" s="1047">
        <f t="shared" si="27"/>
        <v>-1976</v>
      </c>
      <c r="DI21" s="1053" t="str">
        <f t="shared" si="28"/>
        <v>Nữ dưới 30</v>
      </c>
      <c r="DJ21" s="1061"/>
      <c r="DK21" s="1045"/>
      <c r="DL21" s="1043" t="str">
        <f t="shared" si="29"/>
        <v>Đến 30</v>
      </c>
      <c r="DM21" s="1078" t="str">
        <f t="shared" si="34"/>
        <v>TD</v>
      </c>
      <c r="DN21" s="1045">
        <v>2008</v>
      </c>
      <c r="DO21" s="1063"/>
      <c r="DP21" s="1069"/>
      <c r="DQ21" s="1070"/>
      <c r="DR21" s="1071"/>
      <c r="DS21" s="1072"/>
      <c r="DT21" s="1046"/>
      <c r="DU21" s="1049"/>
      <c r="DV21" s="1050"/>
      <c r="DW21" s="1080"/>
      <c r="DX21" s="1050" t="s">
        <v>75</v>
      </c>
      <c r="DY21" s="1073"/>
      <c r="DZ21" s="1050" t="s">
        <v>183</v>
      </c>
      <c r="EA21" s="1074" t="s">
        <v>200</v>
      </c>
      <c r="EB21" s="1049" t="s">
        <v>186</v>
      </c>
      <c r="EC21" s="1050" t="s">
        <v>200</v>
      </c>
      <c r="ED21" s="1080">
        <v>2013</v>
      </c>
      <c r="EE21" s="1050">
        <f t="shared" si="30"/>
        <v>0</v>
      </c>
      <c r="EF21" s="1073" t="str">
        <f t="shared" si="31"/>
        <v>- - -</v>
      </c>
      <c r="EG21" s="1043" t="s">
        <v>183</v>
      </c>
      <c r="EH21" s="1060" t="s">
        <v>200</v>
      </c>
      <c r="EI21" s="1075" t="s">
        <v>186</v>
      </c>
      <c r="EJ21" s="1072" t="s">
        <v>200</v>
      </c>
      <c r="EK21" s="1076">
        <v>2013</v>
      </c>
      <c r="EM21" s="1076" t="e">
        <f t="shared" si="32"/>
        <v>#REF!</v>
      </c>
      <c r="EN21" s="1076" t="str">
        <f t="shared" si="33"/>
        <v>---</v>
      </c>
    </row>
    <row r="22" spans="1:144" s="1076" customFormat="1" ht="27" customHeight="1" x14ac:dyDescent="0.2">
      <c r="A22" s="1089">
        <v>464</v>
      </c>
      <c r="B22" s="1086">
        <v>6</v>
      </c>
      <c r="C22" s="1043"/>
      <c r="D22" s="1043" t="str">
        <f t="shared" si="0"/>
        <v>Ông</v>
      </c>
      <c r="E22" s="1091" t="s">
        <v>373</v>
      </c>
      <c r="F22" s="1092" t="s">
        <v>219</v>
      </c>
      <c r="G22" s="1093" t="s">
        <v>135</v>
      </c>
      <c r="H22" s="1093" t="s">
        <v>200</v>
      </c>
      <c r="I22" s="1093" t="s">
        <v>191</v>
      </c>
      <c r="J22" s="1042" t="s">
        <v>200</v>
      </c>
      <c r="K22" s="1042">
        <v>1958</v>
      </c>
      <c r="L22" s="1042" t="s">
        <v>264</v>
      </c>
      <c r="M22" s="1042" t="s">
        <v>269</v>
      </c>
      <c r="N22" s="1042"/>
      <c r="O22" s="1042" t="s">
        <v>52</v>
      </c>
      <c r="P22" s="1042" t="s">
        <v>374</v>
      </c>
      <c r="Q22" s="1091">
        <v>0.8</v>
      </c>
      <c r="R22" s="1094"/>
      <c r="S22" s="1095" t="s">
        <v>324</v>
      </c>
      <c r="T22" s="1096" t="s">
        <v>123</v>
      </c>
      <c r="U22" s="1096" t="s">
        <v>54</v>
      </c>
      <c r="V22" s="1097" t="s">
        <v>249</v>
      </c>
      <c r="W22" s="1098" t="s">
        <v>253</v>
      </c>
      <c r="X22" s="1099" t="s">
        <v>251</v>
      </c>
      <c r="Y22" s="1100" t="s">
        <v>255</v>
      </c>
      <c r="Z22" s="1099" t="e">
        <f>VLOOKUP(Y22,#REF!,2,0)</f>
        <v>#REF!</v>
      </c>
      <c r="AA22" s="1101" t="e">
        <f t="shared" si="1"/>
        <v>#REF!</v>
      </c>
      <c r="AB22" s="1102">
        <v>1</v>
      </c>
      <c r="AC22" s="1088" t="s">
        <v>200</v>
      </c>
      <c r="AD22" s="1041">
        <v>6</v>
      </c>
      <c r="AE22" s="1103">
        <v>6.2</v>
      </c>
      <c r="AF22" s="1104"/>
      <c r="AG22" s="1041"/>
      <c r="AH22" s="1105" t="s">
        <v>189</v>
      </c>
      <c r="AI22" s="1106" t="s">
        <v>200</v>
      </c>
      <c r="AJ22" s="1107" t="s">
        <v>363</v>
      </c>
      <c r="AK22" s="1108"/>
      <c r="AL22" s="1109"/>
      <c r="AM22" s="1110">
        <v>2</v>
      </c>
      <c r="AN22" s="1111" t="s">
        <v>200</v>
      </c>
      <c r="AO22" s="1112">
        <v>6</v>
      </c>
      <c r="AP22" s="1121">
        <v>6.5600000000000005</v>
      </c>
      <c r="AQ22" s="1041"/>
      <c r="AR22" s="1113" t="e">
        <f t="shared" ref="AR22:AR38" si="35">IF(AD22=AB22,"%",IF(AD22&gt;AB22,AE22+BE22))</f>
        <v>#REF!</v>
      </c>
      <c r="AS22" s="1114"/>
      <c r="AT22" s="1115" t="s">
        <v>189</v>
      </c>
      <c r="AU22" s="1116" t="s">
        <v>200</v>
      </c>
      <c r="AV22" s="1117">
        <v>2019</v>
      </c>
      <c r="AW22" s="1120"/>
      <c r="AX22" s="1060"/>
      <c r="AY22" s="1051"/>
      <c r="AZ22" s="1118"/>
      <c r="BA22" s="1048"/>
      <c r="BB22" s="1048" t="e">
        <f t="shared" si="2"/>
        <v>#REF!</v>
      </c>
      <c r="BC22" s="1053">
        <f t="shared" si="3"/>
        <v>-2021</v>
      </c>
      <c r="BD22" s="1054" t="e">
        <f>VLOOKUP(Y22,#REF!,3,0)</f>
        <v>#REF!</v>
      </c>
      <c r="BE22" s="1085" t="e">
        <f>VLOOKUP(Y22,#REF!,4,0)</f>
        <v>#REF!</v>
      </c>
      <c r="BF22" s="1056" t="str">
        <f t="shared" si="4"/>
        <v>PCTN</v>
      </c>
      <c r="BG22" s="1087">
        <v>32</v>
      </c>
      <c r="BH22" s="1084" t="s">
        <v>178</v>
      </c>
      <c r="BI22" s="1087" t="s">
        <v>183</v>
      </c>
      <c r="BJ22" s="1077" t="s">
        <v>200</v>
      </c>
      <c r="BK22" s="1052">
        <v>10</v>
      </c>
      <c r="BL22" s="1081" t="s">
        <v>200</v>
      </c>
      <c r="BM22" s="1055">
        <v>2017</v>
      </c>
      <c r="BN22" s="1090"/>
      <c r="BO22" s="1056"/>
      <c r="BP22" s="1087">
        <f>IF(BG22&gt;3,BG22+1,0)</f>
        <v>33</v>
      </c>
      <c r="BQ22" s="1084" t="s">
        <v>178</v>
      </c>
      <c r="BR22" s="1087" t="s">
        <v>183</v>
      </c>
      <c r="BS22" s="1077" t="s">
        <v>200</v>
      </c>
      <c r="BT22" s="1079">
        <v>10</v>
      </c>
      <c r="BU22" s="1060" t="s">
        <v>200</v>
      </c>
      <c r="BV22" s="1119">
        <v>2018</v>
      </c>
      <c r="BW22" s="1053"/>
      <c r="BX22" s="1044"/>
      <c r="BY22" s="1057">
        <f t="shared" si="5"/>
        <v>-24226</v>
      </c>
      <c r="BZ22" s="1058" t="str">
        <f t="shared" si="6"/>
        <v>- - -</v>
      </c>
      <c r="CA22" s="1047" t="str">
        <f t="shared" si="7"/>
        <v>Chánh Văn phòng Học viện, Trưởng Ban Tổ chức - Cán bộ, Trưởng Khoa Khoa học hành chính và Tổ chức nhân sự</v>
      </c>
      <c r="CB22" s="1043" t="str">
        <f t="shared" si="8"/>
        <v>A</v>
      </c>
      <c r="CC22" s="1043" t="e">
        <f t="shared" si="9"/>
        <v>#REF!</v>
      </c>
      <c r="CD22" s="1083" t="e">
        <f t="shared" si="10"/>
        <v>#REF!</v>
      </c>
      <c r="CE22" s="1043" t="str">
        <f t="shared" si="11"/>
        <v>S</v>
      </c>
      <c r="CF22" s="1059">
        <v>2013</v>
      </c>
      <c r="CG22" s="1043" t="s">
        <v>252</v>
      </c>
      <c r="CH22" s="1060"/>
      <c r="CI22" s="1061"/>
      <c r="CJ22" s="1062" t="str">
        <f t="shared" si="12"/>
        <v>- - -</v>
      </c>
      <c r="CK22" s="1061" t="str">
        <f t="shared" si="13"/>
        <v>NN</v>
      </c>
      <c r="CL22" s="1063">
        <v>1</v>
      </c>
      <c r="CM22" s="1060">
        <v>2011</v>
      </c>
      <c r="CN22" s="1061"/>
      <c r="CO22" s="1062"/>
      <c r="CP22" s="1061" t="str">
        <f t="shared" si="14"/>
        <v>- - -</v>
      </c>
      <c r="CQ22" s="1063"/>
      <c r="CR22" s="1064"/>
      <c r="CS22" s="1082"/>
      <c r="CT22" s="1065"/>
      <c r="CU22" s="1066" t="e">
        <f t="shared" si="15"/>
        <v>#REF!</v>
      </c>
      <c r="CV22" s="1065" t="str">
        <f t="shared" si="16"/>
        <v>/-/ /-/</v>
      </c>
      <c r="CW22" s="1066">
        <f t="shared" si="17"/>
        <v>1</v>
      </c>
      <c r="CX22" s="1065">
        <f t="shared" si="18"/>
        <v>2019</v>
      </c>
      <c r="CY22" s="1066">
        <f t="shared" si="19"/>
        <v>10</v>
      </c>
      <c r="CZ22" s="1067">
        <f t="shared" si="20"/>
        <v>2018</v>
      </c>
      <c r="DA22" s="1068">
        <f t="shared" si="21"/>
        <v>7</v>
      </c>
      <c r="DB22" s="1068">
        <f t="shared" si="22"/>
        <v>2018</v>
      </c>
      <c r="DC22" s="1047" t="e">
        <f t="shared" si="23"/>
        <v>#REF!</v>
      </c>
      <c r="DD22" s="1047" t="str">
        <f t="shared" si="24"/>
        <v>. .</v>
      </c>
      <c r="DE22" s="1047"/>
      <c r="DF22" s="1047">
        <f t="shared" si="25"/>
        <v>720</v>
      </c>
      <c r="DG22" s="1047">
        <f t="shared" si="26"/>
        <v>-23496</v>
      </c>
      <c r="DH22" s="1047">
        <f t="shared" si="27"/>
        <v>-1958</v>
      </c>
      <c r="DI22" s="1053" t="str">
        <f t="shared" si="28"/>
        <v>Nam dưới 35</v>
      </c>
      <c r="DJ22" s="1061"/>
      <c r="DK22" s="1045"/>
      <c r="DL22" s="1043" t="str">
        <f t="shared" si="29"/>
        <v>Đến 30</v>
      </c>
      <c r="DM22" s="1078" t="str">
        <f t="shared" si="34"/>
        <v>--</v>
      </c>
      <c r="DN22" s="1045"/>
      <c r="DO22" s="1063"/>
      <c r="DP22" s="1069"/>
      <c r="DQ22" s="1070"/>
      <c r="DR22" s="1071"/>
      <c r="DS22" s="1072"/>
      <c r="DT22" s="1046"/>
      <c r="DU22" s="1049"/>
      <c r="DV22" s="1050"/>
      <c r="DW22" s="1080"/>
      <c r="DX22" s="1050" t="s">
        <v>202</v>
      </c>
      <c r="DY22" s="1073"/>
      <c r="DZ22" s="1050" t="s">
        <v>183</v>
      </c>
      <c r="EA22" s="1074" t="s">
        <v>200</v>
      </c>
      <c r="EB22" s="1049">
        <v>6</v>
      </c>
      <c r="EC22" s="1050" t="s">
        <v>200</v>
      </c>
      <c r="ED22" s="1080">
        <v>2013</v>
      </c>
      <c r="EE22" s="1050">
        <f t="shared" si="30"/>
        <v>0</v>
      </c>
      <c r="EF22" s="1073" t="str">
        <f t="shared" si="31"/>
        <v>- - -</v>
      </c>
      <c r="EG22" s="1043" t="s">
        <v>183</v>
      </c>
      <c r="EH22" s="1060" t="s">
        <v>200</v>
      </c>
      <c r="EI22" s="1075">
        <v>6</v>
      </c>
      <c r="EJ22" s="1072" t="s">
        <v>200</v>
      </c>
      <c r="EK22" s="1076">
        <v>2013</v>
      </c>
      <c r="EL22" s="1076">
        <v>5.2788000000000004</v>
      </c>
      <c r="EM22" s="1076" t="e">
        <f t="shared" si="32"/>
        <v>#REF!</v>
      </c>
      <c r="EN22" s="1076" t="str">
        <f t="shared" si="33"/>
        <v>---</v>
      </c>
    </row>
    <row r="23" spans="1:144" s="1076" customFormat="1" ht="21.75" customHeight="1" x14ac:dyDescent="0.2">
      <c r="A23" s="1089">
        <v>471</v>
      </c>
      <c r="B23" s="1086">
        <v>7</v>
      </c>
      <c r="C23" s="1043" t="s">
        <v>227</v>
      </c>
      <c r="D23" s="1043" t="str">
        <f t="shared" si="0"/>
        <v>Bà</v>
      </c>
      <c r="E23" s="1091" t="s">
        <v>375</v>
      </c>
      <c r="F23" s="1092" t="s">
        <v>221</v>
      </c>
      <c r="G23" s="1093" t="s">
        <v>233</v>
      </c>
      <c r="H23" s="1093" t="s">
        <v>200</v>
      </c>
      <c r="I23" s="1093" t="s">
        <v>188</v>
      </c>
      <c r="J23" s="1042" t="s">
        <v>200</v>
      </c>
      <c r="K23" s="1042">
        <v>1983</v>
      </c>
      <c r="L23" s="1042" t="s">
        <v>258</v>
      </c>
      <c r="M23" s="1042" t="s">
        <v>365</v>
      </c>
      <c r="N23" s="1042"/>
      <c r="O23" s="1042" t="e">
        <v>#N/A</v>
      </c>
      <c r="P23" s="1042"/>
      <c r="Q23" s="1091" t="e">
        <v>#N/A</v>
      </c>
      <c r="R23" s="1094" t="s">
        <v>124</v>
      </c>
      <c r="S23" s="1095" t="s">
        <v>324</v>
      </c>
      <c r="T23" s="1096" t="s">
        <v>53</v>
      </c>
      <c r="U23" s="1096" t="s">
        <v>96</v>
      </c>
      <c r="V23" s="1097" t="s">
        <v>249</v>
      </c>
      <c r="W23" s="1098" t="s">
        <v>181</v>
      </c>
      <c r="X23" s="1099" t="s">
        <v>87</v>
      </c>
      <c r="Y23" s="1100" t="s">
        <v>181</v>
      </c>
      <c r="Z23" s="1099" t="e">
        <f>VLOOKUP(Y23,#REF!,2,0)</f>
        <v>#REF!</v>
      </c>
      <c r="AA23" s="1101" t="e">
        <f t="shared" si="1"/>
        <v>#REF!</v>
      </c>
      <c r="AB23" s="1102">
        <v>4</v>
      </c>
      <c r="AC23" s="1088" t="s">
        <v>200</v>
      </c>
      <c r="AD23" s="1041">
        <v>9</v>
      </c>
      <c r="AE23" s="1103">
        <v>3.33</v>
      </c>
      <c r="AF23" s="1104"/>
      <c r="AG23" s="1041"/>
      <c r="AH23" s="1105" t="s">
        <v>189</v>
      </c>
      <c r="AI23" s="1106" t="s">
        <v>200</v>
      </c>
      <c r="AJ23" s="1107" t="s">
        <v>363</v>
      </c>
      <c r="AK23" s="1108"/>
      <c r="AL23" s="1109"/>
      <c r="AM23" s="1110">
        <v>5</v>
      </c>
      <c r="AN23" s="1111" t="s">
        <v>200</v>
      </c>
      <c r="AO23" s="1112">
        <v>9</v>
      </c>
      <c r="AP23" s="1121">
        <v>3.66</v>
      </c>
      <c r="AQ23" s="1041"/>
      <c r="AR23" s="1113" t="e">
        <f t="shared" si="35"/>
        <v>#REF!</v>
      </c>
      <c r="AS23" s="1114"/>
      <c r="AT23" s="1115" t="s">
        <v>189</v>
      </c>
      <c r="AU23" s="1116" t="s">
        <v>200</v>
      </c>
      <c r="AV23" s="1117">
        <v>2019</v>
      </c>
      <c r="AW23" s="1120"/>
      <c r="AX23" s="1060"/>
      <c r="AY23" s="1051"/>
      <c r="AZ23" s="1118"/>
      <c r="BA23" s="1048"/>
      <c r="BB23" s="1048" t="e">
        <f t="shared" si="2"/>
        <v>#REF!</v>
      </c>
      <c r="BC23" s="1053">
        <f t="shared" si="3"/>
        <v>-2024</v>
      </c>
      <c r="BD23" s="1054" t="e">
        <f>VLOOKUP(Y23,#REF!,3,0)</f>
        <v>#REF!</v>
      </c>
      <c r="BE23" s="1085" t="e">
        <f>VLOOKUP(Y23,#REF!,4,0)</f>
        <v>#REF!</v>
      </c>
      <c r="BF23" s="1056" t="str">
        <f t="shared" si="4"/>
        <v>o-o-o</v>
      </c>
      <c r="BG23" s="1087"/>
      <c r="BH23" s="1084"/>
      <c r="BI23" s="1087"/>
      <c r="BJ23" s="1077"/>
      <c r="BK23" s="1052"/>
      <c r="BL23" s="1081"/>
      <c r="BM23" s="1055"/>
      <c r="BN23" s="1090"/>
      <c r="BO23" s="1056"/>
      <c r="BP23" s="1087"/>
      <c r="BQ23" s="1084"/>
      <c r="BR23" s="1087"/>
      <c r="BS23" s="1077"/>
      <c r="BT23" s="1079"/>
      <c r="BU23" s="1060"/>
      <c r="BV23" s="1119"/>
      <c r="BW23" s="1053"/>
      <c r="BX23" s="1044"/>
      <c r="BY23" s="1057" t="str">
        <f t="shared" si="5"/>
        <v>- - -</v>
      </c>
      <c r="BZ23" s="1058" t="str">
        <f t="shared" si="6"/>
        <v>- - -</v>
      </c>
      <c r="CA23" s="1047" t="str">
        <f t="shared" si="7"/>
        <v>Chánh Văn phòng Học viện, Trưởng Ban Tổ chức - Cán bộ, Trưởng Khoa Khoa học hành chính và Tổ chức nhân sự</v>
      </c>
      <c r="CB23" s="1043" t="str">
        <f t="shared" si="8"/>
        <v>A</v>
      </c>
      <c r="CC23" s="1043" t="e">
        <f t="shared" si="9"/>
        <v>#REF!</v>
      </c>
      <c r="CD23" s="1083" t="e">
        <f t="shared" si="10"/>
        <v>#REF!</v>
      </c>
      <c r="CE23" s="1043" t="str">
        <f t="shared" si="11"/>
        <v>---</v>
      </c>
      <c r="CF23" s="1059"/>
      <c r="CG23" s="1043"/>
      <c r="CH23" s="1060"/>
      <c r="CI23" s="1061"/>
      <c r="CJ23" s="1062" t="str">
        <f t="shared" si="12"/>
        <v>- - -</v>
      </c>
      <c r="CK23" s="1061" t="str">
        <f t="shared" si="13"/>
        <v>- - -</v>
      </c>
      <c r="CL23" s="1063"/>
      <c r="CM23" s="1060"/>
      <c r="CN23" s="1061"/>
      <c r="CO23" s="1062"/>
      <c r="CP23" s="1061" t="str">
        <f t="shared" si="14"/>
        <v>- - -</v>
      </c>
      <c r="CQ23" s="1063"/>
      <c r="CR23" s="1064"/>
      <c r="CS23" s="1082"/>
      <c r="CT23" s="1065"/>
      <c r="CU23" s="1066" t="e">
        <f t="shared" si="15"/>
        <v>#REF!</v>
      </c>
      <c r="CV23" s="1065" t="str">
        <f t="shared" si="16"/>
        <v>/-/ /-/</v>
      </c>
      <c r="CW23" s="1066">
        <f t="shared" si="17"/>
        <v>4</v>
      </c>
      <c r="CX23" s="1065">
        <f t="shared" si="18"/>
        <v>2038</v>
      </c>
      <c r="CY23" s="1066">
        <f t="shared" si="19"/>
        <v>1</v>
      </c>
      <c r="CZ23" s="1067">
        <f t="shared" si="20"/>
        <v>2038</v>
      </c>
      <c r="DA23" s="1068">
        <f t="shared" si="21"/>
        <v>10</v>
      </c>
      <c r="DB23" s="1068">
        <f t="shared" si="22"/>
        <v>2037</v>
      </c>
      <c r="DC23" s="1047" t="e">
        <f t="shared" si="23"/>
        <v>#REF!</v>
      </c>
      <c r="DD23" s="1047" t="str">
        <f t="shared" si="24"/>
        <v>. .</v>
      </c>
      <c r="DE23" s="1047"/>
      <c r="DF23" s="1047">
        <f t="shared" si="25"/>
        <v>660</v>
      </c>
      <c r="DG23" s="1047">
        <f t="shared" si="26"/>
        <v>-23787</v>
      </c>
      <c r="DH23" s="1047">
        <f t="shared" si="27"/>
        <v>-1983</v>
      </c>
      <c r="DI23" s="1053" t="str">
        <f t="shared" si="28"/>
        <v>Nữ dưới 30</v>
      </c>
      <c r="DJ23" s="1061"/>
      <c r="DK23" s="1045"/>
      <c r="DL23" s="1043" t="str">
        <f t="shared" si="29"/>
        <v>Đến 30</v>
      </c>
      <c r="DM23" s="1078" t="str">
        <f t="shared" si="34"/>
        <v>--</v>
      </c>
      <c r="DN23" s="1045"/>
      <c r="DO23" s="1063"/>
      <c r="DP23" s="1069"/>
      <c r="DQ23" s="1070"/>
      <c r="DR23" s="1071"/>
      <c r="DS23" s="1072"/>
      <c r="DT23" s="1046"/>
      <c r="DU23" s="1049"/>
      <c r="DV23" s="1050"/>
      <c r="DW23" s="1080"/>
      <c r="DX23" s="1050" t="s">
        <v>247</v>
      </c>
      <c r="DY23" s="1073"/>
      <c r="DZ23" s="1050"/>
      <c r="EA23" s="1074"/>
      <c r="EB23" s="1049"/>
      <c r="EC23" s="1050"/>
      <c r="ED23" s="1080"/>
      <c r="EE23" s="1050">
        <f t="shared" si="30"/>
        <v>0</v>
      </c>
      <c r="EF23" s="1073" t="str">
        <f t="shared" si="31"/>
        <v>- - -</v>
      </c>
      <c r="EG23" s="1043"/>
      <c r="EH23" s="1060"/>
      <c r="EI23" s="1075"/>
      <c r="EJ23" s="1072"/>
      <c r="EM23" s="1076" t="e">
        <f t="shared" si="32"/>
        <v>#REF!</v>
      </c>
      <c r="EN23" s="1076" t="str">
        <f t="shared" si="33"/>
        <v>---</v>
      </c>
    </row>
    <row r="24" spans="1:144" s="1076" customFormat="1" ht="21.75" customHeight="1" x14ac:dyDescent="0.2">
      <c r="A24" s="1089">
        <v>479</v>
      </c>
      <c r="B24" s="1086">
        <v>8</v>
      </c>
      <c r="C24" s="1043"/>
      <c r="D24" s="1043" t="str">
        <f t="shared" si="0"/>
        <v>Bà</v>
      </c>
      <c r="E24" s="1091" t="s">
        <v>20</v>
      </c>
      <c r="F24" s="1092" t="s">
        <v>221</v>
      </c>
      <c r="G24" s="1093" t="s">
        <v>371</v>
      </c>
      <c r="H24" s="1093" t="s">
        <v>200</v>
      </c>
      <c r="I24" s="1093" t="s">
        <v>187</v>
      </c>
      <c r="J24" s="1042" t="s">
        <v>200</v>
      </c>
      <c r="K24" s="1042">
        <v>1983</v>
      </c>
      <c r="L24" s="1042" t="s">
        <v>258</v>
      </c>
      <c r="M24" s="1042" t="s">
        <v>365</v>
      </c>
      <c r="N24" s="1042"/>
      <c r="O24" s="1042" t="e">
        <v>#N/A</v>
      </c>
      <c r="P24" s="1042"/>
      <c r="Q24" s="1091" t="e">
        <v>#N/A</v>
      </c>
      <c r="R24" s="1094" t="s">
        <v>81</v>
      </c>
      <c r="S24" s="1095" t="s">
        <v>325</v>
      </c>
      <c r="T24" s="1096" t="s">
        <v>53</v>
      </c>
      <c r="U24" s="1096" t="s">
        <v>96</v>
      </c>
      <c r="V24" s="1097" t="s">
        <v>248</v>
      </c>
      <c r="W24" s="1098" t="s">
        <v>254</v>
      </c>
      <c r="X24" s="1099" t="s">
        <v>250</v>
      </c>
      <c r="Y24" s="1100" t="s">
        <v>195</v>
      </c>
      <c r="Z24" s="1099" t="e">
        <f>VLOOKUP(Y24,#REF!,2,0)</f>
        <v>#REF!</v>
      </c>
      <c r="AA24" s="1101" t="e">
        <f t="shared" si="1"/>
        <v>#REF!</v>
      </c>
      <c r="AB24" s="1102">
        <v>4</v>
      </c>
      <c r="AC24" s="1088" t="s">
        <v>200</v>
      </c>
      <c r="AD24" s="1041">
        <v>9</v>
      </c>
      <c r="AE24" s="1103">
        <v>3.33</v>
      </c>
      <c r="AF24" s="1104"/>
      <c r="AG24" s="1041"/>
      <c r="AH24" s="1105" t="s">
        <v>189</v>
      </c>
      <c r="AI24" s="1106" t="s">
        <v>200</v>
      </c>
      <c r="AJ24" s="1107" t="s">
        <v>363</v>
      </c>
      <c r="AK24" s="1108"/>
      <c r="AL24" s="1109"/>
      <c r="AM24" s="1110">
        <v>5</v>
      </c>
      <c r="AN24" s="1111" t="s">
        <v>200</v>
      </c>
      <c r="AO24" s="1112">
        <v>9</v>
      </c>
      <c r="AP24" s="1121">
        <v>3.66</v>
      </c>
      <c r="AQ24" s="1041"/>
      <c r="AR24" s="1113" t="e">
        <f t="shared" si="35"/>
        <v>#REF!</v>
      </c>
      <c r="AS24" s="1114"/>
      <c r="AT24" s="1115" t="s">
        <v>189</v>
      </c>
      <c r="AU24" s="1116" t="s">
        <v>200</v>
      </c>
      <c r="AV24" s="1117">
        <v>2019</v>
      </c>
      <c r="AW24" s="1120"/>
      <c r="AX24" s="1060"/>
      <c r="AY24" s="1051"/>
      <c r="AZ24" s="1118"/>
      <c r="BA24" s="1048"/>
      <c r="BB24" s="1048" t="e">
        <f t="shared" si="2"/>
        <v>#REF!</v>
      </c>
      <c r="BC24" s="1053">
        <f t="shared" si="3"/>
        <v>-2024</v>
      </c>
      <c r="BD24" s="1054" t="e">
        <f>VLOOKUP(Y24,#REF!,3,0)</f>
        <v>#REF!</v>
      </c>
      <c r="BE24" s="1085" t="e">
        <f>VLOOKUP(Y24,#REF!,4,0)</f>
        <v>#REF!</v>
      </c>
      <c r="BF24" s="1056" t="str">
        <f t="shared" si="4"/>
        <v>o-o-o</v>
      </c>
      <c r="BG24" s="1087"/>
      <c r="BH24" s="1084"/>
      <c r="BI24" s="1087"/>
      <c r="BJ24" s="1077"/>
      <c r="BK24" s="1052"/>
      <c r="BL24" s="1081"/>
      <c r="BM24" s="1055"/>
      <c r="BN24" s="1090"/>
      <c r="BO24" s="1056"/>
      <c r="BP24" s="1087"/>
      <c r="BQ24" s="1084"/>
      <c r="BR24" s="1087"/>
      <c r="BS24" s="1077"/>
      <c r="BT24" s="1079"/>
      <c r="BU24" s="1060"/>
      <c r="BV24" s="1119"/>
      <c r="BW24" s="1053"/>
      <c r="BX24" s="1044"/>
      <c r="BY24" s="1057" t="str">
        <f t="shared" si="5"/>
        <v>- - -</v>
      </c>
      <c r="BZ24" s="1058" t="str">
        <f t="shared" si="6"/>
        <v>- - -</v>
      </c>
      <c r="CA24" s="1047" t="str">
        <f t="shared" si="7"/>
        <v>Chánh Văn phòng Học viện, Trưởng Ban Tổ chức - Cán bộ, Trưởng Khoa Quản lý nhà nước về Kinh tế và Tài chính công</v>
      </c>
      <c r="CB24" s="1043" t="str">
        <f t="shared" si="8"/>
        <v>A</v>
      </c>
      <c r="CC24" s="1043" t="e">
        <f t="shared" si="9"/>
        <v>#REF!</v>
      </c>
      <c r="CD24" s="1083" t="e">
        <f t="shared" si="10"/>
        <v>#REF!</v>
      </c>
      <c r="CE24" s="1043" t="str">
        <f t="shared" si="11"/>
        <v>---</v>
      </c>
      <c r="CF24" s="1059"/>
      <c r="CG24" s="1043"/>
      <c r="CH24" s="1060"/>
      <c r="CI24" s="1061"/>
      <c r="CJ24" s="1062" t="str">
        <f t="shared" si="12"/>
        <v>- - -</v>
      </c>
      <c r="CK24" s="1061" t="str">
        <f t="shared" si="13"/>
        <v>- - -</v>
      </c>
      <c r="CL24" s="1063"/>
      <c r="CM24" s="1060"/>
      <c r="CN24" s="1061"/>
      <c r="CO24" s="1062"/>
      <c r="CP24" s="1061" t="str">
        <f t="shared" si="14"/>
        <v>- - -</v>
      </c>
      <c r="CQ24" s="1063"/>
      <c r="CR24" s="1064"/>
      <c r="CS24" s="1082"/>
      <c r="CT24" s="1065"/>
      <c r="CU24" s="1066" t="e">
        <f t="shared" si="15"/>
        <v>#REF!</v>
      </c>
      <c r="CV24" s="1065" t="str">
        <f t="shared" si="16"/>
        <v>/-/ /-/</v>
      </c>
      <c r="CW24" s="1066">
        <f t="shared" si="17"/>
        <v>9</v>
      </c>
      <c r="CX24" s="1065">
        <f t="shared" si="18"/>
        <v>2038</v>
      </c>
      <c r="CY24" s="1066">
        <f t="shared" si="19"/>
        <v>6</v>
      </c>
      <c r="CZ24" s="1067">
        <f t="shared" si="20"/>
        <v>2038</v>
      </c>
      <c r="DA24" s="1068">
        <f t="shared" si="21"/>
        <v>3</v>
      </c>
      <c r="DB24" s="1068">
        <f t="shared" si="22"/>
        <v>2038</v>
      </c>
      <c r="DC24" s="1047" t="e">
        <f t="shared" si="23"/>
        <v>#REF!</v>
      </c>
      <c r="DD24" s="1047" t="str">
        <f t="shared" si="24"/>
        <v>. .</v>
      </c>
      <c r="DE24" s="1047"/>
      <c r="DF24" s="1047">
        <f t="shared" si="25"/>
        <v>660</v>
      </c>
      <c r="DG24" s="1047">
        <f t="shared" si="26"/>
        <v>-23792</v>
      </c>
      <c r="DH24" s="1047">
        <f t="shared" si="27"/>
        <v>-1983</v>
      </c>
      <c r="DI24" s="1053" t="str">
        <f t="shared" si="28"/>
        <v>Nữ dưới 30</v>
      </c>
      <c r="DJ24" s="1061"/>
      <c r="DK24" s="1045"/>
      <c r="DL24" s="1043" t="str">
        <f t="shared" si="29"/>
        <v>Đến 30</v>
      </c>
      <c r="DM24" s="1078" t="str">
        <f t="shared" si="34"/>
        <v>--</v>
      </c>
      <c r="DN24" s="1045"/>
      <c r="DO24" s="1063"/>
      <c r="DP24" s="1069"/>
      <c r="DQ24" s="1070"/>
      <c r="DR24" s="1071"/>
      <c r="DS24" s="1072"/>
      <c r="DT24" s="1046"/>
      <c r="DU24" s="1049"/>
      <c r="DV24" s="1050"/>
      <c r="DW24" s="1080" t="s">
        <v>215</v>
      </c>
      <c r="DX24" s="1050" t="s">
        <v>246</v>
      </c>
      <c r="DY24" s="1073" t="s">
        <v>215</v>
      </c>
      <c r="DZ24" s="1050" t="s">
        <v>183</v>
      </c>
      <c r="EA24" s="1074" t="s">
        <v>200</v>
      </c>
      <c r="EB24" s="1049" t="s">
        <v>191</v>
      </c>
      <c r="EC24" s="1050" t="s">
        <v>200</v>
      </c>
      <c r="ED24" s="1080">
        <v>2013</v>
      </c>
      <c r="EE24" s="1050">
        <f t="shared" si="30"/>
        <v>0</v>
      </c>
      <c r="EF24" s="1073" t="str">
        <f t="shared" si="31"/>
        <v>- - -</v>
      </c>
      <c r="EG24" s="1043" t="s">
        <v>183</v>
      </c>
      <c r="EH24" s="1060" t="s">
        <v>200</v>
      </c>
      <c r="EI24" s="1075" t="s">
        <v>191</v>
      </c>
      <c r="EJ24" s="1072" t="s">
        <v>200</v>
      </c>
      <c r="EK24" s="1076">
        <v>2013</v>
      </c>
      <c r="EM24" s="1076" t="e">
        <f t="shared" si="32"/>
        <v>#REF!</v>
      </c>
      <c r="EN24" s="1076" t="str">
        <f t="shared" si="33"/>
        <v>---</v>
      </c>
    </row>
    <row r="25" spans="1:144" s="1076" customFormat="1" ht="21.75" customHeight="1" x14ac:dyDescent="0.2">
      <c r="A25" s="1089">
        <v>485</v>
      </c>
      <c r="B25" s="1086">
        <v>9</v>
      </c>
      <c r="C25" s="1043"/>
      <c r="D25" s="1043" t="str">
        <f t="shared" si="0"/>
        <v>Bà</v>
      </c>
      <c r="E25" s="1091" t="s">
        <v>23</v>
      </c>
      <c r="F25" s="1092" t="s">
        <v>221</v>
      </c>
      <c r="G25" s="1093" t="s">
        <v>191</v>
      </c>
      <c r="H25" s="1093" t="s">
        <v>200</v>
      </c>
      <c r="I25" s="1093" t="s">
        <v>211</v>
      </c>
      <c r="J25" s="1042" t="s">
        <v>200</v>
      </c>
      <c r="K25" s="1042">
        <v>1975</v>
      </c>
      <c r="L25" s="1042" t="s">
        <v>264</v>
      </c>
      <c r="M25" s="1042" t="s">
        <v>269</v>
      </c>
      <c r="N25" s="1042"/>
      <c r="O25" s="1042" t="s">
        <v>52</v>
      </c>
      <c r="P25" s="1042" t="s">
        <v>120</v>
      </c>
      <c r="Q25" s="1091">
        <v>0.6</v>
      </c>
      <c r="R25" s="1094" t="s">
        <v>62</v>
      </c>
      <c r="S25" s="1095" t="s">
        <v>325</v>
      </c>
      <c r="T25" s="1096" t="s">
        <v>154</v>
      </c>
      <c r="U25" s="1096" t="s">
        <v>155</v>
      </c>
      <c r="V25" s="1097" t="s">
        <v>248</v>
      </c>
      <c r="W25" s="1098" t="s">
        <v>255</v>
      </c>
      <c r="X25" s="1099" t="s">
        <v>252</v>
      </c>
      <c r="Y25" s="1100" t="s">
        <v>199</v>
      </c>
      <c r="Z25" s="1099" t="e">
        <f>VLOOKUP(Y25,#REF!,2,0)</f>
        <v>#REF!</v>
      </c>
      <c r="AA25" s="1101" t="e">
        <f t="shared" si="1"/>
        <v>#REF!</v>
      </c>
      <c r="AB25" s="1102">
        <v>3</v>
      </c>
      <c r="AC25" s="1088" t="s">
        <v>200</v>
      </c>
      <c r="AD25" s="1041">
        <v>8</v>
      </c>
      <c r="AE25" s="1103">
        <v>5.08</v>
      </c>
      <c r="AF25" s="1104"/>
      <c r="AG25" s="1041"/>
      <c r="AH25" s="1105" t="s">
        <v>189</v>
      </c>
      <c r="AI25" s="1106" t="s">
        <v>200</v>
      </c>
      <c r="AJ25" s="1107" t="s">
        <v>363</v>
      </c>
      <c r="AK25" s="1108"/>
      <c r="AL25" s="1109"/>
      <c r="AM25" s="1110">
        <v>4</v>
      </c>
      <c r="AN25" s="1111" t="s">
        <v>200</v>
      </c>
      <c r="AO25" s="1112">
        <v>8</v>
      </c>
      <c r="AP25" s="1121">
        <v>5.42</v>
      </c>
      <c r="AQ25" s="1041"/>
      <c r="AR25" s="1113" t="e">
        <f t="shared" si="35"/>
        <v>#REF!</v>
      </c>
      <c r="AS25" s="1114"/>
      <c r="AT25" s="1115" t="s">
        <v>189</v>
      </c>
      <c r="AU25" s="1116" t="s">
        <v>200</v>
      </c>
      <c r="AV25" s="1117">
        <v>2019</v>
      </c>
      <c r="AW25" s="1120"/>
      <c r="AX25" s="1060"/>
      <c r="AY25" s="1051"/>
      <c r="AZ25" s="1118"/>
      <c r="BA25" s="1048"/>
      <c r="BB25" s="1048" t="e">
        <f t="shared" si="2"/>
        <v>#REF!</v>
      </c>
      <c r="BC25" s="1053">
        <f t="shared" si="3"/>
        <v>-2023</v>
      </c>
      <c r="BD25" s="1054" t="e">
        <f>VLOOKUP(Y25,#REF!,3,0)</f>
        <v>#REF!</v>
      </c>
      <c r="BE25" s="1085" t="e">
        <f>VLOOKUP(Y25,#REF!,4,0)</f>
        <v>#REF!</v>
      </c>
      <c r="BF25" s="1056" t="str">
        <f t="shared" si="4"/>
        <v>o-o-o</v>
      </c>
      <c r="BG25" s="1087"/>
      <c r="BH25" s="1084"/>
      <c r="BI25" s="1087"/>
      <c r="BJ25" s="1077"/>
      <c r="BK25" s="1052"/>
      <c r="BL25" s="1081"/>
      <c r="BM25" s="1055"/>
      <c r="BN25" s="1090"/>
      <c r="BO25" s="1056"/>
      <c r="BP25" s="1087"/>
      <c r="BQ25" s="1084"/>
      <c r="BR25" s="1087"/>
      <c r="BS25" s="1077"/>
      <c r="BT25" s="1079"/>
      <c r="BU25" s="1060"/>
      <c r="BV25" s="1119"/>
      <c r="BW25" s="1053"/>
      <c r="BX25" s="1044"/>
      <c r="BY25" s="1057" t="str">
        <f t="shared" si="5"/>
        <v>- - -</v>
      </c>
      <c r="BZ25" s="1058" t="str">
        <f t="shared" si="6"/>
        <v>- - -</v>
      </c>
      <c r="CA25" s="1047" t="str">
        <f t="shared" si="7"/>
        <v>Chánh Văn phòng Học viện, Trưởng Ban Tổ chức - Cán bộ, Trưởng Khoa Quản lý nhà nước về Kinh tế và Tài chính công</v>
      </c>
      <c r="CB25" s="1043" t="str">
        <f t="shared" si="8"/>
        <v>A</v>
      </c>
      <c r="CC25" s="1043" t="e">
        <f t="shared" si="9"/>
        <v>#REF!</v>
      </c>
      <c r="CD25" s="1083" t="e">
        <f t="shared" si="10"/>
        <v>#REF!</v>
      </c>
      <c r="CE25" s="1043" t="str">
        <f t="shared" si="11"/>
        <v>---</v>
      </c>
      <c r="CF25" s="1059"/>
      <c r="CG25" s="1043"/>
      <c r="CH25" s="1060"/>
      <c r="CI25" s="1061"/>
      <c r="CJ25" s="1062" t="str">
        <f t="shared" si="12"/>
        <v>- - -</v>
      </c>
      <c r="CK25" s="1061" t="str">
        <f t="shared" si="13"/>
        <v>- - -</v>
      </c>
      <c r="CL25" s="1063"/>
      <c r="CM25" s="1060"/>
      <c r="CN25" s="1061"/>
      <c r="CO25" s="1062"/>
      <c r="CP25" s="1061" t="str">
        <f t="shared" si="14"/>
        <v>- - -</v>
      </c>
      <c r="CQ25" s="1063"/>
      <c r="CR25" s="1064"/>
      <c r="CS25" s="1082"/>
      <c r="CT25" s="1065"/>
      <c r="CU25" s="1066" t="e">
        <f t="shared" si="15"/>
        <v>#REF!</v>
      </c>
      <c r="CV25" s="1065" t="str">
        <f t="shared" si="16"/>
        <v>/-/ /-/</v>
      </c>
      <c r="CW25" s="1066">
        <f t="shared" si="17"/>
        <v>12</v>
      </c>
      <c r="CX25" s="1065">
        <f t="shared" si="18"/>
        <v>2030</v>
      </c>
      <c r="CY25" s="1066">
        <f t="shared" si="19"/>
        <v>9</v>
      </c>
      <c r="CZ25" s="1067">
        <f t="shared" si="20"/>
        <v>2030</v>
      </c>
      <c r="DA25" s="1068">
        <f t="shared" si="21"/>
        <v>6</v>
      </c>
      <c r="DB25" s="1068">
        <f t="shared" si="22"/>
        <v>2030</v>
      </c>
      <c r="DC25" s="1047" t="e">
        <f t="shared" si="23"/>
        <v>#REF!</v>
      </c>
      <c r="DD25" s="1047" t="str">
        <f t="shared" si="24"/>
        <v>. .</v>
      </c>
      <c r="DE25" s="1047"/>
      <c r="DF25" s="1047">
        <f t="shared" si="25"/>
        <v>660</v>
      </c>
      <c r="DG25" s="1047">
        <f t="shared" si="26"/>
        <v>-23699</v>
      </c>
      <c r="DH25" s="1047">
        <f t="shared" si="27"/>
        <v>-1975</v>
      </c>
      <c r="DI25" s="1053" t="str">
        <f t="shared" si="28"/>
        <v>Nữ dưới 30</v>
      </c>
      <c r="DJ25" s="1061"/>
      <c r="DK25" s="1045"/>
      <c r="DL25" s="1043" t="str">
        <f t="shared" si="29"/>
        <v>Đến 30</v>
      </c>
      <c r="DM25" s="1078" t="str">
        <f t="shared" si="34"/>
        <v>--</v>
      </c>
      <c r="DN25" s="1045"/>
      <c r="DO25" s="1063"/>
      <c r="DP25" s="1069"/>
      <c r="DQ25" s="1070"/>
      <c r="DR25" s="1071"/>
      <c r="DS25" s="1072"/>
      <c r="DT25" s="1046"/>
      <c r="DU25" s="1049"/>
      <c r="DV25" s="1050"/>
      <c r="DW25" s="1080" t="s">
        <v>0</v>
      </c>
      <c r="DX25" s="1050" t="s">
        <v>246</v>
      </c>
      <c r="DY25" s="1073" t="s">
        <v>0</v>
      </c>
      <c r="DZ25" s="1050" t="s">
        <v>183</v>
      </c>
      <c r="EA25" s="1074" t="s">
        <v>200</v>
      </c>
      <c r="EB25" s="1049" t="s">
        <v>186</v>
      </c>
      <c r="EC25" s="1050" t="s">
        <v>200</v>
      </c>
      <c r="ED25" s="1080">
        <v>2013</v>
      </c>
      <c r="EE25" s="1050">
        <f t="shared" si="30"/>
        <v>0</v>
      </c>
      <c r="EF25" s="1073" t="str">
        <f t="shared" si="31"/>
        <v>- - -</v>
      </c>
      <c r="EG25" s="1043" t="s">
        <v>183</v>
      </c>
      <c r="EH25" s="1060" t="s">
        <v>200</v>
      </c>
      <c r="EI25" s="1075" t="s">
        <v>186</v>
      </c>
      <c r="EJ25" s="1072" t="s">
        <v>200</v>
      </c>
      <c r="EK25" s="1076">
        <v>2013</v>
      </c>
      <c r="EM25" s="1076" t="e">
        <f t="shared" si="32"/>
        <v>#REF!</v>
      </c>
      <c r="EN25" s="1076" t="str">
        <f t="shared" si="33"/>
        <v>---</v>
      </c>
    </row>
    <row r="26" spans="1:144" s="1076" customFormat="1" ht="21.75" customHeight="1" x14ac:dyDescent="0.2">
      <c r="A26" s="1089">
        <v>506</v>
      </c>
      <c r="B26" s="1086">
        <v>10</v>
      </c>
      <c r="C26" s="1043"/>
      <c r="D26" s="1043" t="str">
        <f t="shared" si="0"/>
        <v>Bà</v>
      </c>
      <c r="E26" s="1091" t="s">
        <v>376</v>
      </c>
      <c r="F26" s="1092" t="s">
        <v>221</v>
      </c>
      <c r="G26" s="1093" t="s">
        <v>211</v>
      </c>
      <c r="H26" s="1093" t="s">
        <v>200</v>
      </c>
      <c r="I26" s="1093" t="s">
        <v>190</v>
      </c>
      <c r="J26" s="1042" t="s">
        <v>200</v>
      </c>
      <c r="K26" s="1042" t="s">
        <v>162</v>
      </c>
      <c r="L26" s="1042" t="s">
        <v>264</v>
      </c>
      <c r="M26" s="1042" t="s">
        <v>269</v>
      </c>
      <c r="N26" s="1042"/>
      <c r="O26" s="1042" t="e">
        <v>#N/A</v>
      </c>
      <c r="P26" s="1042"/>
      <c r="Q26" s="1091" t="e">
        <v>#N/A</v>
      </c>
      <c r="R26" s="1094" t="s">
        <v>61</v>
      </c>
      <c r="S26" s="1095" t="s">
        <v>325</v>
      </c>
      <c r="T26" s="1096" t="s">
        <v>53</v>
      </c>
      <c r="U26" s="1096" t="s">
        <v>96</v>
      </c>
      <c r="V26" s="1097" t="s">
        <v>249</v>
      </c>
      <c r="W26" s="1098" t="s">
        <v>181</v>
      </c>
      <c r="X26" s="1099" t="s">
        <v>87</v>
      </c>
      <c r="Y26" s="1100" t="s">
        <v>181</v>
      </c>
      <c r="Z26" s="1099" t="e">
        <f>VLOOKUP(Y26,#REF!,2,0)</f>
        <v>#REF!</v>
      </c>
      <c r="AA26" s="1101" t="e">
        <f t="shared" si="1"/>
        <v>#REF!</v>
      </c>
      <c r="AB26" s="1102">
        <v>6</v>
      </c>
      <c r="AC26" s="1088" t="s">
        <v>200</v>
      </c>
      <c r="AD26" s="1041">
        <v>9</v>
      </c>
      <c r="AE26" s="1103">
        <v>3.99</v>
      </c>
      <c r="AF26" s="1104"/>
      <c r="AG26" s="1041"/>
      <c r="AH26" s="1105" t="s">
        <v>189</v>
      </c>
      <c r="AI26" s="1106" t="s">
        <v>200</v>
      </c>
      <c r="AJ26" s="1107" t="s">
        <v>363</v>
      </c>
      <c r="AK26" s="1108"/>
      <c r="AL26" s="1109"/>
      <c r="AM26" s="1110">
        <v>7</v>
      </c>
      <c r="AN26" s="1111" t="s">
        <v>200</v>
      </c>
      <c r="AO26" s="1112">
        <v>9</v>
      </c>
      <c r="AP26" s="1121">
        <v>4.32</v>
      </c>
      <c r="AQ26" s="1041"/>
      <c r="AR26" s="1113" t="e">
        <f t="shared" si="35"/>
        <v>#REF!</v>
      </c>
      <c r="AS26" s="1114"/>
      <c r="AT26" s="1115">
        <v>7</v>
      </c>
      <c r="AU26" s="1116" t="s">
        <v>200</v>
      </c>
      <c r="AV26" s="1117">
        <v>2019</v>
      </c>
      <c r="AW26" s="1120"/>
      <c r="AX26" s="1060"/>
      <c r="AY26" s="1051"/>
      <c r="AZ26" s="1118"/>
      <c r="BA26" s="1048"/>
      <c r="BB26" s="1048" t="e">
        <f t="shared" si="2"/>
        <v>#REF!</v>
      </c>
      <c r="BC26" s="1053">
        <f t="shared" si="3"/>
        <v>-2026</v>
      </c>
      <c r="BD26" s="1054" t="e">
        <f>VLOOKUP(Y26,#REF!,3,0)</f>
        <v>#REF!</v>
      </c>
      <c r="BE26" s="1085" t="e">
        <f>VLOOKUP(Y26,#REF!,4,0)</f>
        <v>#REF!</v>
      </c>
      <c r="BF26" s="1056" t="str">
        <f t="shared" si="4"/>
        <v>o-o-o</v>
      </c>
      <c r="BG26" s="1087"/>
      <c r="BH26" s="1084"/>
      <c r="BI26" s="1087"/>
      <c r="BJ26" s="1077"/>
      <c r="BK26" s="1052"/>
      <c r="BL26" s="1081"/>
      <c r="BM26" s="1055"/>
      <c r="BN26" s="1090"/>
      <c r="BO26" s="1056"/>
      <c r="BP26" s="1087"/>
      <c r="BQ26" s="1084"/>
      <c r="BR26" s="1087"/>
      <c r="BS26" s="1077"/>
      <c r="BT26" s="1079"/>
      <c r="BU26" s="1060"/>
      <c r="BV26" s="1119"/>
      <c r="BW26" s="1053"/>
      <c r="BX26" s="1044"/>
      <c r="BY26" s="1057" t="str">
        <f t="shared" si="5"/>
        <v>- - -</v>
      </c>
      <c r="BZ26" s="1058" t="str">
        <f t="shared" si="6"/>
        <v>- - -</v>
      </c>
      <c r="CA26" s="1047" t="str">
        <f t="shared" si="7"/>
        <v>Chánh Văn phòng Học viện, Trưởng Ban Tổ chức - Cán bộ, Trưởng Khoa Quản lý nhà nước về Kinh tế và Tài chính công</v>
      </c>
      <c r="CB26" s="1043" t="str">
        <f t="shared" si="8"/>
        <v>A</v>
      </c>
      <c r="CC26" s="1043" t="e">
        <f t="shared" si="9"/>
        <v>#REF!</v>
      </c>
      <c r="CD26" s="1083" t="e">
        <f t="shared" si="10"/>
        <v>#REF!</v>
      </c>
      <c r="CE26" s="1043" t="str">
        <f t="shared" si="11"/>
        <v>S</v>
      </c>
      <c r="CF26" s="1059">
        <v>2013</v>
      </c>
      <c r="CG26" s="1043" t="s">
        <v>87</v>
      </c>
      <c r="CH26" s="1060"/>
      <c r="CI26" s="1061"/>
      <c r="CJ26" s="1062" t="str">
        <f t="shared" si="12"/>
        <v>Cùg Ng</v>
      </c>
      <c r="CK26" s="1061" t="str">
        <f t="shared" si="13"/>
        <v>- - -</v>
      </c>
      <c r="CL26" s="1063"/>
      <c r="CM26" s="1060"/>
      <c r="CN26" s="1061"/>
      <c r="CO26" s="1062"/>
      <c r="CP26" s="1061" t="str">
        <f t="shared" si="14"/>
        <v>- - -</v>
      </c>
      <c r="CQ26" s="1063"/>
      <c r="CR26" s="1064"/>
      <c r="CS26" s="1082"/>
      <c r="CT26" s="1065"/>
      <c r="CU26" s="1066" t="e">
        <f t="shared" si="15"/>
        <v>#REF!</v>
      </c>
      <c r="CV26" s="1065" t="str">
        <f t="shared" si="16"/>
        <v>/-/ /-/</v>
      </c>
      <c r="CW26" s="1066">
        <f t="shared" si="17"/>
        <v>10</v>
      </c>
      <c r="CX26" s="1065">
        <f t="shared" si="18"/>
        <v>2032</v>
      </c>
      <c r="CY26" s="1066">
        <f t="shared" si="19"/>
        <v>7</v>
      </c>
      <c r="CZ26" s="1067">
        <f t="shared" si="20"/>
        <v>2032</v>
      </c>
      <c r="DA26" s="1068">
        <f t="shared" si="21"/>
        <v>4</v>
      </c>
      <c r="DB26" s="1068">
        <f t="shared" si="22"/>
        <v>2032</v>
      </c>
      <c r="DC26" s="1047" t="e">
        <f t="shared" si="23"/>
        <v>#REF!</v>
      </c>
      <c r="DD26" s="1047" t="str">
        <f t="shared" si="24"/>
        <v>. .</v>
      </c>
      <c r="DE26" s="1047"/>
      <c r="DF26" s="1047">
        <f t="shared" si="25"/>
        <v>660</v>
      </c>
      <c r="DG26" s="1047">
        <f t="shared" si="26"/>
        <v>-23721</v>
      </c>
      <c r="DH26" s="1047">
        <f t="shared" si="27"/>
        <v>-1977</v>
      </c>
      <c r="DI26" s="1053" t="str">
        <f t="shared" si="28"/>
        <v>Nữ dưới 30</v>
      </c>
      <c r="DJ26" s="1061"/>
      <c r="DK26" s="1045"/>
      <c r="DL26" s="1043" t="str">
        <f t="shared" si="29"/>
        <v>Đến 30</v>
      </c>
      <c r="DM26" s="1078" t="str">
        <f t="shared" si="34"/>
        <v>--</v>
      </c>
      <c r="DN26" s="1045"/>
      <c r="DO26" s="1063"/>
      <c r="DP26" s="1069"/>
      <c r="DQ26" s="1070"/>
      <c r="DR26" s="1071"/>
      <c r="DS26" s="1072"/>
      <c r="DT26" s="1046"/>
      <c r="DU26" s="1049"/>
      <c r="DV26" s="1050"/>
      <c r="DW26" s="1080" t="s">
        <v>209</v>
      </c>
      <c r="DX26" s="1050" t="s">
        <v>246</v>
      </c>
      <c r="DY26" s="1073" t="s">
        <v>209</v>
      </c>
      <c r="DZ26" s="1050" t="s">
        <v>183</v>
      </c>
      <c r="EA26" s="1074" t="s">
        <v>200</v>
      </c>
      <c r="EB26" s="1049">
        <v>6</v>
      </c>
      <c r="EC26" s="1050" t="s">
        <v>200</v>
      </c>
      <c r="ED26" s="1080">
        <v>2013</v>
      </c>
      <c r="EE26" s="1050">
        <f t="shared" si="30"/>
        <v>0</v>
      </c>
      <c r="EF26" s="1073" t="str">
        <f t="shared" si="31"/>
        <v>- - -</v>
      </c>
      <c r="EG26" s="1043" t="s">
        <v>183</v>
      </c>
      <c r="EH26" s="1060" t="s">
        <v>200</v>
      </c>
      <c r="EI26" s="1075">
        <v>6</v>
      </c>
      <c r="EJ26" s="1072" t="s">
        <v>200</v>
      </c>
      <c r="EK26" s="1076">
        <v>2013</v>
      </c>
      <c r="EM26" s="1076" t="e">
        <f t="shared" si="32"/>
        <v>#REF!</v>
      </c>
      <c r="EN26" s="1076" t="str">
        <f t="shared" si="33"/>
        <v>---</v>
      </c>
    </row>
    <row r="27" spans="1:144" s="1076" customFormat="1" ht="21.75" customHeight="1" x14ac:dyDescent="0.2">
      <c r="A27" s="1089">
        <v>509</v>
      </c>
      <c r="B27" s="1086">
        <v>11</v>
      </c>
      <c r="C27" s="1043"/>
      <c r="D27" s="1043" t="str">
        <f t="shared" si="0"/>
        <v>Bà</v>
      </c>
      <c r="E27" s="1091" t="s">
        <v>377</v>
      </c>
      <c r="F27" s="1092" t="s">
        <v>221</v>
      </c>
      <c r="G27" s="1093" t="s">
        <v>210</v>
      </c>
      <c r="H27" s="1093" t="s">
        <v>200</v>
      </c>
      <c r="I27" s="1093" t="s">
        <v>211</v>
      </c>
      <c r="J27" s="1042" t="s">
        <v>200</v>
      </c>
      <c r="K27" s="1042" t="s">
        <v>162</v>
      </c>
      <c r="L27" s="1042" t="s">
        <v>264</v>
      </c>
      <c r="M27" s="1042" t="s">
        <v>269</v>
      </c>
      <c r="N27" s="1042"/>
      <c r="O27" s="1042" t="e">
        <v>#N/A</v>
      </c>
      <c r="P27" s="1042"/>
      <c r="Q27" s="1091" t="e">
        <v>#N/A</v>
      </c>
      <c r="R27" s="1094" t="s">
        <v>61</v>
      </c>
      <c r="S27" s="1095" t="s">
        <v>325</v>
      </c>
      <c r="T27" s="1096" t="s">
        <v>53</v>
      </c>
      <c r="U27" s="1096" t="s">
        <v>96</v>
      </c>
      <c r="V27" s="1097" t="s">
        <v>248</v>
      </c>
      <c r="W27" s="1098" t="s">
        <v>254</v>
      </c>
      <c r="X27" s="1099" t="s">
        <v>250</v>
      </c>
      <c r="Y27" s="1100" t="s">
        <v>181</v>
      </c>
      <c r="Z27" s="1099" t="e">
        <f>VLOOKUP(Y27,#REF!,2,0)</f>
        <v>#REF!</v>
      </c>
      <c r="AA27" s="1101" t="e">
        <f t="shared" si="1"/>
        <v>#REF!</v>
      </c>
      <c r="AB27" s="1102">
        <v>6</v>
      </c>
      <c r="AC27" s="1088" t="s">
        <v>200</v>
      </c>
      <c r="AD27" s="1041">
        <v>9</v>
      </c>
      <c r="AE27" s="1103">
        <v>3.99</v>
      </c>
      <c r="AF27" s="1104"/>
      <c r="AG27" s="1041"/>
      <c r="AH27" s="1105" t="s">
        <v>189</v>
      </c>
      <c r="AI27" s="1106" t="s">
        <v>200</v>
      </c>
      <c r="AJ27" s="1107" t="s">
        <v>363</v>
      </c>
      <c r="AK27" s="1108"/>
      <c r="AL27" s="1109"/>
      <c r="AM27" s="1110">
        <v>7</v>
      </c>
      <c r="AN27" s="1111" t="s">
        <v>200</v>
      </c>
      <c r="AO27" s="1112">
        <v>9</v>
      </c>
      <c r="AP27" s="1121">
        <v>4.32</v>
      </c>
      <c r="AQ27" s="1041"/>
      <c r="AR27" s="1113" t="e">
        <f t="shared" si="35"/>
        <v>#REF!</v>
      </c>
      <c r="AS27" s="1114"/>
      <c r="AT27" s="1115" t="s">
        <v>189</v>
      </c>
      <c r="AU27" s="1116" t="s">
        <v>200</v>
      </c>
      <c r="AV27" s="1117">
        <v>2019</v>
      </c>
      <c r="AW27" s="1120"/>
      <c r="AX27" s="1060"/>
      <c r="AY27" s="1051"/>
      <c r="AZ27" s="1118"/>
      <c r="BA27" s="1048"/>
      <c r="BB27" s="1048" t="e">
        <f t="shared" si="2"/>
        <v>#REF!</v>
      </c>
      <c r="BC27" s="1053">
        <f t="shared" si="3"/>
        <v>-2026</v>
      </c>
      <c r="BD27" s="1054" t="e">
        <f>VLOOKUP(Y27,#REF!,3,0)</f>
        <v>#REF!</v>
      </c>
      <c r="BE27" s="1085" t="e">
        <f>VLOOKUP(Y27,#REF!,4,0)</f>
        <v>#REF!</v>
      </c>
      <c r="BF27" s="1056" t="str">
        <f t="shared" si="4"/>
        <v>o-o-o</v>
      </c>
      <c r="BG27" s="1087"/>
      <c r="BH27" s="1084"/>
      <c r="BI27" s="1087"/>
      <c r="BJ27" s="1077"/>
      <c r="BK27" s="1052"/>
      <c r="BL27" s="1081"/>
      <c r="BM27" s="1055"/>
      <c r="BN27" s="1090"/>
      <c r="BO27" s="1056"/>
      <c r="BP27" s="1087"/>
      <c r="BQ27" s="1084"/>
      <c r="BR27" s="1087"/>
      <c r="BS27" s="1077"/>
      <c r="BT27" s="1079"/>
      <c r="BU27" s="1060"/>
      <c r="BV27" s="1119"/>
      <c r="BW27" s="1053"/>
      <c r="BX27" s="1044"/>
      <c r="BY27" s="1057" t="str">
        <f t="shared" si="5"/>
        <v>- - -</v>
      </c>
      <c r="BZ27" s="1058" t="str">
        <f t="shared" si="6"/>
        <v>- - -</v>
      </c>
      <c r="CA27" s="1047" t="str">
        <f t="shared" si="7"/>
        <v>Chánh Văn phòng Học viện, Trưởng Ban Tổ chức - Cán bộ, Trưởng Khoa Quản lý nhà nước về Kinh tế và Tài chính công</v>
      </c>
      <c r="CB27" s="1043" t="str">
        <f t="shared" si="8"/>
        <v>A</v>
      </c>
      <c r="CC27" s="1043" t="e">
        <f t="shared" si="9"/>
        <v>#REF!</v>
      </c>
      <c r="CD27" s="1083" t="e">
        <f t="shared" si="10"/>
        <v>#REF!</v>
      </c>
      <c r="CE27" s="1043" t="str">
        <f t="shared" si="11"/>
        <v>S</v>
      </c>
      <c r="CF27" s="1059">
        <v>2013</v>
      </c>
      <c r="CG27" s="1043" t="s">
        <v>87</v>
      </c>
      <c r="CH27" s="1060"/>
      <c r="CI27" s="1061"/>
      <c r="CJ27" s="1062" t="str">
        <f t="shared" si="12"/>
        <v>- - -</v>
      </c>
      <c r="CK27" s="1061" t="str">
        <f t="shared" si="13"/>
        <v>- - -</v>
      </c>
      <c r="CL27" s="1063"/>
      <c r="CM27" s="1060"/>
      <c r="CN27" s="1061"/>
      <c r="CO27" s="1062"/>
      <c r="CP27" s="1061" t="str">
        <f t="shared" si="14"/>
        <v>- - -</v>
      </c>
      <c r="CQ27" s="1063"/>
      <c r="CR27" s="1064"/>
      <c r="CS27" s="1082"/>
      <c r="CT27" s="1065"/>
      <c r="CU27" s="1066" t="e">
        <f t="shared" si="15"/>
        <v>#REF!</v>
      </c>
      <c r="CV27" s="1065" t="str">
        <f t="shared" si="16"/>
        <v>/-/ /-/</v>
      </c>
      <c r="CW27" s="1066">
        <f t="shared" si="17"/>
        <v>12</v>
      </c>
      <c r="CX27" s="1065">
        <f t="shared" si="18"/>
        <v>2032</v>
      </c>
      <c r="CY27" s="1066">
        <f t="shared" si="19"/>
        <v>9</v>
      </c>
      <c r="CZ27" s="1067">
        <f t="shared" si="20"/>
        <v>2032</v>
      </c>
      <c r="DA27" s="1068">
        <f t="shared" si="21"/>
        <v>6</v>
      </c>
      <c r="DB27" s="1068">
        <f t="shared" si="22"/>
        <v>2032</v>
      </c>
      <c r="DC27" s="1047" t="e">
        <f t="shared" si="23"/>
        <v>#REF!</v>
      </c>
      <c r="DD27" s="1047" t="str">
        <f t="shared" si="24"/>
        <v>. .</v>
      </c>
      <c r="DE27" s="1047"/>
      <c r="DF27" s="1047">
        <f t="shared" si="25"/>
        <v>660</v>
      </c>
      <c r="DG27" s="1047">
        <f t="shared" si="26"/>
        <v>-23723</v>
      </c>
      <c r="DH27" s="1047">
        <f t="shared" si="27"/>
        <v>-1977</v>
      </c>
      <c r="DI27" s="1053" t="str">
        <f t="shared" si="28"/>
        <v>Nữ dưới 30</v>
      </c>
      <c r="DJ27" s="1061"/>
      <c r="DK27" s="1045"/>
      <c r="DL27" s="1043" t="str">
        <f t="shared" si="29"/>
        <v>Đến 30</v>
      </c>
      <c r="DM27" s="1078" t="str">
        <f t="shared" si="34"/>
        <v>TD</v>
      </c>
      <c r="DN27" s="1045">
        <v>2009</v>
      </c>
      <c r="DO27" s="1063"/>
      <c r="DP27" s="1069"/>
      <c r="DQ27" s="1070"/>
      <c r="DR27" s="1071"/>
      <c r="DS27" s="1072"/>
      <c r="DT27" s="1046"/>
      <c r="DU27" s="1049"/>
      <c r="DV27" s="1050"/>
      <c r="DW27" s="1080" t="s">
        <v>209</v>
      </c>
      <c r="DX27" s="1050" t="s">
        <v>246</v>
      </c>
      <c r="DY27" s="1073" t="s">
        <v>209</v>
      </c>
      <c r="DZ27" s="1050" t="s">
        <v>183</v>
      </c>
      <c r="EA27" s="1074" t="s">
        <v>200</v>
      </c>
      <c r="EB27" s="1049">
        <v>6</v>
      </c>
      <c r="EC27" s="1050" t="s">
        <v>200</v>
      </c>
      <c r="ED27" s="1080">
        <v>2013</v>
      </c>
      <c r="EE27" s="1050">
        <f t="shared" si="30"/>
        <v>0</v>
      </c>
      <c r="EF27" s="1073" t="str">
        <f t="shared" si="31"/>
        <v>- - -</v>
      </c>
      <c r="EG27" s="1043" t="s">
        <v>183</v>
      </c>
      <c r="EH27" s="1060" t="s">
        <v>200</v>
      </c>
      <c r="EI27" s="1075">
        <v>6</v>
      </c>
      <c r="EJ27" s="1072" t="s">
        <v>200</v>
      </c>
      <c r="EK27" s="1076">
        <v>2013</v>
      </c>
      <c r="EM27" s="1076" t="e">
        <f t="shared" si="32"/>
        <v>#REF!</v>
      </c>
      <c r="EN27" s="1076" t="str">
        <f t="shared" si="33"/>
        <v>---</v>
      </c>
    </row>
    <row r="28" spans="1:144" s="1076" customFormat="1" ht="21.75" customHeight="1" x14ac:dyDescent="0.2">
      <c r="A28" s="1089">
        <v>520</v>
      </c>
      <c r="B28" s="1086">
        <v>12</v>
      </c>
      <c r="C28" s="1043"/>
      <c r="D28" s="1043" t="str">
        <f t="shared" si="0"/>
        <v>Bà</v>
      </c>
      <c r="E28" s="1091" t="s">
        <v>378</v>
      </c>
      <c r="F28" s="1092" t="s">
        <v>221</v>
      </c>
      <c r="G28" s="1093" t="s">
        <v>212</v>
      </c>
      <c r="H28" s="1093" t="s">
        <v>200</v>
      </c>
      <c r="I28" s="1093" t="s">
        <v>188</v>
      </c>
      <c r="J28" s="1042" t="s">
        <v>200</v>
      </c>
      <c r="K28" s="1042">
        <v>1976</v>
      </c>
      <c r="L28" s="1042" t="s">
        <v>258</v>
      </c>
      <c r="M28" s="1042" t="s">
        <v>365</v>
      </c>
      <c r="N28" s="1042"/>
      <c r="O28" s="1042" t="e">
        <v>#N/A</v>
      </c>
      <c r="P28" s="1042"/>
      <c r="Q28" s="1091" t="e">
        <v>#N/A</v>
      </c>
      <c r="R28" s="1094" t="s">
        <v>166</v>
      </c>
      <c r="S28" s="1095" t="s">
        <v>74</v>
      </c>
      <c r="T28" s="1096" t="s">
        <v>53</v>
      </c>
      <c r="U28" s="1096" t="s">
        <v>96</v>
      </c>
      <c r="V28" s="1097" t="s">
        <v>248</v>
      </c>
      <c r="W28" s="1098" t="s">
        <v>254</v>
      </c>
      <c r="X28" s="1099" t="s">
        <v>250</v>
      </c>
      <c r="Y28" s="1100" t="s">
        <v>197</v>
      </c>
      <c r="Z28" s="1099" t="e">
        <f>VLOOKUP(Y28,#REF!,2,0)</f>
        <v>#REF!</v>
      </c>
      <c r="AA28" s="1101" t="e">
        <f t="shared" si="1"/>
        <v>#REF!</v>
      </c>
      <c r="AB28" s="1102">
        <v>5</v>
      </c>
      <c r="AC28" s="1088" t="s">
        <v>200</v>
      </c>
      <c r="AD28" s="1041">
        <v>9</v>
      </c>
      <c r="AE28" s="1103">
        <v>3.66</v>
      </c>
      <c r="AF28" s="1104"/>
      <c r="AG28" s="1041"/>
      <c r="AH28" s="1105" t="s">
        <v>189</v>
      </c>
      <c r="AI28" s="1106" t="s">
        <v>200</v>
      </c>
      <c r="AJ28" s="1107" t="s">
        <v>363</v>
      </c>
      <c r="AK28" s="1108"/>
      <c r="AL28" s="1109"/>
      <c r="AM28" s="1110">
        <v>6</v>
      </c>
      <c r="AN28" s="1111" t="s">
        <v>200</v>
      </c>
      <c r="AO28" s="1112">
        <v>9</v>
      </c>
      <c r="AP28" s="1121">
        <v>3.99</v>
      </c>
      <c r="AQ28" s="1041"/>
      <c r="AR28" s="1113" t="e">
        <f t="shared" si="35"/>
        <v>#REF!</v>
      </c>
      <c r="AS28" s="1114"/>
      <c r="AT28" s="1115" t="s">
        <v>189</v>
      </c>
      <c r="AU28" s="1116" t="s">
        <v>200</v>
      </c>
      <c r="AV28" s="1117">
        <v>2019</v>
      </c>
      <c r="AW28" s="1120"/>
      <c r="AX28" s="1060"/>
      <c r="AY28" s="1051"/>
      <c r="AZ28" s="1118"/>
      <c r="BA28" s="1048"/>
      <c r="BB28" s="1048" t="e">
        <f t="shared" si="2"/>
        <v>#REF!</v>
      </c>
      <c r="BC28" s="1053">
        <f t="shared" si="3"/>
        <v>-2025</v>
      </c>
      <c r="BD28" s="1054" t="e">
        <f>VLOOKUP(Y28,#REF!,3,0)</f>
        <v>#REF!</v>
      </c>
      <c r="BE28" s="1085" t="e">
        <f>VLOOKUP(Y28,#REF!,4,0)</f>
        <v>#REF!</v>
      </c>
      <c r="BF28" s="1056" t="str">
        <f t="shared" si="4"/>
        <v>o-o-o</v>
      </c>
      <c r="BG28" s="1087"/>
      <c r="BH28" s="1084"/>
      <c r="BI28" s="1087"/>
      <c r="BJ28" s="1077"/>
      <c r="BK28" s="1052"/>
      <c r="BL28" s="1081"/>
      <c r="BM28" s="1055"/>
      <c r="BN28" s="1090"/>
      <c r="BO28" s="1056"/>
      <c r="BP28" s="1087"/>
      <c r="BQ28" s="1084"/>
      <c r="BR28" s="1087"/>
      <c r="BS28" s="1077"/>
      <c r="BT28" s="1079"/>
      <c r="BU28" s="1060"/>
      <c r="BV28" s="1119"/>
      <c r="BW28" s="1053"/>
      <c r="BX28" s="1044"/>
      <c r="BY28" s="1057" t="str">
        <f t="shared" si="5"/>
        <v>- - -</v>
      </c>
      <c r="BZ28" s="1058" t="str">
        <f t="shared" si="6"/>
        <v>- - -</v>
      </c>
      <c r="CA28" s="1047" t="str">
        <f t="shared" si="7"/>
        <v>Chánh Văn phòng Học viện, Trưởng Ban Tổ chức - Cán bộ, Trưởng Khoa Văn bản và Công nghệ hành chính</v>
      </c>
      <c r="CB28" s="1043" t="str">
        <f t="shared" si="8"/>
        <v>A</v>
      </c>
      <c r="CC28" s="1043" t="e">
        <f t="shared" si="9"/>
        <v>#REF!</v>
      </c>
      <c r="CD28" s="1083" t="e">
        <f t="shared" si="10"/>
        <v>#REF!</v>
      </c>
      <c r="CE28" s="1043" t="str">
        <f t="shared" si="11"/>
        <v>S</v>
      </c>
      <c r="CF28" s="1059">
        <v>2013</v>
      </c>
      <c r="CG28" s="1043" t="s">
        <v>89</v>
      </c>
      <c r="CH28" s="1060"/>
      <c r="CI28" s="1061"/>
      <c r="CJ28" s="1062" t="str">
        <f t="shared" si="12"/>
        <v>- - -</v>
      </c>
      <c r="CK28" s="1061" t="str">
        <f t="shared" si="13"/>
        <v>- - -</v>
      </c>
      <c r="CL28" s="1063"/>
      <c r="CM28" s="1060"/>
      <c r="CN28" s="1061"/>
      <c r="CO28" s="1062"/>
      <c r="CP28" s="1061" t="str">
        <f t="shared" si="14"/>
        <v>- - -</v>
      </c>
      <c r="CQ28" s="1063"/>
      <c r="CR28" s="1064"/>
      <c r="CS28" s="1082"/>
      <c r="CT28" s="1065"/>
      <c r="CU28" s="1066" t="e">
        <f t="shared" si="15"/>
        <v>#REF!</v>
      </c>
      <c r="CV28" s="1065" t="str">
        <f t="shared" si="16"/>
        <v>/-/ /-/</v>
      </c>
      <c r="CW28" s="1066">
        <f t="shared" si="17"/>
        <v>4</v>
      </c>
      <c r="CX28" s="1065">
        <f t="shared" si="18"/>
        <v>2031</v>
      </c>
      <c r="CY28" s="1066">
        <f t="shared" si="19"/>
        <v>1</v>
      </c>
      <c r="CZ28" s="1067">
        <f t="shared" si="20"/>
        <v>2031</v>
      </c>
      <c r="DA28" s="1068">
        <f t="shared" si="21"/>
        <v>10</v>
      </c>
      <c r="DB28" s="1068">
        <f t="shared" si="22"/>
        <v>2030</v>
      </c>
      <c r="DC28" s="1047" t="e">
        <f t="shared" si="23"/>
        <v>#REF!</v>
      </c>
      <c r="DD28" s="1047" t="str">
        <f t="shared" si="24"/>
        <v>. .</v>
      </c>
      <c r="DE28" s="1047"/>
      <c r="DF28" s="1047">
        <f t="shared" si="25"/>
        <v>660</v>
      </c>
      <c r="DG28" s="1047">
        <f t="shared" si="26"/>
        <v>-23703</v>
      </c>
      <c r="DH28" s="1047">
        <f t="shared" si="27"/>
        <v>-1976</v>
      </c>
      <c r="DI28" s="1053" t="str">
        <f t="shared" si="28"/>
        <v>Nữ dưới 30</v>
      </c>
      <c r="DJ28" s="1061"/>
      <c r="DK28" s="1045"/>
      <c r="DL28" s="1043" t="str">
        <f t="shared" si="29"/>
        <v>Đến 30</v>
      </c>
      <c r="DM28" s="1078" t="str">
        <f t="shared" si="34"/>
        <v>--</v>
      </c>
      <c r="DN28" s="1045"/>
      <c r="DO28" s="1063"/>
      <c r="DP28" s="1069"/>
      <c r="DQ28" s="1070"/>
      <c r="DR28" s="1071"/>
      <c r="DS28" s="1072"/>
      <c r="DT28" s="1046"/>
      <c r="DU28" s="1049"/>
      <c r="DV28" s="1050"/>
      <c r="DW28" s="1080" t="s">
        <v>209</v>
      </c>
      <c r="DX28" s="1050" t="s">
        <v>246</v>
      </c>
      <c r="DY28" s="1073" t="s">
        <v>209</v>
      </c>
      <c r="DZ28" s="1050" t="s">
        <v>183</v>
      </c>
      <c r="EA28" s="1074" t="s">
        <v>200</v>
      </c>
      <c r="EB28" s="1049">
        <v>6</v>
      </c>
      <c r="EC28" s="1050" t="s">
        <v>200</v>
      </c>
      <c r="ED28" s="1080">
        <v>2013</v>
      </c>
      <c r="EE28" s="1050">
        <f t="shared" si="30"/>
        <v>0</v>
      </c>
      <c r="EF28" s="1073" t="str">
        <f t="shared" si="31"/>
        <v>- - -</v>
      </c>
      <c r="EG28" s="1043" t="s">
        <v>183</v>
      </c>
      <c r="EH28" s="1060" t="s">
        <v>200</v>
      </c>
      <c r="EI28" s="1075">
        <v>6</v>
      </c>
      <c r="EJ28" s="1072" t="s">
        <v>200</v>
      </c>
      <c r="EK28" s="1076">
        <v>2013</v>
      </c>
      <c r="EM28" s="1076" t="e">
        <f t="shared" si="32"/>
        <v>#REF!</v>
      </c>
      <c r="EN28" s="1076" t="str">
        <f t="shared" si="33"/>
        <v>---</v>
      </c>
    </row>
    <row r="29" spans="1:144" s="1076" customFormat="1" ht="21.75" customHeight="1" x14ac:dyDescent="0.2">
      <c r="A29" s="1089">
        <v>522</v>
      </c>
      <c r="B29" s="1086">
        <v>13</v>
      </c>
      <c r="C29" s="1043"/>
      <c r="D29" s="1043" t="str">
        <f t="shared" si="0"/>
        <v>Bà</v>
      </c>
      <c r="E29" s="1091" t="s">
        <v>379</v>
      </c>
      <c r="F29" s="1092" t="s">
        <v>221</v>
      </c>
      <c r="G29" s="1093" t="s">
        <v>212</v>
      </c>
      <c r="H29" s="1093" t="s">
        <v>200</v>
      </c>
      <c r="I29" s="1093" t="s">
        <v>191</v>
      </c>
      <c r="J29" s="1042" t="s">
        <v>200</v>
      </c>
      <c r="K29" s="1042" t="s">
        <v>168</v>
      </c>
      <c r="L29" s="1042" t="s">
        <v>264</v>
      </c>
      <c r="M29" s="1042" t="s">
        <v>269</v>
      </c>
      <c r="N29" s="1042"/>
      <c r="O29" s="1042" t="e">
        <v>#N/A</v>
      </c>
      <c r="P29" s="1042"/>
      <c r="Q29" s="1091" t="e">
        <v>#N/A</v>
      </c>
      <c r="R29" s="1094" t="s">
        <v>380</v>
      </c>
      <c r="S29" s="1095" t="s">
        <v>381</v>
      </c>
      <c r="T29" s="1096" t="s">
        <v>53</v>
      </c>
      <c r="U29" s="1096" t="s">
        <v>96</v>
      </c>
      <c r="V29" s="1097" t="s">
        <v>249</v>
      </c>
      <c r="W29" s="1098" t="s">
        <v>181</v>
      </c>
      <c r="X29" s="1099" t="s">
        <v>87</v>
      </c>
      <c r="Y29" s="1100" t="s">
        <v>197</v>
      </c>
      <c r="Z29" s="1099" t="e">
        <f>VLOOKUP(Y29,#REF!,2,0)</f>
        <v>#REF!</v>
      </c>
      <c r="AA29" s="1101" t="e">
        <f t="shared" si="1"/>
        <v>#REF!</v>
      </c>
      <c r="AB29" s="1102">
        <v>6</v>
      </c>
      <c r="AC29" s="1088" t="s">
        <v>200</v>
      </c>
      <c r="AD29" s="1041">
        <v>9</v>
      </c>
      <c r="AE29" s="1103">
        <v>3.99</v>
      </c>
      <c r="AF29" s="1104"/>
      <c r="AG29" s="1041"/>
      <c r="AH29" s="1105" t="s">
        <v>189</v>
      </c>
      <c r="AI29" s="1106" t="s">
        <v>200</v>
      </c>
      <c r="AJ29" s="1107" t="s">
        <v>363</v>
      </c>
      <c r="AK29" s="1108"/>
      <c r="AL29" s="1109"/>
      <c r="AM29" s="1110">
        <v>7</v>
      </c>
      <c r="AN29" s="1111" t="s">
        <v>200</v>
      </c>
      <c r="AO29" s="1112">
        <v>9</v>
      </c>
      <c r="AP29" s="1121">
        <v>4.32</v>
      </c>
      <c r="AQ29" s="1041"/>
      <c r="AR29" s="1113" t="e">
        <f t="shared" si="35"/>
        <v>#REF!</v>
      </c>
      <c r="AS29" s="1114"/>
      <c r="AT29" s="1115" t="s">
        <v>189</v>
      </c>
      <c r="AU29" s="1116" t="s">
        <v>200</v>
      </c>
      <c r="AV29" s="1117">
        <v>2019</v>
      </c>
      <c r="AW29" s="1120"/>
      <c r="AX29" s="1060"/>
      <c r="AY29" s="1051"/>
      <c r="AZ29" s="1118"/>
      <c r="BA29" s="1048"/>
      <c r="BB29" s="1048" t="e">
        <f t="shared" si="2"/>
        <v>#REF!</v>
      </c>
      <c r="BC29" s="1053">
        <f t="shared" si="3"/>
        <v>-2026</v>
      </c>
      <c r="BD29" s="1054" t="e">
        <f>VLOOKUP(Y29,#REF!,3,0)</f>
        <v>#REF!</v>
      </c>
      <c r="BE29" s="1085" t="e">
        <f>VLOOKUP(Y29,#REF!,4,0)</f>
        <v>#REF!</v>
      </c>
      <c r="BF29" s="1056" t="str">
        <f t="shared" si="4"/>
        <v>o-o-o</v>
      </c>
      <c r="BG29" s="1087"/>
      <c r="BH29" s="1084"/>
      <c r="BI29" s="1087"/>
      <c r="BJ29" s="1077"/>
      <c r="BK29" s="1052"/>
      <c r="BL29" s="1081"/>
      <c r="BM29" s="1055"/>
      <c r="BN29" s="1090"/>
      <c r="BO29" s="1056"/>
      <c r="BP29" s="1087"/>
      <c r="BQ29" s="1084"/>
      <c r="BR29" s="1087"/>
      <c r="BS29" s="1077"/>
      <c r="BT29" s="1079"/>
      <c r="BU29" s="1060"/>
      <c r="BV29" s="1119"/>
      <c r="BW29" s="1053"/>
      <c r="BX29" s="1044"/>
      <c r="BY29" s="1057" t="str">
        <f t="shared" si="5"/>
        <v>- - -</v>
      </c>
      <c r="BZ29" s="1058" t="str">
        <f t="shared" si="6"/>
        <v>- - -</v>
      </c>
      <c r="CA29" s="1047" t="str">
        <f t="shared" si="7"/>
        <v>Chánh Văn phòng Học viện, Trưởng Ban Tổ chức - Cán bộ, Trưởng Phòng Quản lý đào tạo và Phát triển nhân lực hành chính, Ban Quản lý bồi dưỡng</v>
      </c>
      <c r="CB29" s="1043" t="str">
        <f t="shared" si="8"/>
        <v>A</v>
      </c>
      <c r="CC29" s="1043" t="e">
        <f t="shared" si="9"/>
        <v>#REF!</v>
      </c>
      <c r="CD29" s="1083" t="e">
        <f t="shared" si="10"/>
        <v>#REF!</v>
      </c>
      <c r="CE29" s="1043" t="str">
        <f t="shared" si="11"/>
        <v>S</v>
      </c>
      <c r="CF29" s="1059">
        <v>2013</v>
      </c>
      <c r="CG29" s="1043" t="s">
        <v>89</v>
      </c>
      <c r="CH29" s="1060">
        <v>2010</v>
      </c>
      <c r="CI29" s="1061" t="s">
        <v>88</v>
      </c>
      <c r="CJ29" s="1062" t="str">
        <f t="shared" si="12"/>
        <v>- - -</v>
      </c>
      <c r="CK29" s="1061" t="str">
        <f t="shared" si="13"/>
        <v>- - -</v>
      </c>
      <c r="CL29" s="1063"/>
      <c r="CM29" s="1060"/>
      <c r="CN29" s="1061"/>
      <c r="CO29" s="1062"/>
      <c r="CP29" s="1061" t="str">
        <f t="shared" si="14"/>
        <v>- - -</v>
      </c>
      <c r="CQ29" s="1063"/>
      <c r="CR29" s="1064"/>
      <c r="CS29" s="1082"/>
      <c r="CT29" s="1065"/>
      <c r="CU29" s="1066" t="e">
        <f t="shared" si="15"/>
        <v>#REF!</v>
      </c>
      <c r="CV29" s="1065" t="str">
        <f t="shared" si="16"/>
        <v>/-/ /-/</v>
      </c>
      <c r="CW29" s="1066">
        <f t="shared" si="17"/>
        <v>1</v>
      </c>
      <c r="CX29" s="1065">
        <f t="shared" si="18"/>
        <v>2035</v>
      </c>
      <c r="CY29" s="1066">
        <f t="shared" si="19"/>
        <v>10</v>
      </c>
      <c r="CZ29" s="1067">
        <f t="shared" si="20"/>
        <v>2034</v>
      </c>
      <c r="DA29" s="1068">
        <f t="shared" si="21"/>
        <v>7</v>
      </c>
      <c r="DB29" s="1068">
        <f t="shared" si="22"/>
        <v>2034</v>
      </c>
      <c r="DC29" s="1047" t="e">
        <f t="shared" si="23"/>
        <v>#REF!</v>
      </c>
      <c r="DD29" s="1047" t="str">
        <f t="shared" si="24"/>
        <v>. .</v>
      </c>
      <c r="DE29" s="1047"/>
      <c r="DF29" s="1047">
        <f t="shared" si="25"/>
        <v>660</v>
      </c>
      <c r="DG29" s="1047">
        <f t="shared" si="26"/>
        <v>-23748</v>
      </c>
      <c r="DH29" s="1047">
        <f t="shared" si="27"/>
        <v>-1979</v>
      </c>
      <c r="DI29" s="1053" t="str">
        <f t="shared" si="28"/>
        <v>Nữ dưới 30</v>
      </c>
      <c r="DJ29" s="1061"/>
      <c r="DK29" s="1045"/>
      <c r="DL29" s="1043" t="str">
        <f t="shared" si="29"/>
        <v>Đến 30</v>
      </c>
      <c r="DM29" s="1078" t="str">
        <f t="shared" si="34"/>
        <v>--</v>
      </c>
      <c r="DN29" s="1045"/>
      <c r="DO29" s="1063"/>
      <c r="DP29" s="1069"/>
      <c r="DQ29" s="1070"/>
      <c r="DR29" s="1071"/>
      <c r="DS29" s="1072"/>
      <c r="DT29" s="1046"/>
      <c r="DU29" s="1049"/>
      <c r="DV29" s="1050"/>
      <c r="DW29" s="1080" t="s">
        <v>209</v>
      </c>
      <c r="DX29" s="1050" t="s">
        <v>246</v>
      </c>
      <c r="DY29" s="1073" t="s">
        <v>209</v>
      </c>
      <c r="DZ29" s="1050" t="s">
        <v>183</v>
      </c>
      <c r="EA29" s="1074" t="s">
        <v>200</v>
      </c>
      <c r="EB29" s="1049">
        <v>6</v>
      </c>
      <c r="EC29" s="1050" t="s">
        <v>200</v>
      </c>
      <c r="ED29" s="1080">
        <v>2013</v>
      </c>
      <c r="EE29" s="1050">
        <f t="shared" si="30"/>
        <v>0</v>
      </c>
      <c r="EF29" s="1073" t="str">
        <f t="shared" si="31"/>
        <v>- - -</v>
      </c>
      <c r="EG29" s="1043" t="s">
        <v>183</v>
      </c>
      <c r="EH29" s="1060" t="s">
        <v>200</v>
      </c>
      <c r="EI29" s="1075">
        <v>6</v>
      </c>
      <c r="EJ29" s="1072" t="s">
        <v>200</v>
      </c>
      <c r="EK29" s="1076">
        <v>2013</v>
      </c>
      <c r="EM29" s="1076" t="e">
        <f t="shared" si="32"/>
        <v>#REF!</v>
      </c>
      <c r="EN29" s="1076" t="str">
        <f t="shared" si="33"/>
        <v>---</v>
      </c>
    </row>
    <row r="30" spans="1:144" s="1076" customFormat="1" ht="21.75" customHeight="1" x14ac:dyDescent="0.2">
      <c r="A30" s="1089">
        <v>524</v>
      </c>
      <c r="B30" s="1086">
        <v>14</v>
      </c>
      <c r="C30" s="1043"/>
      <c r="D30" s="1043" t="str">
        <f t="shared" si="0"/>
        <v>Bà</v>
      </c>
      <c r="E30" s="1091" t="s">
        <v>382</v>
      </c>
      <c r="F30" s="1092" t="s">
        <v>221</v>
      </c>
      <c r="G30" s="1093" t="s">
        <v>132</v>
      </c>
      <c r="H30" s="1093" t="s">
        <v>200</v>
      </c>
      <c r="I30" s="1093" t="s">
        <v>184</v>
      </c>
      <c r="J30" s="1042" t="s">
        <v>200</v>
      </c>
      <c r="K30" s="1042">
        <v>1980</v>
      </c>
      <c r="L30" s="1042" t="s">
        <v>258</v>
      </c>
      <c r="M30" s="1042" t="s">
        <v>365</v>
      </c>
      <c r="N30" s="1042"/>
      <c r="O30" s="1042" t="e">
        <v>#N/A</v>
      </c>
      <c r="P30" s="1042"/>
      <c r="Q30" s="1091" t="e">
        <v>#N/A</v>
      </c>
      <c r="R30" s="1094" t="s">
        <v>141</v>
      </c>
      <c r="S30" s="1095" t="s">
        <v>328</v>
      </c>
      <c r="T30" s="1096" t="s">
        <v>53</v>
      </c>
      <c r="U30" s="1096" t="s">
        <v>96</v>
      </c>
      <c r="V30" s="1097" t="s">
        <v>249</v>
      </c>
      <c r="W30" s="1098" t="s">
        <v>383</v>
      </c>
      <c r="X30" s="1099" t="s">
        <v>384</v>
      </c>
      <c r="Y30" s="1100" t="s">
        <v>198</v>
      </c>
      <c r="Z30" s="1099" t="e">
        <f>VLOOKUP(Y30,#REF!,2,0)</f>
        <v>#REF!</v>
      </c>
      <c r="AA30" s="1101" t="e">
        <f t="shared" si="1"/>
        <v>#REF!</v>
      </c>
      <c r="AB30" s="1102">
        <v>4</v>
      </c>
      <c r="AC30" s="1088" t="s">
        <v>200</v>
      </c>
      <c r="AD30" s="1041">
        <v>9</v>
      </c>
      <c r="AE30" s="1103">
        <v>3.33</v>
      </c>
      <c r="AF30" s="1104"/>
      <c r="AG30" s="1041"/>
      <c r="AH30" s="1105" t="s">
        <v>189</v>
      </c>
      <c r="AI30" s="1106" t="s">
        <v>200</v>
      </c>
      <c r="AJ30" s="1107" t="s">
        <v>363</v>
      </c>
      <c r="AK30" s="1108"/>
      <c r="AL30" s="1109"/>
      <c r="AM30" s="1110">
        <v>5</v>
      </c>
      <c r="AN30" s="1111" t="s">
        <v>200</v>
      </c>
      <c r="AO30" s="1112">
        <v>9</v>
      </c>
      <c r="AP30" s="1121">
        <v>3.66</v>
      </c>
      <c r="AQ30" s="1041"/>
      <c r="AR30" s="1113" t="e">
        <f t="shared" si="35"/>
        <v>#REF!</v>
      </c>
      <c r="AS30" s="1114"/>
      <c r="AT30" s="1115" t="s">
        <v>189</v>
      </c>
      <c r="AU30" s="1116" t="s">
        <v>200</v>
      </c>
      <c r="AV30" s="1117">
        <v>2019</v>
      </c>
      <c r="AW30" s="1120"/>
      <c r="AX30" s="1060"/>
      <c r="AY30" s="1051"/>
      <c r="AZ30" s="1118"/>
      <c r="BA30" s="1048"/>
      <c r="BB30" s="1048" t="e">
        <f t="shared" si="2"/>
        <v>#REF!</v>
      </c>
      <c r="BC30" s="1053">
        <f t="shared" si="3"/>
        <v>-2024</v>
      </c>
      <c r="BD30" s="1054" t="e">
        <f>VLOOKUP(Y30,#REF!,3,0)</f>
        <v>#REF!</v>
      </c>
      <c r="BE30" s="1085" t="e">
        <f>VLOOKUP(Y30,#REF!,4,0)</f>
        <v>#REF!</v>
      </c>
      <c r="BF30" s="1056" t="str">
        <f t="shared" si="4"/>
        <v>o-o-o</v>
      </c>
      <c r="BG30" s="1087"/>
      <c r="BH30" s="1084"/>
      <c r="BI30" s="1087"/>
      <c r="BJ30" s="1077"/>
      <c r="BK30" s="1052"/>
      <c r="BL30" s="1081"/>
      <c r="BM30" s="1055"/>
      <c r="BN30" s="1090"/>
      <c r="BO30" s="1056"/>
      <c r="BP30" s="1087"/>
      <c r="BQ30" s="1084"/>
      <c r="BR30" s="1087"/>
      <c r="BS30" s="1077"/>
      <c r="BT30" s="1079"/>
      <c r="BU30" s="1060"/>
      <c r="BV30" s="1119"/>
      <c r="BW30" s="1053"/>
      <c r="BX30" s="1044"/>
      <c r="BY30" s="1057" t="str">
        <f t="shared" si="5"/>
        <v>- - -</v>
      </c>
      <c r="BZ30" s="1058" t="str">
        <f t="shared" si="6"/>
        <v>- - -</v>
      </c>
      <c r="CA30" s="1047" t="str">
        <f t="shared" si="7"/>
        <v>Chánh Văn phòng Học viện, Trưởng Ban Tổ chức - Cán bộ, Trưởng Trung tâm Ngoại ngữ - Tin học và Thông tin - Thư viện</v>
      </c>
      <c r="CB30" s="1043" t="str">
        <f t="shared" si="8"/>
        <v>A</v>
      </c>
      <c r="CC30" s="1043" t="e">
        <f t="shared" si="9"/>
        <v>#REF!</v>
      </c>
      <c r="CD30" s="1083" t="e">
        <f t="shared" si="10"/>
        <v>#REF!</v>
      </c>
      <c r="CE30" s="1043" t="str">
        <f t="shared" si="11"/>
        <v>S</v>
      </c>
      <c r="CF30" s="1059">
        <v>2013</v>
      </c>
      <c r="CG30" s="1043" t="s">
        <v>89</v>
      </c>
      <c r="CH30" s="1060"/>
      <c r="CI30" s="1061"/>
      <c r="CJ30" s="1062" t="str">
        <f t="shared" si="12"/>
        <v>- - -</v>
      </c>
      <c r="CK30" s="1061" t="str">
        <f t="shared" si="13"/>
        <v>- - -</v>
      </c>
      <c r="CL30" s="1063"/>
      <c r="CM30" s="1060"/>
      <c r="CN30" s="1061"/>
      <c r="CO30" s="1062"/>
      <c r="CP30" s="1061" t="str">
        <f t="shared" si="14"/>
        <v>- - -</v>
      </c>
      <c r="CQ30" s="1063"/>
      <c r="CR30" s="1064"/>
      <c r="CS30" s="1082"/>
      <c r="CT30" s="1065"/>
      <c r="CU30" s="1066" t="e">
        <f t="shared" si="15"/>
        <v>#REF!</v>
      </c>
      <c r="CV30" s="1065" t="str">
        <f t="shared" si="16"/>
        <v>/-/ /-/</v>
      </c>
      <c r="CW30" s="1066">
        <f t="shared" si="17"/>
        <v>3</v>
      </c>
      <c r="CX30" s="1065">
        <f t="shared" si="18"/>
        <v>2035</v>
      </c>
      <c r="CY30" s="1066">
        <f t="shared" si="19"/>
        <v>12</v>
      </c>
      <c r="CZ30" s="1067">
        <f t="shared" si="20"/>
        <v>2034</v>
      </c>
      <c r="DA30" s="1068">
        <f t="shared" si="21"/>
        <v>9</v>
      </c>
      <c r="DB30" s="1068">
        <f t="shared" si="22"/>
        <v>2034</v>
      </c>
      <c r="DC30" s="1047" t="e">
        <f t="shared" si="23"/>
        <v>#REF!</v>
      </c>
      <c r="DD30" s="1047" t="str">
        <f t="shared" si="24"/>
        <v>. .</v>
      </c>
      <c r="DE30" s="1047"/>
      <c r="DF30" s="1047">
        <f t="shared" si="25"/>
        <v>660</v>
      </c>
      <c r="DG30" s="1047">
        <f t="shared" si="26"/>
        <v>-23750</v>
      </c>
      <c r="DH30" s="1047">
        <f t="shared" si="27"/>
        <v>-1980</v>
      </c>
      <c r="DI30" s="1053" t="str">
        <f t="shared" si="28"/>
        <v>Nữ dưới 30</v>
      </c>
      <c r="DJ30" s="1061"/>
      <c r="DK30" s="1045"/>
      <c r="DL30" s="1043" t="str">
        <f t="shared" si="29"/>
        <v>Đến 30</v>
      </c>
      <c r="DM30" s="1078" t="str">
        <f t="shared" si="34"/>
        <v>--</v>
      </c>
      <c r="DN30" s="1045"/>
      <c r="DO30" s="1063"/>
      <c r="DP30" s="1069"/>
      <c r="DQ30" s="1070"/>
      <c r="DR30" s="1071"/>
      <c r="DS30" s="1072"/>
      <c r="DT30" s="1046"/>
      <c r="DU30" s="1049"/>
      <c r="DV30" s="1050"/>
      <c r="DW30" s="1080" t="s">
        <v>209</v>
      </c>
      <c r="DX30" s="1050" t="s">
        <v>246</v>
      </c>
      <c r="DY30" s="1073" t="s">
        <v>209</v>
      </c>
      <c r="DZ30" s="1050" t="s">
        <v>183</v>
      </c>
      <c r="EA30" s="1074" t="s">
        <v>200</v>
      </c>
      <c r="EB30" s="1049">
        <v>6</v>
      </c>
      <c r="EC30" s="1050" t="s">
        <v>200</v>
      </c>
      <c r="ED30" s="1080">
        <v>2013</v>
      </c>
      <c r="EE30" s="1050">
        <f t="shared" si="30"/>
        <v>0</v>
      </c>
      <c r="EF30" s="1073" t="str">
        <f t="shared" si="31"/>
        <v>- - -</v>
      </c>
      <c r="EG30" s="1043" t="s">
        <v>183</v>
      </c>
      <c r="EH30" s="1060" t="s">
        <v>200</v>
      </c>
      <c r="EI30" s="1075">
        <v>6</v>
      </c>
      <c r="EJ30" s="1072" t="s">
        <v>200</v>
      </c>
      <c r="EK30" s="1076">
        <v>2013</v>
      </c>
      <c r="EM30" s="1076" t="e">
        <f t="shared" si="32"/>
        <v>#REF!</v>
      </c>
      <c r="EN30" s="1076" t="str">
        <f t="shared" si="33"/>
        <v>---</v>
      </c>
    </row>
    <row r="31" spans="1:144" s="1076" customFormat="1" ht="27" customHeight="1" x14ac:dyDescent="0.2">
      <c r="A31" s="1089">
        <v>604</v>
      </c>
      <c r="B31" s="1086">
        <v>15</v>
      </c>
      <c r="C31" s="1043"/>
      <c r="D31" s="1043" t="str">
        <f t="shared" si="0"/>
        <v>Ông</v>
      </c>
      <c r="E31" s="1091" t="s">
        <v>385</v>
      </c>
      <c r="F31" s="1092" t="s">
        <v>219</v>
      </c>
      <c r="G31" s="1093" t="s">
        <v>139</v>
      </c>
      <c r="H31" s="1093" t="s">
        <v>200</v>
      </c>
      <c r="I31" s="1093" t="s">
        <v>187</v>
      </c>
      <c r="J31" s="1042" t="s">
        <v>200</v>
      </c>
      <c r="K31" s="1042">
        <v>1980</v>
      </c>
      <c r="L31" s="1042" t="s">
        <v>258</v>
      </c>
      <c r="M31" s="1042" t="s">
        <v>365</v>
      </c>
      <c r="N31" s="1042"/>
      <c r="O31" s="1042" t="e">
        <v>#N/A</v>
      </c>
      <c r="P31" s="1042"/>
      <c r="Q31" s="1091" t="e">
        <v>#N/A</v>
      </c>
      <c r="R31" s="1094" t="s">
        <v>209</v>
      </c>
      <c r="S31" s="1095" t="s">
        <v>246</v>
      </c>
      <c r="T31" s="1096" t="s">
        <v>386</v>
      </c>
      <c r="U31" s="1096" t="s">
        <v>387</v>
      </c>
      <c r="V31" s="1097" t="s">
        <v>249</v>
      </c>
      <c r="W31" s="1098" t="s">
        <v>387</v>
      </c>
      <c r="X31" s="1099" t="s">
        <v>89</v>
      </c>
      <c r="Y31" s="1100" t="s">
        <v>198</v>
      </c>
      <c r="Z31" s="1099" t="e">
        <f>VLOOKUP(Y31,#REF!,2,0)</f>
        <v>#REF!</v>
      </c>
      <c r="AA31" s="1101" t="str">
        <f t="shared" si="1"/>
        <v>Lương</v>
      </c>
      <c r="AB31" s="1102">
        <v>5</v>
      </c>
      <c r="AC31" s="1088" t="s">
        <v>200</v>
      </c>
      <c r="AD31" s="1041">
        <v>12</v>
      </c>
      <c r="AE31" s="1103">
        <v>2.37</v>
      </c>
      <c r="AF31" s="1104"/>
      <c r="AG31" s="1041"/>
      <c r="AH31" s="1105" t="s">
        <v>189</v>
      </c>
      <c r="AI31" s="1106" t="s">
        <v>200</v>
      </c>
      <c r="AJ31" s="1107" t="s">
        <v>388</v>
      </c>
      <c r="AK31" s="1108"/>
      <c r="AL31" s="1109"/>
      <c r="AM31" s="1110">
        <v>6</v>
      </c>
      <c r="AN31" s="1111" t="s">
        <v>200</v>
      </c>
      <c r="AO31" s="1112">
        <v>12</v>
      </c>
      <c r="AP31" s="1121">
        <v>2.5500000000000003</v>
      </c>
      <c r="AQ31" s="1041"/>
      <c r="AR31" s="1113">
        <f t="shared" si="35"/>
        <v>2.5500000000000003</v>
      </c>
      <c r="AS31" s="1114"/>
      <c r="AT31" s="1115" t="s">
        <v>189</v>
      </c>
      <c r="AU31" s="1116" t="s">
        <v>200</v>
      </c>
      <c r="AV31" s="1117">
        <v>2019</v>
      </c>
      <c r="AW31" s="1120"/>
      <c r="AX31" s="1060"/>
      <c r="AY31" s="1051"/>
      <c r="AZ31" s="1118"/>
      <c r="BA31" s="1048"/>
      <c r="BB31" s="1048">
        <f t="shared" si="2"/>
        <v>2</v>
      </c>
      <c r="BC31" s="1053">
        <f t="shared" si="3"/>
        <v>-2025</v>
      </c>
      <c r="BD31" s="1054">
        <f>VLOOKUP(Y31,'[1]- DLiêu Gốc -'!$B$1:$E$54,3,0)</f>
        <v>1.65</v>
      </c>
      <c r="BE31" s="1085">
        <f>VLOOKUP(Y31,'[1]- DLiêu Gốc -'!$B$1:$E$54,4,0)</f>
        <v>0.18</v>
      </c>
      <c r="BF31" s="1056" t="str">
        <f t="shared" si="4"/>
        <v>o-o-o</v>
      </c>
      <c r="BG31" s="1087"/>
      <c r="BH31" s="1084"/>
      <c r="BI31" s="1087"/>
      <c r="BJ31" s="1077"/>
      <c r="BK31" s="1052"/>
      <c r="BL31" s="1081"/>
      <c r="BM31" s="1055"/>
      <c r="BN31" s="1090"/>
      <c r="BO31" s="1056"/>
      <c r="BP31" s="1087"/>
      <c r="BQ31" s="1084"/>
      <c r="BR31" s="1087"/>
      <c r="BS31" s="1077"/>
      <c r="BT31" s="1079"/>
      <c r="BU31" s="1060"/>
      <c r="BV31" s="1119"/>
      <c r="BW31" s="1053" t="s">
        <v>138</v>
      </c>
      <c r="BX31" s="1044"/>
      <c r="BY31" s="1057" t="str">
        <f t="shared" si="5"/>
        <v>- - -</v>
      </c>
      <c r="BZ31" s="1058" t="str">
        <f t="shared" si="6"/>
        <v>- - -</v>
      </c>
      <c r="CA31" s="1047" t="str">
        <f t="shared" si="7"/>
        <v>Chánh Văn phòng Học viện, Trưởng Ban Tổ chức - Cán bộ</v>
      </c>
      <c r="CB31" s="1043" t="str">
        <f t="shared" si="8"/>
        <v>A</v>
      </c>
      <c r="CC31" s="1043" t="str">
        <f t="shared" si="9"/>
        <v>=&gt; s</v>
      </c>
      <c r="CD31" s="1083">
        <f t="shared" si="10"/>
        <v>2037</v>
      </c>
      <c r="CE31" s="1043" t="str">
        <f t="shared" si="11"/>
        <v>S</v>
      </c>
      <c r="CF31" s="1059">
        <v>2013</v>
      </c>
      <c r="CG31" s="1043" t="s">
        <v>89</v>
      </c>
      <c r="CH31" s="1060"/>
      <c r="CI31" s="1061"/>
      <c r="CJ31" s="1062" t="str">
        <f t="shared" si="12"/>
        <v>Cùg Ng</v>
      </c>
      <c r="CK31" s="1061" t="str">
        <f t="shared" si="13"/>
        <v>- - -</v>
      </c>
      <c r="CL31" s="1063"/>
      <c r="CM31" s="1060"/>
      <c r="CN31" s="1061"/>
      <c r="CO31" s="1062"/>
      <c r="CP31" s="1061" t="str">
        <f t="shared" si="14"/>
        <v>- - -</v>
      </c>
      <c r="CQ31" s="1063"/>
      <c r="CR31" s="1064"/>
      <c r="CS31" s="1082"/>
      <c r="CT31" s="1065"/>
      <c r="CU31" s="1066" t="str">
        <f>IF(AND(CV31="Hưu",AB31&lt;(AD31-1),DC31&gt;0,DC31&lt;18,OR(BG31&lt;4,AND(BG31&gt;3,OR(BZ31&lt;3,BZ31&gt;5)))),"Lg Sớm",IF(AND(CV31="Hưu",AB31&gt;(AD31-2),OR(BE31=0.33,BE31=0.34),OR(BG31&lt;4,AND(BG31&gt;3,OR(BZ31&lt;3,BZ31&gt;5)))),"Nâng Ngạch??",IF(AND(CV31="Hưu",BB31=1,DC31&gt;2,DC31&lt;6,OR(BG31&lt;4,AND(BG31&gt;3,OR(BZ31&lt;3,BZ31&gt;5)))),"Nâng PcVK cùng QĐ",IF(AND(CV31="Hưu",BG31&gt;3,BZ31&gt;2,BZ31&lt;6,AB31&lt;(AD31-1),DC31&gt;17,OR(BB31&gt;1,AND(BB31=1,OR(DC31&lt;3,DC31&gt;5)))),"Nâng PcNG cùng QĐ",IF(AND(CV31="Hưu",AB31&lt;(AD31-1),DC31&gt;0,DC31&lt;18,BG31&gt;3,BZ31&gt;2,BZ31&lt;6),"Nâng Lg Sớm +(PcNG cùng QĐ)",IF(AND(CV31="Hưu",AB31&gt;(AD31-2),OR(BE31=0.33,BE31=0.34),BG31&gt;3,BZ31&gt;2,BZ31&lt;6),"Nâng Ngạch?? +(PcNG cùng QĐ)",IF(AND(CV31="Hưu",BB31=1,DC31&gt;2,DC31&lt;6,BG31&gt;3,BZ31&gt;2,BZ31&lt;6),"Nâng (PcVK +PcNG) cùng QĐ",("---"))))))))</f>
        <v>---</v>
      </c>
      <c r="CV31" s="1065" t="str">
        <f t="shared" si="16"/>
        <v>/-/ /-/</v>
      </c>
      <c r="CW31" s="1066">
        <f t="shared" si="17"/>
        <v>9</v>
      </c>
      <c r="CX31" s="1065">
        <f t="shared" si="18"/>
        <v>2040</v>
      </c>
      <c r="CY31" s="1066">
        <f t="shared" si="19"/>
        <v>6</v>
      </c>
      <c r="CZ31" s="1067">
        <f t="shared" si="20"/>
        <v>2040</v>
      </c>
      <c r="DA31" s="1068">
        <f t="shared" si="21"/>
        <v>3</v>
      </c>
      <c r="DB31" s="1068">
        <f t="shared" si="22"/>
        <v>2040</v>
      </c>
      <c r="DC31" s="1047" t="str">
        <f t="shared" si="23"/>
        <v>- - -</v>
      </c>
      <c r="DD31" s="1047" t="str">
        <f t="shared" si="24"/>
        <v>. .</v>
      </c>
      <c r="DE31" s="1047"/>
      <c r="DF31" s="1047">
        <f t="shared" si="25"/>
        <v>720</v>
      </c>
      <c r="DG31" s="1047">
        <f t="shared" si="26"/>
        <v>-23756</v>
      </c>
      <c r="DH31" s="1047">
        <f t="shared" si="27"/>
        <v>-1980</v>
      </c>
      <c r="DI31" s="1053" t="str">
        <f t="shared" si="28"/>
        <v>Nam dưới 35</v>
      </c>
      <c r="DJ31" s="1061"/>
      <c r="DK31" s="1045"/>
      <c r="DL31" s="1043" t="str">
        <f t="shared" si="29"/>
        <v>Đến 30</v>
      </c>
      <c r="DM31" s="1078" t="str">
        <f t="shared" si="34"/>
        <v>--</v>
      </c>
      <c r="DN31" s="1045"/>
      <c r="DO31" s="1063"/>
      <c r="DP31" s="1069"/>
      <c r="DQ31" s="1070"/>
      <c r="DR31" s="1071"/>
      <c r="DS31" s="1072"/>
      <c r="DT31" s="1046"/>
      <c r="DU31" s="1049"/>
      <c r="DV31" s="1050"/>
      <c r="DW31" s="1080" t="s">
        <v>209</v>
      </c>
      <c r="DX31" s="1050" t="s">
        <v>244</v>
      </c>
      <c r="DY31" s="1073" t="s">
        <v>209</v>
      </c>
      <c r="DZ31" s="1050" t="s">
        <v>183</v>
      </c>
      <c r="EA31" s="1074" t="s">
        <v>200</v>
      </c>
      <c r="EB31" s="1049">
        <v>6</v>
      </c>
      <c r="EC31" s="1050" t="s">
        <v>200</v>
      </c>
      <c r="ED31" s="1080">
        <v>2013</v>
      </c>
      <c r="EE31" s="1050">
        <f t="shared" si="30"/>
        <v>0</v>
      </c>
      <c r="EF31" s="1073" t="str">
        <f t="shared" si="31"/>
        <v>- - -</v>
      </c>
      <c r="EG31" s="1043" t="s">
        <v>183</v>
      </c>
      <c r="EH31" s="1060" t="s">
        <v>200</v>
      </c>
      <c r="EI31" s="1075">
        <v>6</v>
      </c>
      <c r="EJ31" s="1072" t="s">
        <v>200</v>
      </c>
      <c r="EK31" s="1076">
        <v>2013</v>
      </c>
      <c r="EM31" s="1076" t="str">
        <f t="shared" si="32"/>
        <v>- - -</v>
      </c>
      <c r="EN31" s="1076" t="str">
        <f t="shared" si="33"/>
        <v>---</v>
      </c>
    </row>
    <row r="32" spans="1:144" s="1076" customFormat="1" ht="27" customHeight="1" x14ac:dyDescent="0.2">
      <c r="A32" s="1089">
        <v>720</v>
      </c>
      <c r="B32" s="1086">
        <v>16</v>
      </c>
      <c r="C32" s="1043"/>
      <c r="D32" s="1043" t="str">
        <f t="shared" si="0"/>
        <v>Bà</v>
      </c>
      <c r="E32" s="1091" t="s">
        <v>389</v>
      </c>
      <c r="F32" s="1092" t="s">
        <v>221</v>
      </c>
      <c r="G32" s="1093" t="s">
        <v>213</v>
      </c>
      <c r="H32" s="1093" t="s">
        <v>200</v>
      </c>
      <c r="I32" s="1093" t="s">
        <v>211</v>
      </c>
      <c r="J32" s="1042" t="s">
        <v>200</v>
      </c>
      <c r="K32" s="1042">
        <v>1977</v>
      </c>
      <c r="L32" s="1042" t="s">
        <v>258</v>
      </c>
      <c r="M32" s="1042" t="s">
        <v>365</v>
      </c>
      <c r="N32" s="1042" t="s">
        <v>176</v>
      </c>
      <c r="O32" s="1042" t="e">
        <v>#N/A</v>
      </c>
      <c r="P32" s="1042"/>
      <c r="Q32" s="1091" t="e">
        <v>#N/A</v>
      </c>
      <c r="R32" s="1094" t="s">
        <v>208</v>
      </c>
      <c r="S32" s="1095" t="s">
        <v>246</v>
      </c>
      <c r="T32" s="1096" t="s">
        <v>158</v>
      </c>
      <c r="U32" s="1096" t="s">
        <v>96</v>
      </c>
      <c r="V32" s="1097" t="s">
        <v>249</v>
      </c>
      <c r="W32" s="1098" t="s">
        <v>199</v>
      </c>
      <c r="X32" s="1099" t="s">
        <v>359</v>
      </c>
      <c r="Y32" s="1100" t="s">
        <v>181</v>
      </c>
      <c r="Z32" s="1099" t="e">
        <f>VLOOKUP(Y32,#REF!,2,0)</f>
        <v>#REF!</v>
      </c>
      <c r="AA32" s="1101" t="e">
        <f t="shared" si="1"/>
        <v>#REF!</v>
      </c>
      <c r="AB32" s="1102">
        <v>5</v>
      </c>
      <c r="AC32" s="1088" t="s">
        <v>200</v>
      </c>
      <c r="AD32" s="1041">
        <v>12</v>
      </c>
      <c r="AE32" s="1103">
        <v>2.66</v>
      </c>
      <c r="AF32" s="1104"/>
      <c r="AG32" s="1041"/>
      <c r="AH32" s="1105" t="s">
        <v>189</v>
      </c>
      <c r="AI32" s="1106" t="s">
        <v>200</v>
      </c>
      <c r="AJ32" s="1107" t="s">
        <v>363</v>
      </c>
      <c r="AK32" s="1108"/>
      <c r="AL32" s="1109"/>
      <c r="AM32" s="1110">
        <v>6</v>
      </c>
      <c r="AN32" s="1111" t="s">
        <v>200</v>
      </c>
      <c r="AO32" s="1112">
        <v>12</v>
      </c>
      <c r="AP32" s="1121">
        <v>2.8600000000000003</v>
      </c>
      <c r="AQ32" s="1041"/>
      <c r="AR32" s="1113" t="e">
        <f t="shared" si="35"/>
        <v>#REF!</v>
      </c>
      <c r="AS32" s="1114"/>
      <c r="AT32" s="1115" t="s">
        <v>189</v>
      </c>
      <c r="AU32" s="1116" t="s">
        <v>200</v>
      </c>
      <c r="AV32" s="1117">
        <v>2019</v>
      </c>
      <c r="AW32" s="1120"/>
      <c r="AX32" s="1060"/>
      <c r="AY32" s="1051"/>
      <c r="AZ32" s="1118"/>
      <c r="BA32" s="1048"/>
      <c r="BB32" s="1048" t="e">
        <f t="shared" si="2"/>
        <v>#REF!</v>
      </c>
      <c r="BC32" s="1053">
        <f t="shared" si="3"/>
        <v>-2025</v>
      </c>
      <c r="BD32" s="1054" t="e">
        <f>VLOOKUP(Y32,#REF!,3,0)</f>
        <v>#REF!</v>
      </c>
      <c r="BE32" s="1085" t="e">
        <f>VLOOKUP(Y32,#REF!,4,0)</f>
        <v>#REF!</v>
      </c>
      <c r="BF32" s="1056" t="str">
        <f t="shared" si="4"/>
        <v>o-o-o</v>
      </c>
      <c r="BG32" s="1087"/>
      <c r="BH32" s="1084"/>
      <c r="BI32" s="1087"/>
      <c r="BJ32" s="1077"/>
      <c r="BK32" s="1052"/>
      <c r="BL32" s="1081"/>
      <c r="BM32" s="1055"/>
      <c r="BN32" s="1090"/>
      <c r="BO32" s="1056"/>
      <c r="BP32" s="1087"/>
      <c r="BQ32" s="1084"/>
      <c r="BR32" s="1087"/>
      <c r="BS32" s="1077"/>
      <c r="BT32" s="1079"/>
      <c r="BU32" s="1060"/>
      <c r="BV32" s="1119"/>
      <c r="BW32" s="1053"/>
      <c r="BX32" s="1044"/>
      <c r="BY32" s="1057" t="str">
        <f t="shared" si="5"/>
        <v>- - -</v>
      </c>
      <c r="BZ32" s="1058" t="str">
        <f t="shared" si="6"/>
        <v>- - -</v>
      </c>
      <c r="CA32" s="1047" t="str">
        <f t="shared" si="7"/>
        <v>Chánh Văn phòng Học viện, Trưởng Ban Tổ chức - Cán bộ</v>
      </c>
      <c r="CB32" s="1043" t="str">
        <f t="shared" si="8"/>
        <v>A</v>
      </c>
      <c r="CC32" s="1043" t="e">
        <f t="shared" si="9"/>
        <v>#REF!</v>
      </c>
      <c r="CD32" s="1083" t="e">
        <f t="shared" si="10"/>
        <v>#REF!</v>
      </c>
      <c r="CE32" s="1043" t="str">
        <f t="shared" si="11"/>
        <v>---</v>
      </c>
      <c r="CF32" s="1059"/>
      <c r="CG32" s="1043"/>
      <c r="CH32" s="1060"/>
      <c r="CI32" s="1061"/>
      <c r="CJ32" s="1062" t="str">
        <f t="shared" si="12"/>
        <v>- - -</v>
      </c>
      <c r="CK32" s="1061" t="str">
        <f t="shared" si="13"/>
        <v>- - -</v>
      </c>
      <c r="CL32" s="1063"/>
      <c r="CM32" s="1060"/>
      <c r="CN32" s="1061"/>
      <c r="CO32" s="1062"/>
      <c r="CP32" s="1061" t="str">
        <f t="shared" si="14"/>
        <v>- - -</v>
      </c>
      <c r="CQ32" s="1063"/>
      <c r="CR32" s="1064"/>
      <c r="CS32" s="1082"/>
      <c r="CT32" s="1065"/>
      <c r="CU32" s="1066" t="e">
        <f>IF(AND(CV32="Hưu",AB32&lt;(AD32-1),DC32&gt;0,DC32&lt;18,OR(BG32&lt;4,AND(BG32&gt;3,OR(BZ32&lt;3,BZ32&gt;5)))),"Lg Sớm",IF(AND(CV32="Hưu",AB32&gt;(AD32-2),OR(BE32=0.33,BE32=0.34),OR(BG32&lt;4,AND(BG32&gt;3,OR(BZ32&lt;3,BZ32&gt;5)))),"Nâng Ngạch",IF(AND(CV32="Hưu",BB32=1,DC32&gt;2,DC32&lt;6,OR(BG32&lt;4,AND(BG32&gt;3,OR(BZ32&lt;3,BZ32&gt;5)))),"Nâng PcVK cùng QĐ",IF(AND(CV32="Hưu",BG32&gt;3,BZ32&gt;2,BZ32&lt;6,AB32&lt;(AD32-1),DC32&gt;17,OR(BB32&gt;1,AND(BB32=1,OR(DC32&lt;3,DC32&gt;5)))),"Nâng PcNG cùng QĐ",IF(AND(CV32="Hưu",AB32&lt;(AD32-1),DC32&gt;0,DC32&lt;18,BG32&gt;3,BZ32&gt;2,BZ32&lt;6),"Nâng Lg Sớm +(PcNG cùng QĐ)",IF(AND(CV32="Hưu",AB32&gt;(AD32-2),OR(BE32=0.33,BE32=0.34),BG32&gt;3,BZ32&gt;2,BZ32&lt;6),"Nâng Ngạch +(PcNG cùng QĐ)",IF(AND(CV32="Hưu",BB32=1,DC32&gt;2,DC32&lt;6,BG32&gt;3,BZ32&gt;2,BZ32&lt;6),"Nâng (PcVK +PcNG) cùng QĐ",("---"))))))))</f>
        <v>#REF!</v>
      </c>
      <c r="CV32" s="1065" t="str">
        <f t="shared" si="16"/>
        <v>/-/ /-/</v>
      </c>
      <c r="CW32" s="1066">
        <f t="shared" si="17"/>
        <v>12</v>
      </c>
      <c r="CX32" s="1065">
        <f t="shared" si="18"/>
        <v>2032</v>
      </c>
      <c r="CY32" s="1066">
        <f t="shared" si="19"/>
        <v>9</v>
      </c>
      <c r="CZ32" s="1067">
        <f t="shared" si="20"/>
        <v>2032</v>
      </c>
      <c r="DA32" s="1068">
        <f t="shared" si="21"/>
        <v>6</v>
      </c>
      <c r="DB32" s="1068">
        <f t="shared" si="22"/>
        <v>2032</v>
      </c>
      <c r="DC32" s="1047" t="e">
        <f t="shared" si="23"/>
        <v>#REF!</v>
      </c>
      <c r="DD32" s="1047" t="str">
        <f t="shared" si="24"/>
        <v>. .</v>
      </c>
      <c r="DE32" s="1047"/>
      <c r="DF32" s="1047">
        <f t="shared" si="25"/>
        <v>660</v>
      </c>
      <c r="DG32" s="1047">
        <f t="shared" si="26"/>
        <v>-23723</v>
      </c>
      <c r="DH32" s="1047">
        <f t="shared" si="27"/>
        <v>-1977</v>
      </c>
      <c r="DI32" s="1053" t="str">
        <f t="shared" si="28"/>
        <v>Nữ dưới 30</v>
      </c>
      <c r="DJ32" s="1061"/>
      <c r="DK32" s="1045"/>
      <c r="DL32" s="1043" t="str">
        <f t="shared" si="29"/>
        <v>Đến 30</v>
      </c>
      <c r="DM32" s="1078" t="str">
        <f t="shared" si="34"/>
        <v>--</v>
      </c>
      <c r="DN32" s="1045"/>
      <c r="DO32" s="1063"/>
      <c r="DP32" s="1069"/>
      <c r="DQ32" s="1070"/>
      <c r="DR32" s="1071"/>
      <c r="DS32" s="1072"/>
      <c r="DT32" s="1046"/>
      <c r="DU32" s="1049"/>
      <c r="DV32" s="1050"/>
      <c r="DW32" s="1080" t="s">
        <v>167</v>
      </c>
      <c r="DX32" s="1050" t="s">
        <v>243</v>
      </c>
      <c r="DY32" s="1073" t="s">
        <v>167</v>
      </c>
      <c r="DZ32" s="1050" t="s">
        <v>183</v>
      </c>
      <c r="EA32" s="1074" t="s">
        <v>200</v>
      </c>
      <c r="EB32" s="1049" t="s">
        <v>186</v>
      </c>
      <c r="EC32" s="1050" t="s">
        <v>200</v>
      </c>
      <c r="ED32" s="1080">
        <v>2013</v>
      </c>
      <c r="EE32" s="1050">
        <f t="shared" si="30"/>
        <v>0</v>
      </c>
      <c r="EF32" s="1073" t="str">
        <f t="shared" si="31"/>
        <v>- - -</v>
      </c>
      <c r="EG32" s="1043" t="s">
        <v>183</v>
      </c>
      <c r="EH32" s="1060" t="s">
        <v>200</v>
      </c>
      <c r="EI32" s="1075" t="s">
        <v>186</v>
      </c>
      <c r="EJ32" s="1072" t="s">
        <v>200</v>
      </c>
      <c r="EK32" s="1076">
        <v>2013</v>
      </c>
      <c r="EM32" s="1076" t="e">
        <f t="shared" si="32"/>
        <v>#REF!</v>
      </c>
      <c r="EN32" s="1076" t="str">
        <f t="shared" si="33"/>
        <v>---</v>
      </c>
    </row>
    <row r="33" spans="1:144" s="1076" customFormat="1" ht="27" customHeight="1" x14ac:dyDescent="0.2">
      <c r="A33" s="1089">
        <v>774</v>
      </c>
      <c r="B33" s="1086">
        <v>17</v>
      </c>
      <c r="C33" s="1043"/>
      <c r="D33" s="1043" t="str">
        <f t="shared" si="0"/>
        <v>Ông</v>
      </c>
      <c r="E33" s="1091" t="s">
        <v>390</v>
      </c>
      <c r="F33" s="1092" t="s">
        <v>219</v>
      </c>
      <c r="G33" s="1093" t="s">
        <v>133</v>
      </c>
      <c r="H33" s="1093" t="s">
        <v>200</v>
      </c>
      <c r="I33" s="1093" t="s">
        <v>391</v>
      </c>
      <c r="J33" s="1042" t="s">
        <v>200</v>
      </c>
      <c r="K33" s="1042">
        <v>1969</v>
      </c>
      <c r="L33" s="1042" t="s">
        <v>264</v>
      </c>
      <c r="M33" s="1042" t="s">
        <v>269</v>
      </c>
      <c r="N33" s="1042"/>
      <c r="O33" s="1042" t="e">
        <v>#VALUE!</v>
      </c>
      <c r="P33" s="1042" t="s">
        <v>392</v>
      </c>
      <c r="Q33" s="1091" t="s">
        <v>393</v>
      </c>
      <c r="R33" s="1094"/>
      <c r="S33" s="1095" t="s">
        <v>70</v>
      </c>
      <c r="T33" s="1096" t="s">
        <v>154</v>
      </c>
      <c r="U33" s="1096" t="s">
        <v>155</v>
      </c>
      <c r="V33" s="1097" t="s">
        <v>249</v>
      </c>
      <c r="W33" s="1098" t="s">
        <v>193</v>
      </c>
      <c r="X33" s="1099" t="s">
        <v>358</v>
      </c>
      <c r="Y33" s="1100" t="s">
        <v>262</v>
      </c>
      <c r="Z33" s="1099" t="e">
        <f>VLOOKUP(Y33,#REF!,2,0)</f>
        <v>#REF!</v>
      </c>
      <c r="AA33" s="1101" t="e">
        <f t="shared" si="1"/>
        <v>#REF!</v>
      </c>
      <c r="AB33" s="1102">
        <v>5</v>
      </c>
      <c r="AC33" s="1088" t="s">
        <v>200</v>
      </c>
      <c r="AD33" s="1041">
        <v>8</v>
      </c>
      <c r="AE33" s="1103">
        <v>5.76</v>
      </c>
      <c r="AF33" s="1104"/>
      <c r="AG33" s="1041"/>
      <c r="AH33" s="1105" t="s">
        <v>189</v>
      </c>
      <c r="AI33" s="1106" t="s">
        <v>200</v>
      </c>
      <c r="AJ33" s="1107" t="s">
        <v>363</v>
      </c>
      <c r="AK33" s="1108"/>
      <c r="AL33" s="1109"/>
      <c r="AM33" s="1110">
        <v>6</v>
      </c>
      <c r="AN33" s="1111" t="s">
        <v>200</v>
      </c>
      <c r="AO33" s="1112">
        <v>8</v>
      </c>
      <c r="AP33" s="1121">
        <v>6.1</v>
      </c>
      <c r="AQ33" s="1041"/>
      <c r="AR33" s="1113" t="e">
        <f t="shared" si="35"/>
        <v>#REF!</v>
      </c>
      <c r="AS33" s="1114"/>
      <c r="AT33" s="1115" t="s">
        <v>189</v>
      </c>
      <c r="AU33" s="1116" t="s">
        <v>200</v>
      </c>
      <c r="AV33" s="1117">
        <v>2019</v>
      </c>
      <c r="AW33" s="1120"/>
      <c r="AX33" s="1060"/>
      <c r="AY33" s="1051"/>
      <c r="AZ33" s="1118"/>
      <c r="BA33" s="1048"/>
      <c r="BB33" s="1048" t="e">
        <f t="shared" si="2"/>
        <v>#REF!</v>
      </c>
      <c r="BC33" s="1053">
        <f t="shared" si="3"/>
        <v>-2025</v>
      </c>
      <c r="BD33" s="1054" t="e">
        <f>VLOOKUP(Y33,#REF!,3,0)</f>
        <v>#REF!</v>
      </c>
      <c r="BE33" s="1085" t="e">
        <f>VLOOKUP(Y33,#REF!,4,0)</f>
        <v>#REF!</v>
      </c>
      <c r="BF33" s="1056" t="str">
        <f t="shared" si="4"/>
        <v>o-o-o</v>
      </c>
      <c r="BG33" s="1087"/>
      <c r="BH33" s="1084"/>
      <c r="BI33" s="1087"/>
      <c r="BJ33" s="1077"/>
      <c r="BK33" s="1052"/>
      <c r="BL33" s="1081"/>
      <c r="BM33" s="1055"/>
      <c r="BN33" s="1090"/>
      <c r="BO33" s="1056"/>
      <c r="BP33" s="1087"/>
      <c r="BQ33" s="1084"/>
      <c r="BR33" s="1087"/>
      <c r="BS33" s="1077"/>
      <c r="BT33" s="1079"/>
      <c r="BU33" s="1060"/>
      <c r="BV33" s="1119"/>
      <c r="BW33" s="1053"/>
      <c r="BX33" s="1044"/>
      <c r="BY33" s="1057" t="str">
        <f t="shared" si="5"/>
        <v>- - -</v>
      </c>
      <c r="BZ33" s="1058" t="str">
        <f t="shared" si="6"/>
        <v>- - -</v>
      </c>
      <c r="CA33" s="1047" t="str">
        <f t="shared" si="7"/>
        <v>Chánh Văn phòng Học viện, Trưởng Ban Tổ chức - Cán bộ, Viện Trưởng Viện Nghiên cứu Khoa học hành chính</v>
      </c>
      <c r="CB33" s="1043" t="str">
        <f t="shared" si="8"/>
        <v>A</v>
      </c>
      <c r="CC33" s="1043" t="e">
        <f t="shared" si="9"/>
        <v>#REF!</v>
      </c>
      <c r="CD33" s="1083" t="e">
        <f t="shared" si="10"/>
        <v>#REF!</v>
      </c>
      <c r="CE33" s="1043" t="str">
        <f t="shared" si="11"/>
        <v>---</v>
      </c>
      <c r="CF33" s="1059"/>
      <c r="CG33" s="1043"/>
      <c r="CH33" s="1060"/>
      <c r="CI33" s="1061"/>
      <c r="CJ33" s="1062" t="str">
        <f t="shared" si="12"/>
        <v>- - -</v>
      </c>
      <c r="CK33" s="1061" t="str">
        <f t="shared" si="13"/>
        <v>- - -</v>
      </c>
      <c r="CL33" s="1063"/>
      <c r="CM33" s="1060"/>
      <c r="CN33" s="1061"/>
      <c r="CO33" s="1062"/>
      <c r="CP33" s="1061" t="str">
        <f t="shared" si="14"/>
        <v>- - -</v>
      </c>
      <c r="CQ33" s="1063"/>
      <c r="CR33" s="1064"/>
      <c r="CS33" s="1082"/>
      <c r="CT33" s="1065"/>
      <c r="CU33" s="1066" t="e">
        <f>IF(AND(CV33="Hưu",AB33&lt;(AD33-1),DC33&gt;0,DC33&lt;18,OR(BG33&lt;4,AND(BG33&gt;3,OR(BZ33&lt;3,BZ33&gt;5)))),"Lg Sớm",IF(AND(CV33="Hưu",AB33&gt;(AD33-2),OR(BE33=0.33,BE33=0.34),OR(BG33&lt;4,AND(BG33&gt;3,OR(BZ33&lt;3,BZ33&gt;5)))),"Nâng Ngạch",IF(AND(CV33="Hưu",BB33=1,DC33&gt;2,DC33&lt;6,OR(BG33&lt;4,AND(BG33&gt;3,OR(BZ33&lt;3,BZ33&gt;5)))),"Nâng PcVK cùng QĐ",IF(AND(CV33="Hưu",BG33&gt;3,BZ33&gt;2,BZ33&lt;6,AB33&lt;(AD33-1),DC33&gt;17,OR(BB33&gt;1,AND(BB33=1,OR(DC33&lt;3,DC33&gt;5)))),"Nâng PcNG cùng QĐ",IF(AND(CV33="Hưu",AB33&lt;(AD33-1),DC33&gt;0,DC33&lt;18,BG33&gt;3,BZ33&gt;2,BZ33&lt;6),"Nâng Lg Sớm +(PcNG cùng QĐ)",IF(AND(CV33="Hưu",AB33&gt;(AD33-2),OR(BE33=0.33,BE33=0.34),BG33&gt;3,BZ33&gt;2,BZ33&lt;6),"Nâng Ngạch +(PcNG cùng QĐ)",IF(AND(CV33="Hưu",BB33=1,DC33&gt;2,DC33&lt;6,BG33&gt;3,BZ33&gt;2,BZ33&lt;6),"Nâng (PcVK +PcNG) cùng QĐ",("---"))))))))</f>
        <v>#REF!</v>
      </c>
      <c r="CV33" s="1065" t="str">
        <f t="shared" si="16"/>
        <v>/-/ /-/</v>
      </c>
      <c r="CW33" s="1066">
        <f t="shared" si="17"/>
        <v>3</v>
      </c>
      <c r="CX33" s="1065">
        <f t="shared" si="18"/>
        <v>2029</v>
      </c>
      <c r="CY33" s="1066">
        <f t="shared" si="19"/>
        <v>12</v>
      </c>
      <c r="CZ33" s="1067">
        <f t="shared" si="20"/>
        <v>2028</v>
      </c>
      <c r="DA33" s="1068">
        <f t="shared" si="21"/>
        <v>9</v>
      </c>
      <c r="DB33" s="1068">
        <f t="shared" si="22"/>
        <v>2028</v>
      </c>
      <c r="DC33" s="1047" t="e">
        <f t="shared" si="23"/>
        <v>#REF!</v>
      </c>
      <c r="DD33" s="1047" t="str">
        <f t="shared" si="24"/>
        <v>. .</v>
      </c>
      <c r="DE33" s="1047"/>
      <c r="DF33" s="1047">
        <f t="shared" si="25"/>
        <v>720</v>
      </c>
      <c r="DG33" s="1047">
        <f t="shared" si="26"/>
        <v>-23618</v>
      </c>
      <c r="DH33" s="1047">
        <f t="shared" si="27"/>
        <v>-1969</v>
      </c>
      <c r="DI33" s="1053" t="str">
        <f t="shared" si="28"/>
        <v>Nam dưới 35</v>
      </c>
      <c r="DJ33" s="1061"/>
      <c r="DK33" s="1045"/>
      <c r="DL33" s="1043" t="str">
        <f t="shared" si="29"/>
        <v>Đến 30</v>
      </c>
      <c r="DM33" s="1078" t="str">
        <f t="shared" si="34"/>
        <v>--</v>
      </c>
      <c r="DN33" s="1045"/>
      <c r="DO33" s="1063"/>
      <c r="DP33" s="1069"/>
      <c r="DQ33" s="1070"/>
      <c r="DR33" s="1071"/>
      <c r="DS33" s="1072"/>
      <c r="DT33" s="1046"/>
      <c r="DU33" s="1049"/>
      <c r="DV33" s="1050"/>
      <c r="DW33" s="1080" t="s">
        <v>209</v>
      </c>
      <c r="DX33" s="1050" t="s">
        <v>243</v>
      </c>
      <c r="DY33" s="1073" t="s">
        <v>207</v>
      </c>
      <c r="DZ33" s="1050" t="s">
        <v>183</v>
      </c>
      <c r="EA33" s="1074" t="s">
        <v>200</v>
      </c>
      <c r="EB33" s="1049" t="s">
        <v>186</v>
      </c>
      <c r="EC33" s="1050" t="s">
        <v>200</v>
      </c>
      <c r="ED33" s="1080">
        <v>2013</v>
      </c>
      <c r="EE33" s="1050">
        <f t="shared" si="30"/>
        <v>0</v>
      </c>
      <c r="EF33" s="1073" t="str">
        <f t="shared" si="31"/>
        <v>- - -</v>
      </c>
      <c r="EG33" s="1043" t="s">
        <v>183</v>
      </c>
      <c r="EH33" s="1060" t="s">
        <v>200</v>
      </c>
      <c r="EI33" s="1075" t="s">
        <v>186</v>
      </c>
      <c r="EJ33" s="1072" t="s">
        <v>200</v>
      </c>
      <c r="EK33" s="1076">
        <v>2013</v>
      </c>
      <c r="EM33" s="1076" t="e">
        <f t="shared" si="32"/>
        <v>#REF!</v>
      </c>
      <c r="EN33" s="1076" t="str">
        <f t="shared" si="33"/>
        <v>---</v>
      </c>
    </row>
    <row r="34" spans="1:144" s="1076" customFormat="1" ht="27" customHeight="1" x14ac:dyDescent="0.2">
      <c r="A34" s="1089">
        <v>775</v>
      </c>
      <c r="B34" s="1086">
        <v>18</v>
      </c>
      <c r="C34" s="1043"/>
      <c r="D34" s="1043" t="str">
        <f t="shared" si="0"/>
        <v>Ông</v>
      </c>
      <c r="E34" s="1091" t="s">
        <v>394</v>
      </c>
      <c r="F34" s="1092" t="s">
        <v>219</v>
      </c>
      <c r="G34" s="1093" t="s">
        <v>136</v>
      </c>
      <c r="H34" s="1093" t="s">
        <v>200</v>
      </c>
      <c r="I34" s="1093" t="s">
        <v>190</v>
      </c>
      <c r="J34" s="1042" t="s">
        <v>200</v>
      </c>
      <c r="K34" s="1042">
        <v>1984</v>
      </c>
      <c r="L34" s="1042" t="s">
        <v>258</v>
      </c>
      <c r="M34" s="1042" t="s">
        <v>365</v>
      </c>
      <c r="N34" s="1042"/>
      <c r="O34" s="1042" t="e">
        <v>#N/A</v>
      </c>
      <c r="P34" s="1042"/>
      <c r="Q34" s="1091" t="e">
        <v>#N/A</v>
      </c>
      <c r="R34" s="1094" t="s">
        <v>209</v>
      </c>
      <c r="S34" s="1095" t="s">
        <v>395</v>
      </c>
      <c r="T34" s="1096" t="s">
        <v>386</v>
      </c>
      <c r="U34" s="1096" t="s">
        <v>387</v>
      </c>
      <c r="V34" s="1097" t="s">
        <v>249</v>
      </c>
      <c r="W34" s="1098" t="s">
        <v>387</v>
      </c>
      <c r="X34" s="1099" t="s">
        <v>89</v>
      </c>
      <c r="Y34" s="1100" t="s">
        <v>262</v>
      </c>
      <c r="Z34" s="1099" t="e">
        <f>VLOOKUP(Y34,#REF!,2,0)</f>
        <v>#REF!</v>
      </c>
      <c r="AA34" s="1101" t="e">
        <f t="shared" si="1"/>
        <v>#REF!</v>
      </c>
      <c r="AB34" s="1102">
        <v>3</v>
      </c>
      <c r="AC34" s="1088" t="s">
        <v>200</v>
      </c>
      <c r="AD34" s="1041">
        <v>12</v>
      </c>
      <c r="AE34" s="1103">
        <v>2.41</v>
      </c>
      <c r="AF34" s="1104"/>
      <c r="AG34" s="1041"/>
      <c r="AH34" s="1105" t="s">
        <v>186</v>
      </c>
      <c r="AI34" s="1106" t="s">
        <v>200</v>
      </c>
      <c r="AJ34" s="1107" t="s">
        <v>388</v>
      </c>
      <c r="AK34" s="1108">
        <v>1</v>
      </c>
      <c r="AL34" s="1159" t="s">
        <v>396</v>
      </c>
      <c r="AM34" s="1110">
        <v>4</v>
      </c>
      <c r="AN34" s="1111" t="s">
        <v>200</v>
      </c>
      <c r="AO34" s="1112">
        <v>12</v>
      </c>
      <c r="AP34" s="1121">
        <v>2.5900000000000003</v>
      </c>
      <c r="AQ34" s="1041"/>
      <c r="AR34" s="1113" t="e">
        <f t="shared" si="35"/>
        <v>#REF!</v>
      </c>
      <c r="AS34" s="1114"/>
      <c r="AT34" s="1115" t="s">
        <v>189</v>
      </c>
      <c r="AU34" s="1116" t="s">
        <v>200</v>
      </c>
      <c r="AV34" s="1117">
        <v>2019</v>
      </c>
      <c r="AW34" s="1120"/>
      <c r="AX34" s="1060"/>
      <c r="AY34" s="1051"/>
      <c r="AZ34" s="1118"/>
      <c r="BA34" s="1048"/>
      <c r="BB34" s="1048" t="e">
        <f t="shared" si="2"/>
        <v>#REF!</v>
      </c>
      <c r="BC34" s="1053">
        <f t="shared" si="3"/>
        <v>-2023</v>
      </c>
      <c r="BD34" s="1054" t="e">
        <f>VLOOKUP(Y34,#REF!,3,0)</f>
        <v>#REF!</v>
      </c>
      <c r="BE34" s="1085" t="e">
        <f>VLOOKUP(Y34,#REF!,4,0)</f>
        <v>#REF!</v>
      </c>
      <c r="BF34" s="1056" t="str">
        <f t="shared" si="4"/>
        <v>o-o-o</v>
      </c>
      <c r="BG34" s="1087"/>
      <c r="BH34" s="1084"/>
      <c r="BI34" s="1087"/>
      <c r="BJ34" s="1077"/>
      <c r="BK34" s="1052"/>
      <c r="BL34" s="1081"/>
      <c r="BM34" s="1055"/>
      <c r="BN34" s="1090"/>
      <c r="BO34" s="1056"/>
      <c r="BP34" s="1087"/>
      <c r="BQ34" s="1084"/>
      <c r="BR34" s="1087"/>
      <c r="BS34" s="1077"/>
      <c r="BT34" s="1079"/>
      <c r="BU34" s="1060"/>
      <c r="BV34" s="1119"/>
      <c r="BW34" s="1053"/>
      <c r="BX34" s="1044"/>
      <c r="BY34" s="1057" t="str">
        <f t="shared" si="5"/>
        <v>- - -</v>
      </c>
      <c r="BZ34" s="1058" t="str">
        <f t="shared" si="6"/>
        <v>- - -</v>
      </c>
      <c r="CA34" s="1047" t="str">
        <f t="shared" si="7"/>
        <v>Chánh Văn phòng Học viện, Trưởng Ban Tổ chức - Cán bộ, Trưởng Phân viện Học viện Hành chính Quốc gia khu vực Tây Nguyên</v>
      </c>
      <c r="CB34" s="1043" t="str">
        <f t="shared" si="8"/>
        <v>A</v>
      </c>
      <c r="CC34" s="1043" t="e">
        <f t="shared" si="9"/>
        <v>#REF!</v>
      </c>
      <c r="CD34" s="1083" t="e">
        <f t="shared" si="10"/>
        <v>#REF!</v>
      </c>
      <c r="CE34" s="1043" t="str">
        <f t="shared" si="11"/>
        <v>---</v>
      </c>
      <c r="CF34" s="1059"/>
      <c r="CG34" s="1043"/>
      <c r="CH34" s="1060"/>
      <c r="CI34" s="1061"/>
      <c r="CJ34" s="1062" t="str">
        <f t="shared" si="12"/>
        <v>- - -</v>
      </c>
      <c r="CK34" s="1061" t="str">
        <f t="shared" si="13"/>
        <v>- - -</v>
      </c>
      <c r="CL34" s="1063"/>
      <c r="CM34" s="1060"/>
      <c r="CN34" s="1061"/>
      <c r="CO34" s="1062"/>
      <c r="CP34" s="1061" t="str">
        <f t="shared" si="14"/>
        <v>- - -</v>
      </c>
      <c r="CQ34" s="1063"/>
      <c r="CR34" s="1064"/>
      <c r="CS34" s="1082"/>
      <c r="CT34" s="1065"/>
      <c r="CU34" s="1066" t="e">
        <f>IF(AND(CV34="Hưu",AB34&lt;(AD34-1),DC34&gt;0,DC34&lt;18,OR(BG34&lt;4,AND(BG34&gt;3,OR(BZ34&lt;3,BZ34&gt;5)))),"Lg Sớm",IF(AND(CV34="Hưu",AB34&gt;(AD34-2),OR(BE34=0.33,BE34=0.34),OR(BG34&lt;4,AND(BG34&gt;3,OR(BZ34&lt;3,BZ34&gt;5)))),"Nâng Ngạch",IF(AND(CV34="Hưu",BB34=1,DC34&gt;2,DC34&lt;6,OR(BG34&lt;4,AND(BG34&gt;3,OR(BZ34&lt;3,BZ34&gt;5)))),"Nâng PcVK cùng QĐ",IF(AND(CV34="Hưu",BG34&gt;3,BZ34&gt;2,BZ34&lt;6,AB34&lt;(AD34-1),DC34&gt;17,OR(BB34&gt;1,AND(BB34=1,OR(DC34&lt;3,DC34&gt;5)))),"Nâng PcNG cùng QĐ",IF(AND(CV34="Hưu",AB34&lt;(AD34-1),DC34&gt;0,DC34&lt;18,BG34&gt;3,BZ34&gt;2,BZ34&lt;6),"Nâng Lg Sớm +(PcNG cùng QĐ)",IF(AND(CV34="Hưu",AB34&gt;(AD34-2),OR(BE34=0.33,BE34=0.34),BG34&gt;3,BZ34&gt;2,BZ34&lt;6),"Nâng Ngạch +(PcNG cùng QĐ)",IF(AND(CV34="Hưu",BB34=1,DC34&gt;2,DC34&lt;6,BG34&gt;3,BZ34&gt;2,BZ34&lt;6),"Nâng (PcVK +PcNG) cùng QĐ",("---"))))))))</f>
        <v>#REF!</v>
      </c>
      <c r="CV34" s="1065" t="str">
        <f t="shared" si="16"/>
        <v>/-/ /-/</v>
      </c>
      <c r="CW34" s="1066">
        <f t="shared" si="17"/>
        <v>10</v>
      </c>
      <c r="CX34" s="1065">
        <f t="shared" si="18"/>
        <v>2044</v>
      </c>
      <c r="CY34" s="1066">
        <f t="shared" si="19"/>
        <v>7</v>
      </c>
      <c r="CZ34" s="1067">
        <f t="shared" si="20"/>
        <v>2044</v>
      </c>
      <c r="DA34" s="1068">
        <f t="shared" si="21"/>
        <v>4</v>
      </c>
      <c r="DB34" s="1068">
        <f t="shared" si="22"/>
        <v>2044</v>
      </c>
      <c r="DC34" s="1047" t="e">
        <f t="shared" si="23"/>
        <v>#REF!</v>
      </c>
      <c r="DD34" s="1047" t="str">
        <f t="shared" si="24"/>
        <v>. .</v>
      </c>
      <c r="DE34" s="1047"/>
      <c r="DF34" s="1047">
        <f t="shared" si="25"/>
        <v>720</v>
      </c>
      <c r="DG34" s="1047">
        <f t="shared" si="26"/>
        <v>-23805</v>
      </c>
      <c r="DH34" s="1047">
        <f t="shared" si="27"/>
        <v>-1984</v>
      </c>
      <c r="DI34" s="1053" t="str">
        <f t="shared" si="28"/>
        <v>Nam dưới 35</v>
      </c>
      <c r="DJ34" s="1061"/>
      <c r="DK34" s="1045"/>
      <c r="DL34" s="1043" t="str">
        <f t="shared" si="29"/>
        <v>Đến 30</v>
      </c>
      <c r="DM34" s="1078" t="str">
        <f t="shared" si="34"/>
        <v>--</v>
      </c>
      <c r="DN34" s="1045"/>
      <c r="DO34" s="1063"/>
      <c r="DP34" s="1069"/>
      <c r="DQ34" s="1070"/>
      <c r="DR34" s="1071"/>
      <c r="DS34" s="1072"/>
      <c r="DT34" s="1046"/>
      <c r="DU34" s="1049"/>
      <c r="DV34" s="1050"/>
      <c r="DW34" s="1080" t="s">
        <v>209</v>
      </c>
      <c r="DX34" s="1050" t="s">
        <v>243</v>
      </c>
      <c r="DY34" s="1073" t="s">
        <v>207</v>
      </c>
      <c r="DZ34" s="1050" t="s">
        <v>183</v>
      </c>
      <c r="EA34" s="1074" t="s">
        <v>200</v>
      </c>
      <c r="EB34" s="1049" t="s">
        <v>186</v>
      </c>
      <c r="EC34" s="1050" t="s">
        <v>200</v>
      </c>
      <c r="ED34" s="1080">
        <v>2013</v>
      </c>
      <c r="EE34" s="1050">
        <f t="shared" si="30"/>
        <v>0</v>
      </c>
      <c r="EF34" s="1073" t="str">
        <f t="shared" si="31"/>
        <v>- - -</v>
      </c>
      <c r="EG34" s="1043" t="s">
        <v>183</v>
      </c>
      <c r="EH34" s="1060" t="s">
        <v>200</v>
      </c>
      <c r="EI34" s="1075" t="s">
        <v>186</v>
      </c>
      <c r="EJ34" s="1072" t="s">
        <v>200</v>
      </c>
      <c r="EK34" s="1076">
        <v>2013</v>
      </c>
      <c r="EM34" s="1076" t="e">
        <f t="shared" si="32"/>
        <v>#REF!</v>
      </c>
      <c r="EN34" s="1076" t="str">
        <f t="shared" si="33"/>
        <v>---</v>
      </c>
    </row>
    <row r="35" spans="1:144" s="1076" customFormat="1" ht="27" customHeight="1" x14ac:dyDescent="0.2">
      <c r="A35" s="1089"/>
      <c r="B35" s="1086">
        <v>19</v>
      </c>
      <c r="C35" s="1043"/>
      <c r="D35" s="1043"/>
      <c r="E35" s="1091" t="s">
        <v>397</v>
      </c>
      <c r="F35" s="1092" t="s">
        <v>221</v>
      </c>
      <c r="G35" s="1093" t="s">
        <v>139</v>
      </c>
      <c r="H35" s="1093" t="s">
        <v>200</v>
      </c>
      <c r="I35" s="1093" t="s">
        <v>211</v>
      </c>
      <c r="J35" s="1042" t="s">
        <v>200</v>
      </c>
      <c r="K35" s="1042" t="s">
        <v>398</v>
      </c>
      <c r="L35" s="1042" t="s">
        <v>264</v>
      </c>
      <c r="M35" s="1042" t="s">
        <v>269</v>
      </c>
      <c r="N35" s="1042"/>
      <c r="O35" s="1042" t="e">
        <v>#N/A</v>
      </c>
      <c r="P35" s="1042"/>
      <c r="Q35" s="1091" t="e">
        <v>#N/A</v>
      </c>
      <c r="R35" s="1094" t="s">
        <v>2</v>
      </c>
      <c r="S35" s="1095" t="s">
        <v>326</v>
      </c>
      <c r="T35" s="1096" t="s">
        <v>53</v>
      </c>
      <c r="U35" s="1096" t="s">
        <v>96</v>
      </c>
      <c r="V35" s="1097" t="s">
        <v>248</v>
      </c>
      <c r="W35" s="1098" t="s">
        <v>254</v>
      </c>
      <c r="X35" s="1099" t="s">
        <v>250</v>
      </c>
      <c r="Y35" s="1100"/>
      <c r="Z35" s="1099"/>
      <c r="AA35" s="1101"/>
      <c r="AB35" s="1102">
        <v>5</v>
      </c>
      <c r="AC35" s="1088" t="s">
        <v>200</v>
      </c>
      <c r="AD35" s="1041">
        <v>9</v>
      </c>
      <c r="AE35" s="1103">
        <v>3.66</v>
      </c>
      <c r="AF35" s="1104"/>
      <c r="AG35" s="1041"/>
      <c r="AH35" s="1105" t="s">
        <v>189</v>
      </c>
      <c r="AI35" s="1106" t="s">
        <v>200</v>
      </c>
      <c r="AJ35" s="1107" t="s">
        <v>363</v>
      </c>
      <c r="AK35" s="1108"/>
      <c r="AL35" s="1109"/>
      <c r="AM35" s="1110">
        <v>6</v>
      </c>
      <c r="AN35" s="1111" t="s">
        <v>200</v>
      </c>
      <c r="AO35" s="1112">
        <v>9</v>
      </c>
      <c r="AP35" s="1121">
        <v>3.99</v>
      </c>
      <c r="AQ35" s="1041"/>
      <c r="AR35" s="1113"/>
      <c r="AS35" s="1114"/>
      <c r="AT35" s="1115" t="s">
        <v>189</v>
      </c>
      <c r="AU35" s="1116" t="s">
        <v>200</v>
      </c>
      <c r="AV35" s="1117">
        <v>2019</v>
      </c>
      <c r="AW35" s="1120"/>
      <c r="AX35" s="1060"/>
      <c r="AY35" s="1051"/>
      <c r="AZ35" s="1118"/>
      <c r="BA35" s="1048"/>
      <c r="BB35" s="1048"/>
      <c r="BC35" s="1053"/>
      <c r="BD35" s="1054"/>
      <c r="BE35" s="1085"/>
      <c r="BF35" s="1056"/>
      <c r="BG35" s="1087"/>
      <c r="BH35" s="1084"/>
      <c r="BI35" s="1087"/>
      <c r="BJ35" s="1077"/>
      <c r="BK35" s="1052"/>
      <c r="BL35" s="1081"/>
      <c r="BM35" s="1055"/>
      <c r="BN35" s="1090"/>
      <c r="BO35" s="1056"/>
      <c r="BP35" s="1087"/>
      <c r="BQ35" s="1084"/>
      <c r="BR35" s="1087"/>
      <c r="BS35" s="1077"/>
      <c r="BT35" s="1079"/>
      <c r="BU35" s="1060"/>
      <c r="BV35" s="1119"/>
      <c r="BW35" s="1053"/>
      <c r="BX35" s="1044"/>
      <c r="BY35" s="1057"/>
      <c r="BZ35" s="1058"/>
      <c r="CA35" s="1047"/>
      <c r="CB35" s="1043"/>
      <c r="CC35" s="1043"/>
      <c r="CD35" s="1083"/>
      <c r="CE35" s="1043"/>
      <c r="CF35" s="1059"/>
      <c r="CG35" s="1043"/>
      <c r="CH35" s="1060"/>
      <c r="CI35" s="1061"/>
      <c r="CJ35" s="1062"/>
      <c r="CK35" s="1061"/>
      <c r="CL35" s="1063"/>
      <c r="CM35" s="1060"/>
      <c r="CN35" s="1061"/>
      <c r="CO35" s="1062"/>
      <c r="CP35" s="1061"/>
      <c r="CQ35" s="1063"/>
      <c r="CR35" s="1064"/>
      <c r="CS35" s="1082"/>
      <c r="CT35" s="1065"/>
      <c r="CU35" s="1066"/>
      <c r="CV35" s="1065"/>
      <c r="CW35" s="1066"/>
      <c r="CX35" s="1065"/>
      <c r="CY35" s="1066"/>
      <c r="CZ35" s="1067"/>
      <c r="DA35" s="1068"/>
      <c r="DB35" s="1068"/>
      <c r="DC35" s="1047"/>
      <c r="DD35" s="1047"/>
      <c r="DE35" s="1047"/>
      <c r="DF35" s="1047"/>
      <c r="DG35" s="1047"/>
      <c r="DH35" s="1047"/>
      <c r="DI35" s="1053"/>
      <c r="DJ35" s="1061"/>
      <c r="DK35" s="1045"/>
      <c r="DL35" s="1043"/>
      <c r="DM35" s="1078"/>
      <c r="DN35" s="1045"/>
      <c r="DO35" s="1063"/>
      <c r="DP35" s="1069"/>
      <c r="DQ35" s="1070"/>
      <c r="DR35" s="1071"/>
      <c r="DS35" s="1072"/>
      <c r="DT35" s="1046"/>
      <c r="DU35" s="1049"/>
      <c r="DV35" s="1050"/>
      <c r="DW35" s="1080"/>
      <c r="DX35" s="1050"/>
      <c r="DY35" s="1073"/>
      <c r="DZ35" s="1050"/>
      <c r="EA35" s="1074"/>
      <c r="EB35" s="1049"/>
      <c r="EC35" s="1050"/>
      <c r="ED35" s="1080"/>
      <c r="EE35" s="1050"/>
      <c r="EF35" s="1073"/>
      <c r="EG35" s="1043"/>
      <c r="EH35" s="1060"/>
      <c r="EI35" s="1075"/>
      <c r="EJ35" s="1072"/>
    </row>
    <row r="36" spans="1:144" s="1076" customFormat="1" ht="27" customHeight="1" x14ac:dyDescent="0.2">
      <c r="A36" s="1089"/>
      <c r="B36" s="1086">
        <v>20</v>
      </c>
      <c r="C36" s="1043"/>
      <c r="D36" s="1043"/>
      <c r="E36" s="1091" t="s">
        <v>399</v>
      </c>
      <c r="F36" s="1092" t="s">
        <v>221</v>
      </c>
      <c r="G36" s="1093" t="s">
        <v>212</v>
      </c>
      <c r="H36" s="1093" t="s">
        <v>200</v>
      </c>
      <c r="I36" s="1093" t="s">
        <v>210</v>
      </c>
      <c r="J36" s="1042" t="s">
        <v>200</v>
      </c>
      <c r="K36" s="1042">
        <v>1986</v>
      </c>
      <c r="L36" s="1042" t="s">
        <v>258</v>
      </c>
      <c r="M36" s="1042" t="s">
        <v>365</v>
      </c>
      <c r="N36" s="1042"/>
      <c r="O36" s="1042" t="e">
        <v>#N/A</v>
      </c>
      <c r="P36" s="1042"/>
      <c r="Q36" s="1091" t="e">
        <v>#N/A</v>
      </c>
      <c r="R36" s="1094" t="s">
        <v>400</v>
      </c>
      <c r="S36" s="1095" t="s">
        <v>326</v>
      </c>
      <c r="T36" s="1096" t="s">
        <v>53</v>
      </c>
      <c r="U36" s="1096" t="s">
        <v>96</v>
      </c>
      <c r="V36" s="1097" t="s">
        <v>249</v>
      </c>
      <c r="W36" s="1098" t="s">
        <v>181</v>
      </c>
      <c r="X36" s="1099" t="s">
        <v>87</v>
      </c>
      <c r="Y36" s="1100"/>
      <c r="Z36" s="1099"/>
      <c r="AA36" s="1101"/>
      <c r="AB36" s="1102">
        <v>3</v>
      </c>
      <c r="AC36" s="1088" t="s">
        <v>200</v>
      </c>
      <c r="AD36" s="1041">
        <v>9</v>
      </c>
      <c r="AE36" s="1103">
        <v>3</v>
      </c>
      <c r="AF36" s="1104"/>
      <c r="AG36" s="1041"/>
      <c r="AH36" s="1105" t="s">
        <v>189</v>
      </c>
      <c r="AI36" s="1106" t="s">
        <v>200</v>
      </c>
      <c r="AJ36" s="1107" t="s">
        <v>363</v>
      </c>
      <c r="AK36" s="1108"/>
      <c r="AL36" s="1109"/>
      <c r="AM36" s="1110">
        <v>4</v>
      </c>
      <c r="AN36" s="1111" t="s">
        <v>200</v>
      </c>
      <c r="AO36" s="1112">
        <v>9</v>
      </c>
      <c r="AP36" s="1121">
        <v>3.33</v>
      </c>
      <c r="AQ36" s="1041"/>
      <c r="AR36" s="1113"/>
      <c r="AS36" s="1114"/>
      <c r="AT36" s="1115" t="s">
        <v>189</v>
      </c>
      <c r="AU36" s="1116" t="s">
        <v>200</v>
      </c>
      <c r="AV36" s="1117">
        <v>2019</v>
      </c>
      <c r="AW36" s="1120"/>
      <c r="AX36" s="1060"/>
      <c r="AY36" s="1051"/>
      <c r="AZ36" s="1118"/>
      <c r="BA36" s="1048"/>
      <c r="BB36" s="1048"/>
      <c r="BC36" s="1053"/>
      <c r="BD36" s="1054"/>
      <c r="BE36" s="1085"/>
      <c r="BF36" s="1056"/>
      <c r="BG36" s="1087"/>
      <c r="BH36" s="1084"/>
      <c r="BI36" s="1087"/>
      <c r="BJ36" s="1077"/>
      <c r="BK36" s="1052"/>
      <c r="BL36" s="1081"/>
      <c r="BM36" s="1055"/>
      <c r="BN36" s="1090"/>
      <c r="BO36" s="1056"/>
      <c r="BP36" s="1087"/>
      <c r="BQ36" s="1084"/>
      <c r="BR36" s="1087"/>
      <c r="BS36" s="1077"/>
      <c r="BT36" s="1079"/>
      <c r="BU36" s="1060"/>
      <c r="BV36" s="1119"/>
      <c r="BW36" s="1053"/>
      <c r="BX36" s="1044"/>
      <c r="BY36" s="1057"/>
      <c r="BZ36" s="1058"/>
      <c r="CA36" s="1047"/>
      <c r="CB36" s="1043"/>
      <c r="CC36" s="1043"/>
      <c r="CD36" s="1083"/>
      <c r="CE36" s="1043"/>
      <c r="CF36" s="1059"/>
      <c r="CG36" s="1043"/>
      <c r="CH36" s="1060"/>
      <c r="CI36" s="1061"/>
      <c r="CJ36" s="1062"/>
      <c r="CK36" s="1061"/>
      <c r="CL36" s="1063"/>
      <c r="CM36" s="1060"/>
      <c r="CN36" s="1061"/>
      <c r="CO36" s="1062"/>
      <c r="CP36" s="1061"/>
      <c r="CQ36" s="1063"/>
      <c r="CR36" s="1064"/>
      <c r="CS36" s="1082"/>
      <c r="CT36" s="1065"/>
      <c r="CU36" s="1066"/>
      <c r="CV36" s="1065"/>
      <c r="CW36" s="1066"/>
      <c r="CX36" s="1065"/>
      <c r="CY36" s="1066"/>
      <c r="CZ36" s="1067"/>
      <c r="DA36" s="1068"/>
      <c r="DB36" s="1068"/>
      <c r="DC36" s="1047"/>
      <c r="DD36" s="1047"/>
      <c r="DE36" s="1047"/>
      <c r="DF36" s="1047"/>
      <c r="DG36" s="1047"/>
      <c r="DH36" s="1047"/>
      <c r="DI36" s="1053"/>
      <c r="DJ36" s="1061"/>
      <c r="DK36" s="1045"/>
      <c r="DL36" s="1043"/>
      <c r="DM36" s="1078"/>
      <c r="DN36" s="1045"/>
      <c r="DO36" s="1063"/>
      <c r="DP36" s="1069"/>
      <c r="DQ36" s="1070"/>
      <c r="DR36" s="1071"/>
      <c r="DS36" s="1072"/>
      <c r="DT36" s="1046"/>
      <c r="DU36" s="1049"/>
      <c r="DV36" s="1050"/>
      <c r="DW36" s="1080"/>
      <c r="DX36" s="1050"/>
      <c r="DY36" s="1073"/>
      <c r="DZ36" s="1050"/>
      <c r="EA36" s="1074"/>
      <c r="EB36" s="1049"/>
      <c r="EC36" s="1050"/>
      <c r="ED36" s="1080"/>
      <c r="EE36" s="1050"/>
      <c r="EF36" s="1073"/>
      <c r="EG36" s="1043"/>
      <c r="EH36" s="1060"/>
      <c r="EI36" s="1075"/>
      <c r="EJ36" s="1072"/>
    </row>
    <row r="37" spans="1:144" s="1076" customFormat="1" ht="27" customHeight="1" x14ac:dyDescent="0.2">
      <c r="A37" s="1089"/>
      <c r="B37" s="1086">
        <v>21</v>
      </c>
      <c r="C37" s="1043"/>
      <c r="D37" s="1043"/>
      <c r="E37" s="1091" t="s">
        <v>401</v>
      </c>
      <c r="F37" s="1092" t="s">
        <v>221</v>
      </c>
      <c r="G37" s="1093" t="s">
        <v>142</v>
      </c>
      <c r="H37" s="1093" t="s">
        <v>200</v>
      </c>
      <c r="I37" s="1093" t="s">
        <v>184</v>
      </c>
      <c r="J37" s="1042" t="s">
        <v>200</v>
      </c>
      <c r="K37" s="1042" t="s">
        <v>180</v>
      </c>
      <c r="L37" s="1042" t="s">
        <v>264</v>
      </c>
      <c r="M37" s="1042" t="s">
        <v>269</v>
      </c>
      <c r="N37" s="1042"/>
      <c r="O37" s="1042" t="e">
        <v>#VALUE!</v>
      </c>
      <c r="P37" s="1042" t="s">
        <v>118</v>
      </c>
      <c r="Q37" s="1091" t="s">
        <v>119</v>
      </c>
      <c r="R37" s="1094" t="s">
        <v>402</v>
      </c>
      <c r="S37" s="1095" t="s">
        <v>326</v>
      </c>
      <c r="T37" s="1096" t="s">
        <v>154</v>
      </c>
      <c r="U37" s="1096" t="s">
        <v>155</v>
      </c>
      <c r="V37" s="1097" t="s">
        <v>249</v>
      </c>
      <c r="W37" s="1098" t="s">
        <v>193</v>
      </c>
      <c r="X37" s="1099" t="s">
        <v>358</v>
      </c>
      <c r="Y37" s="1100"/>
      <c r="Z37" s="1099"/>
      <c r="AA37" s="1101"/>
      <c r="AB37" s="1102">
        <v>3</v>
      </c>
      <c r="AC37" s="1088" t="s">
        <v>200</v>
      </c>
      <c r="AD37" s="1041">
        <v>8</v>
      </c>
      <c r="AE37" s="1103">
        <v>5.08</v>
      </c>
      <c r="AF37" s="1104"/>
      <c r="AG37" s="1041"/>
      <c r="AH37" s="1105" t="s">
        <v>189</v>
      </c>
      <c r="AI37" s="1106" t="s">
        <v>200</v>
      </c>
      <c r="AJ37" s="1107" t="s">
        <v>363</v>
      </c>
      <c r="AK37" s="1108"/>
      <c r="AL37" s="1109"/>
      <c r="AM37" s="1110">
        <v>4</v>
      </c>
      <c r="AN37" s="1111" t="s">
        <v>200</v>
      </c>
      <c r="AO37" s="1112">
        <v>8</v>
      </c>
      <c r="AP37" s="1121">
        <v>5.42</v>
      </c>
      <c r="AQ37" s="1041"/>
      <c r="AR37" s="1113"/>
      <c r="AS37" s="1114"/>
      <c r="AT37" s="1115" t="s">
        <v>189</v>
      </c>
      <c r="AU37" s="1116" t="s">
        <v>200</v>
      </c>
      <c r="AV37" s="1117">
        <v>2019</v>
      </c>
      <c r="AW37" s="1120"/>
      <c r="AX37" s="1060"/>
      <c r="AY37" s="1051"/>
      <c r="AZ37" s="1118"/>
      <c r="BA37" s="1048"/>
      <c r="BB37" s="1048"/>
      <c r="BC37" s="1053"/>
      <c r="BD37" s="1054"/>
      <c r="BE37" s="1085"/>
      <c r="BF37" s="1056"/>
      <c r="BG37" s="1087"/>
      <c r="BH37" s="1084"/>
      <c r="BI37" s="1087"/>
      <c r="BJ37" s="1077"/>
      <c r="BK37" s="1052"/>
      <c r="BL37" s="1081"/>
      <c r="BM37" s="1055"/>
      <c r="BN37" s="1090"/>
      <c r="BO37" s="1056"/>
      <c r="BP37" s="1087"/>
      <c r="BQ37" s="1084"/>
      <c r="BR37" s="1087"/>
      <c r="BS37" s="1077"/>
      <c r="BT37" s="1079"/>
      <c r="BU37" s="1060"/>
      <c r="BV37" s="1119"/>
      <c r="BW37" s="1053"/>
      <c r="BX37" s="1044"/>
      <c r="BY37" s="1057"/>
      <c r="BZ37" s="1058"/>
      <c r="CA37" s="1047"/>
      <c r="CB37" s="1043"/>
      <c r="CC37" s="1043"/>
      <c r="CD37" s="1083"/>
      <c r="CE37" s="1043"/>
      <c r="CF37" s="1059"/>
      <c r="CG37" s="1043"/>
      <c r="CH37" s="1060"/>
      <c r="CI37" s="1061"/>
      <c r="CJ37" s="1062"/>
      <c r="CK37" s="1061"/>
      <c r="CL37" s="1063"/>
      <c r="CM37" s="1060"/>
      <c r="CN37" s="1061"/>
      <c r="CO37" s="1062"/>
      <c r="CP37" s="1061"/>
      <c r="CQ37" s="1063"/>
      <c r="CR37" s="1064"/>
      <c r="CS37" s="1082"/>
      <c r="CT37" s="1065"/>
      <c r="CU37" s="1066"/>
      <c r="CV37" s="1065"/>
      <c r="CW37" s="1066"/>
      <c r="CX37" s="1065"/>
      <c r="CY37" s="1066"/>
      <c r="CZ37" s="1067"/>
      <c r="DA37" s="1068"/>
      <c r="DB37" s="1068"/>
      <c r="DC37" s="1047"/>
      <c r="DD37" s="1047"/>
      <c r="DE37" s="1047"/>
      <c r="DF37" s="1047"/>
      <c r="DG37" s="1047"/>
      <c r="DH37" s="1047"/>
      <c r="DI37" s="1053"/>
      <c r="DJ37" s="1061"/>
      <c r="DK37" s="1045"/>
      <c r="DL37" s="1043"/>
      <c r="DM37" s="1078"/>
      <c r="DN37" s="1045"/>
      <c r="DO37" s="1063"/>
      <c r="DP37" s="1069"/>
      <c r="DQ37" s="1070"/>
      <c r="DR37" s="1071"/>
      <c r="DS37" s="1072"/>
      <c r="DT37" s="1046"/>
      <c r="DU37" s="1049"/>
      <c r="DV37" s="1050"/>
      <c r="DW37" s="1080"/>
      <c r="DX37" s="1050"/>
      <c r="DY37" s="1073"/>
      <c r="DZ37" s="1050"/>
      <c r="EA37" s="1074"/>
      <c r="EB37" s="1049"/>
      <c r="EC37" s="1050"/>
      <c r="ED37" s="1080"/>
      <c r="EE37" s="1050"/>
      <c r="EF37" s="1073"/>
      <c r="EG37" s="1043"/>
      <c r="EH37" s="1060"/>
      <c r="EI37" s="1075"/>
      <c r="EJ37" s="1072"/>
    </row>
    <row r="38" spans="1:144" s="1076" customFormat="1" ht="27" customHeight="1" x14ac:dyDescent="0.2">
      <c r="A38" s="1089">
        <v>800</v>
      </c>
      <c r="B38" s="1086">
        <v>22</v>
      </c>
      <c r="C38" s="1043"/>
      <c r="D38" s="1043" t="str">
        <f t="shared" si="0"/>
        <v>Ông</v>
      </c>
      <c r="E38" s="1091" t="s">
        <v>403</v>
      </c>
      <c r="F38" s="1092" t="s">
        <v>219</v>
      </c>
      <c r="G38" s="1093" t="s">
        <v>134</v>
      </c>
      <c r="H38" s="1093" t="s">
        <v>200</v>
      </c>
      <c r="I38" s="1093" t="s">
        <v>184</v>
      </c>
      <c r="J38" s="1042" t="s">
        <v>200</v>
      </c>
      <c r="K38" s="1042">
        <v>1979</v>
      </c>
      <c r="L38" s="1042" t="s">
        <v>258</v>
      </c>
      <c r="M38" s="1042" t="s">
        <v>365</v>
      </c>
      <c r="N38" s="1042"/>
      <c r="O38" s="1042" t="e">
        <v>#N/A</v>
      </c>
      <c r="P38" s="1042"/>
      <c r="Q38" s="1091" t="e">
        <v>#N/A</v>
      </c>
      <c r="R38" s="1094" t="s">
        <v>209</v>
      </c>
      <c r="S38" s="1095" t="s">
        <v>326</v>
      </c>
      <c r="T38" s="1096" t="s">
        <v>386</v>
      </c>
      <c r="U38" s="1096" t="s">
        <v>387</v>
      </c>
      <c r="V38" s="1097" t="s">
        <v>249</v>
      </c>
      <c r="W38" s="1098" t="s">
        <v>387</v>
      </c>
      <c r="X38" s="1099" t="s">
        <v>89</v>
      </c>
      <c r="Y38" s="1100" t="s">
        <v>196</v>
      </c>
      <c r="Z38" s="1099" t="e">
        <f>VLOOKUP(Y38,#REF!,2,0)</f>
        <v>#REF!</v>
      </c>
      <c r="AA38" s="1101" t="e">
        <f t="shared" si="1"/>
        <v>#REF!</v>
      </c>
      <c r="AB38" s="1102">
        <v>7</v>
      </c>
      <c r="AC38" s="1088" t="s">
        <v>200</v>
      </c>
      <c r="AD38" s="1041">
        <v>12</v>
      </c>
      <c r="AE38" s="1103">
        <v>2.58</v>
      </c>
      <c r="AF38" s="1104"/>
      <c r="AG38" s="1041"/>
      <c r="AH38" s="1105" t="s">
        <v>189</v>
      </c>
      <c r="AI38" s="1106" t="s">
        <v>200</v>
      </c>
      <c r="AJ38" s="1107" t="s">
        <v>388</v>
      </c>
      <c r="AK38" s="1108"/>
      <c r="AL38" s="1109"/>
      <c r="AM38" s="1110">
        <v>8</v>
      </c>
      <c r="AN38" s="1111" t="s">
        <v>200</v>
      </c>
      <c r="AO38" s="1112">
        <v>12</v>
      </c>
      <c r="AP38" s="1121">
        <v>2.7600000000000002</v>
      </c>
      <c r="AQ38" s="1041"/>
      <c r="AR38" s="1113" t="e">
        <f t="shared" si="35"/>
        <v>#REF!</v>
      </c>
      <c r="AS38" s="1114"/>
      <c r="AT38" s="1115" t="s">
        <v>189</v>
      </c>
      <c r="AU38" s="1116" t="s">
        <v>200</v>
      </c>
      <c r="AV38" s="1117">
        <v>2019</v>
      </c>
      <c r="AW38" s="1120"/>
      <c r="AX38" s="1060"/>
      <c r="AY38" s="1051"/>
      <c r="AZ38" s="1118"/>
      <c r="BA38" s="1048"/>
      <c r="BB38" s="1048" t="e">
        <f t="shared" si="2"/>
        <v>#REF!</v>
      </c>
      <c r="BC38" s="1053">
        <f t="shared" si="3"/>
        <v>-2027</v>
      </c>
      <c r="BD38" s="1054" t="e">
        <f>VLOOKUP(Y38,#REF!,3,0)</f>
        <v>#REF!</v>
      </c>
      <c r="BE38" s="1085" t="e">
        <f>VLOOKUP(Y38,#REF!,4,0)</f>
        <v>#REF!</v>
      </c>
      <c r="BF38" s="1056" t="str">
        <f t="shared" si="4"/>
        <v>o-o-o</v>
      </c>
      <c r="BG38" s="1087"/>
      <c r="BH38" s="1084"/>
      <c r="BI38" s="1087"/>
      <c r="BJ38" s="1077"/>
      <c r="BK38" s="1052"/>
      <c r="BL38" s="1081"/>
      <c r="BM38" s="1055"/>
      <c r="BN38" s="1090"/>
      <c r="BO38" s="1056"/>
      <c r="BP38" s="1087"/>
      <c r="BQ38" s="1084"/>
      <c r="BR38" s="1087"/>
      <c r="BS38" s="1077"/>
      <c r="BT38" s="1079"/>
      <c r="BU38" s="1060"/>
      <c r="BV38" s="1119"/>
      <c r="BW38" s="1053"/>
      <c r="BX38" s="1044"/>
      <c r="BY38" s="1057" t="str">
        <f t="shared" si="5"/>
        <v>- - -</v>
      </c>
      <c r="BZ38" s="1058" t="str">
        <f t="shared" si="6"/>
        <v>- - -</v>
      </c>
      <c r="CA38" s="1047" t="str">
        <f t="shared" si="7"/>
        <v>Chánh Văn phòng Học viện, Trưởng Ban Tổ chức - Cán bộ, Trưởng Phân viện Học viện Hành chính Quốc gia tại Thành phố Hồ Chí Minh</v>
      </c>
      <c r="CB38" s="1043" t="str">
        <f t="shared" si="8"/>
        <v>A</v>
      </c>
      <c r="CC38" s="1043" t="e">
        <f t="shared" si="9"/>
        <v>#REF!</v>
      </c>
      <c r="CD38" s="1083" t="e">
        <f t="shared" si="10"/>
        <v>#REF!</v>
      </c>
      <c r="CE38" s="1043" t="str">
        <f t="shared" si="11"/>
        <v>---</v>
      </c>
      <c r="CF38" s="1059"/>
      <c r="CG38" s="1043"/>
      <c r="CH38" s="1060"/>
      <c r="CI38" s="1061"/>
      <c r="CJ38" s="1062" t="str">
        <f t="shared" si="12"/>
        <v>- - -</v>
      </c>
      <c r="CK38" s="1061" t="str">
        <f t="shared" si="13"/>
        <v>- - -</v>
      </c>
      <c r="CL38" s="1063"/>
      <c r="CM38" s="1060"/>
      <c r="CN38" s="1061"/>
      <c r="CO38" s="1062"/>
      <c r="CP38" s="1061" t="str">
        <f t="shared" si="14"/>
        <v>- - -</v>
      </c>
      <c r="CQ38" s="1063"/>
      <c r="CR38" s="1064"/>
      <c r="CS38" s="1082"/>
      <c r="CT38" s="1065"/>
      <c r="CU38" s="1066" t="e">
        <f>IF(AND(CV38="Hưu",AB38&lt;(AD38-1),DC38&gt;0,DC38&lt;18,OR(BG38&lt;4,AND(BG38&gt;3,OR(BZ38&lt;3,BZ38&gt;5)))),"Lg Sớm",IF(AND(CV38="Hưu",AB38&gt;(AD38-2),OR(BE38=0.33,BE38=0.34),OR(BG38&lt;4,AND(BG38&gt;3,OR(BZ38&lt;3,BZ38&gt;5)))),"Nâng Ngạch",IF(AND(CV38="Hưu",BB38=1,DC38&gt;2,DC38&lt;6,OR(BG38&lt;4,AND(BG38&gt;3,OR(BZ38&lt;3,BZ38&gt;5)))),"Nâng PcVK cùng QĐ",IF(AND(CV38="Hưu",BG38&gt;3,BZ38&gt;2,BZ38&lt;6,AB38&lt;(AD38-1),DC38&gt;17,OR(BB38&gt;1,AND(BB38=1,OR(DC38&lt;3,DC38&gt;5)))),"Nâng PcNG cùng QĐ",IF(AND(CV38="Hưu",AB38&lt;(AD38-1),DC38&gt;0,DC38&lt;18,BG38&gt;3,BZ38&gt;2,BZ38&lt;6),"Nâng Lg Sớm +(PcNG cùng QĐ)",IF(AND(CV38="Hưu",AB38&gt;(AD38-2),OR(BE38=0.33,BE38=0.34),BG38&gt;3,BZ38&gt;2,BZ38&lt;6),"Nâng Ngạch +(PcNG cùng QĐ)",IF(AND(CV38="Hưu",BB38=1,DC38&gt;2,DC38&lt;6,BG38&gt;3,BZ38&gt;2,BZ38&lt;6),"Nâng (PcVK +PcNG) cùng QĐ",("---"))))))))</f>
        <v>#REF!</v>
      </c>
      <c r="CV38" s="1065" t="str">
        <f t="shared" si="16"/>
        <v>/-/ /-/</v>
      </c>
      <c r="CW38" s="1066">
        <f t="shared" si="17"/>
        <v>3</v>
      </c>
      <c r="CX38" s="1065">
        <f t="shared" si="18"/>
        <v>2039</v>
      </c>
      <c r="CY38" s="1066">
        <f t="shared" si="19"/>
        <v>12</v>
      </c>
      <c r="CZ38" s="1067">
        <f t="shared" si="20"/>
        <v>2038</v>
      </c>
      <c r="DA38" s="1068">
        <f t="shared" si="21"/>
        <v>9</v>
      </c>
      <c r="DB38" s="1068">
        <f t="shared" si="22"/>
        <v>2038</v>
      </c>
      <c r="DC38" s="1047" t="e">
        <f t="shared" si="23"/>
        <v>#REF!</v>
      </c>
      <c r="DD38" s="1047" t="str">
        <f t="shared" si="24"/>
        <v>. .</v>
      </c>
      <c r="DE38" s="1047"/>
      <c r="DF38" s="1047">
        <f t="shared" si="25"/>
        <v>720</v>
      </c>
      <c r="DG38" s="1047">
        <f t="shared" si="26"/>
        <v>-23738</v>
      </c>
      <c r="DH38" s="1047">
        <f t="shared" si="27"/>
        <v>-1979</v>
      </c>
      <c r="DI38" s="1053" t="str">
        <f t="shared" si="28"/>
        <v>Nam dưới 35</v>
      </c>
      <c r="DJ38" s="1061"/>
      <c r="DK38" s="1045"/>
      <c r="DL38" s="1043" t="str">
        <f t="shared" si="29"/>
        <v>Đến 30</v>
      </c>
      <c r="DM38" s="1078" t="str">
        <f t="shared" si="34"/>
        <v>--</v>
      </c>
      <c r="DN38" s="1045"/>
      <c r="DO38" s="1063"/>
      <c r="DP38" s="1069"/>
      <c r="DQ38" s="1070"/>
      <c r="DR38" s="1071"/>
      <c r="DS38" s="1072"/>
      <c r="DT38" s="1046"/>
      <c r="DU38" s="1049"/>
      <c r="DV38" s="1050"/>
      <c r="DW38" s="1080" t="s">
        <v>209</v>
      </c>
      <c r="DX38" s="1050" t="s">
        <v>243</v>
      </c>
      <c r="DY38" s="1073" t="s">
        <v>207</v>
      </c>
      <c r="DZ38" s="1050" t="s">
        <v>183</v>
      </c>
      <c r="EA38" s="1074" t="s">
        <v>200</v>
      </c>
      <c r="EB38" s="1049" t="s">
        <v>186</v>
      </c>
      <c r="EC38" s="1050" t="s">
        <v>200</v>
      </c>
      <c r="ED38" s="1080">
        <v>2013</v>
      </c>
      <c r="EE38" s="1050">
        <f t="shared" si="30"/>
        <v>0</v>
      </c>
      <c r="EF38" s="1073" t="str">
        <f t="shared" si="31"/>
        <v>- - -</v>
      </c>
      <c r="EG38" s="1043" t="s">
        <v>183</v>
      </c>
      <c r="EH38" s="1060" t="s">
        <v>200</v>
      </c>
      <c r="EI38" s="1075" t="s">
        <v>186</v>
      </c>
      <c r="EJ38" s="1072" t="s">
        <v>200</v>
      </c>
      <c r="EK38" s="1076">
        <v>2013</v>
      </c>
      <c r="EM38" s="1076" t="e">
        <f t="shared" si="32"/>
        <v>#REF!</v>
      </c>
      <c r="EN38" s="1076" t="str">
        <f t="shared" si="33"/>
        <v>---</v>
      </c>
    </row>
    <row r="39" spans="1:144" s="1076" customFormat="1" ht="27" customHeight="1" x14ac:dyDescent="0.2">
      <c r="A39" s="1089"/>
      <c r="B39" s="1086">
        <v>23</v>
      </c>
      <c r="C39" s="1043"/>
      <c r="D39" s="1043" t="s">
        <v>84</v>
      </c>
      <c r="E39" s="1091" t="s">
        <v>404</v>
      </c>
      <c r="F39" s="1092" t="s">
        <v>221</v>
      </c>
      <c r="G39" s="1093" t="s">
        <v>192</v>
      </c>
      <c r="H39" s="1093" t="s">
        <v>200</v>
      </c>
      <c r="I39" s="1093" t="s">
        <v>186</v>
      </c>
      <c r="J39" s="1042" t="s">
        <v>200</v>
      </c>
      <c r="K39" s="1042" t="s">
        <v>405</v>
      </c>
      <c r="L39" s="1042" t="s">
        <v>258</v>
      </c>
      <c r="M39" s="1042" t="s">
        <v>365</v>
      </c>
      <c r="N39" s="1042"/>
      <c r="O39" s="1042" t="e">
        <v>#N/A</v>
      </c>
      <c r="P39" s="1042"/>
      <c r="Q39" s="1091" t="e">
        <v>#N/A</v>
      </c>
      <c r="R39" s="1094" t="s">
        <v>406</v>
      </c>
      <c r="S39" s="1095" t="s">
        <v>326</v>
      </c>
      <c r="T39" s="1096" t="s">
        <v>53</v>
      </c>
      <c r="U39" s="1096" t="s">
        <v>96</v>
      </c>
      <c r="V39" s="1097" t="s">
        <v>249</v>
      </c>
      <c r="W39" s="1098" t="s">
        <v>407</v>
      </c>
      <c r="X39" s="1099" t="s">
        <v>408</v>
      </c>
      <c r="Y39" s="1100" t="s">
        <v>181</v>
      </c>
      <c r="Z39" s="1099" t="e">
        <f>VLOOKUP(Y39,#REF!,2,0)</f>
        <v>#REF!</v>
      </c>
      <c r="AA39" s="1101" t="e">
        <f t="shared" si="1"/>
        <v>#REF!</v>
      </c>
      <c r="AB39" s="1102">
        <v>3</v>
      </c>
      <c r="AC39" s="1088" t="s">
        <v>200</v>
      </c>
      <c r="AD39" s="1041">
        <v>9</v>
      </c>
      <c r="AE39" s="1103">
        <v>3</v>
      </c>
      <c r="AF39" s="1104"/>
      <c r="AG39" s="1041"/>
      <c r="AH39" s="1105" t="s">
        <v>189</v>
      </c>
      <c r="AI39" s="1106" t="s">
        <v>200</v>
      </c>
      <c r="AJ39" s="1107" t="s">
        <v>363</v>
      </c>
      <c r="AK39" s="1108"/>
      <c r="AL39" s="1109"/>
      <c r="AM39" s="1110">
        <v>4</v>
      </c>
      <c r="AN39" s="1111" t="s">
        <v>200</v>
      </c>
      <c r="AO39" s="1112">
        <v>9</v>
      </c>
      <c r="AP39" s="1121">
        <v>3.33</v>
      </c>
      <c r="AQ39" s="1041"/>
      <c r="AR39" s="1113">
        <v>3</v>
      </c>
      <c r="AS39" s="1114"/>
      <c r="AT39" s="1115">
        <v>7</v>
      </c>
      <c r="AU39" s="1116" t="s">
        <v>200</v>
      </c>
      <c r="AV39" s="1117">
        <v>2019</v>
      </c>
      <c r="AW39" s="1120"/>
      <c r="AX39" s="1060"/>
      <c r="AY39" s="1051"/>
      <c r="AZ39" s="1118"/>
      <c r="BA39" s="1048"/>
      <c r="BB39" s="1048" t="e">
        <f t="shared" si="2"/>
        <v>#REF!</v>
      </c>
      <c r="BC39" s="1053">
        <f t="shared" si="3"/>
        <v>-2023</v>
      </c>
      <c r="BD39" s="1054" t="e">
        <f>VLOOKUP(Y39,#REF!,3,0)</f>
        <v>#REF!</v>
      </c>
      <c r="BE39" s="1085" t="e">
        <f>VLOOKUP(Y39,#REF!,4,0)</f>
        <v>#REF!</v>
      </c>
      <c r="BF39" s="1056" t="str">
        <f t="shared" si="4"/>
        <v>o-o-o</v>
      </c>
      <c r="BG39" s="1087"/>
      <c r="BH39" s="1084"/>
      <c r="BI39" s="1087"/>
      <c r="BJ39" s="1077"/>
      <c r="BK39" s="1052"/>
      <c r="BL39" s="1081"/>
      <c r="BM39" s="1055"/>
      <c r="BN39" s="1090"/>
      <c r="BO39" s="1056"/>
      <c r="BP39" s="1087"/>
      <c r="BQ39" s="1084"/>
      <c r="BR39" s="1087"/>
      <c r="BS39" s="1077"/>
      <c r="BT39" s="1079"/>
      <c r="BU39" s="1060"/>
      <c r="BV39" s="1119"/>
      <c r="BW39" s="1053"/>
      <c r="BX39" s="1044"/>
      <c r="BY39" s="1057"/>
      <c r="BZ39" s="1058"/>
      <c r="CA39" s="1047"/>
      <c r="CB39" s="1043"/>
      <c r="CC39" s="1043"/>
      <c r="CD39" s="1083"/>
      <c r="CE39" s="1043"/>
      <c r="CF39" s="1059"/>
      <c r="CG39" s="1043"/>
      <c r="CH39" s="1060"/>
      <c r="CI39" s="1061"/>
      <c r="CJ39" s="1062"/>
      <c r="CK39" s="1061"/>
      <c r="CL39" s="1063"/>
      <c r="CM39" s="1060"/>
      <c r="CN39" s="1061"/>
      <c r="CO39" s="1062"/>
      <c r="CP39" s="1061"/>
      <c r="CQ39" s="1063"/>
      <c r="CR39" s="1064"/>
      <c r="CS39" s="1082"/>
      <c r="CT39" s="1065"/>
      <c r="CU39" s="1066"/>
      <c r="CV39" s="1065"/>
      <c r="CW39" s="1066"/>
      <c r="CX39" s="1065"/>
      <c r="CY39" s="1066"/>
      <c r="CZ39" s="1067"/>
      <c r="DA39" s="1068"/>
      <c r="DB39" s="1068"/>
      <c r="DC39" s="1047"/>
      <c r="DD39" s="1047"/>
      <c r="DE39" s="1047"/>
      <c r="DF39" s="1047"/>
      <c r="DG39" s="1047"/>
      <c r="DH39" s="1047"/>
      <c r="DI39" s="1053"/>
      <c r="DJ39" s="1061"/>
      <c r="DK39" s="1045"/>
      <c r="DL39" s="1043"/>
      <c r="DM39" s="1078"/>
      <c r="DN39" s="1045"/>
      <c r="DO39" s="1063"/>
      <c r="DP39" s="1069"/>
      <c r="DQ39" s="1070"/>
      <c r="DR39" s="1071"/>
      <c r="DS39" s="1072"/>
      <c r="DT39" s="1046"/>
      <c r="DU39" s="1049"/>
      <c r="DV39" s="1050"/>
      <c r="DW39" s="1080"/>
      <c r="DX39" s="1050"/>
      <c r="DY39" s="1073"/>
      <c r="DZ39" s="1050"/>
      <c r="EA39" s="1074"/>
      <c r="EB39" s="1049"/>
      <c r="EC39" s="1050"/>
      <c r="ED39" s="1080"/>
      <c r="EE39" s="1050"/>
      <c r="EF39" s="1073"/>
      <c r="EG39" s="1043"/>
      <c r="EH39" s="1060"/>
      <c r="EI39" s="1075"/>
      <c r="EJ39" s="1072"/>
    </row>
    <row r="40" spans="1:144" s="1076" customFormat="1" ht="26.25" customHeight="1" x14ac:dyDescent="0.2">
      <c r="A40" s="1089"/>
      <c r="B40" s="593" t="s">
        <v>217</v>
      </c>
      <c r="C40" s="1057"/>
      <c r="D40" s="1057"/>
      <c r="E40" s="1188" t="s">
        <v>409</v>
      </c>
      <c r="F40" s="1189"/>
      <c r="G40" s="1189"/>
      <c r="H40" s="1189"/>
      <c r="I40" s="1189"/>
      <c r="J40" s="1189"/>
      <c r="K40" s="1189"/>
      <c r="L40" s="1189"/>
      <c r="M40" s="1189"/>
      <c r="N40" s="1189"/>
      <c r="O40" s="1189"/>
      <c r="P40" s="1189"/>
      <c r="Q40" s="1189"/>
      <c r="R40" s="1189"/>
      <c r="S40" s="1190"/>
      <c r="T40" s="1096"/>
      <c r="U40" s="1096"/>
      <c r="V40" s="1097"/>
      <c r="W40" s="1098"/>
      <c r="X40" s="1099"/>
      <c r="Y40" s="1100"/>
      <c r="Z40" s="1099"/>
      <c r="AA40" s="1101"/>
      <c r="AB40" s="1102"/>
      <c r="AC40" s="1088"/>
      <c r="AD40" s="1041"/>
      <c r="AE40" s="1103"/>
      <c r="AF40" s="1104"/>
      <c r="AG40" s="1041"/>
      <c r="AH40" s="1105"/>
      <c r="AI40" s="1106"/>
      <c r="AJ40" s="1107"/>
      <c r="AK40" s="1108"/>
      <c r="AL40" s="1109"/>
      <c r="AM40" s="1110"/>
      <c r="AN40" s="1111"/>
      <c r="AO40" s="1112"/>
      <c r="AP40" s="1121"/>
      <c r="AQ40" s="1041"/>
      <c r="AR40" s="1113"/>
      <c r="AS40" s="1114"/>
      <c r="AT40" s="1115"/>
      <c r="AU40" s="1116"/>
      <c r="AV40" s="1117"/>
      <c r="AW40" s="1120"/>
      <c r="AX40" s="1060"/>
      <c r="AY40" s="1051"/>
      <c r="AZ40" s="1118"/>
      <c r="BA40" s="1048"/>
      <c r="BB40" s="1048"/>
      <c r="BC40" s="1053"/>
      <c r="BD40" s="1054"/>
      <c r="BE40" s="1085"/>
      <c r="BF40" s="1056"/>
      <c r="BG40" s="1087"/>
      <c r="BH40" s="1084"/>
      <c r="BI40" s="1087"/>
      <c r="BJ40" s="1077"/>
      <c r="BK40" s="1052"/>
      <c r="BL40" s="1081"/>
      <c r="BM40" s="1055"/>
      <c r="BN40" s="1090"/>
      <c r="BO40" s="1056"/>
      <c r="BP40" s="1087"/>
      <c r="BQ40" s="1084"/>
      <c r="BR40" s="1087"/>
      <c r="BS40" s="1077"/>
      <c r="BT40" s="1079"/>
      <c r="BU40" s="1060"/>
      <c r="BV40" s="1119"/>
      <c r="BW40" s="1053"/>
      <c r="BX40" s="1044"/>
      <c r="BY40" s="1057"/>
      <c r="BZ40" s="1058"/>
      <c r="CA40" s="1047"/>
      <c r="CB40" s="1043"/>
      <c r="CC40" s="1043"/>
      <c r="CD40" s="1083"/>
      <c r="CE40" s="1043"/>
      <c r="CF40" s="1059"/>
      <c r="CG40" s="1043"/>
      <c r="CH40" s="1060"/>
      <c r="CI40" s="1061"/>
      <c r="CJ40" s="1062"/>
      <c r="CK40" s="1061"/>
      <c r="CL40" s="1063"/>
      <c r="CM40" s="1060"/>
      <c r="CN40" s="1061"/>
      <c r="CO40" s="1062"/>
      <c r="CP40" s="1061"/>
      <c r="CQ40" s="1063"/>
      <c r="CR40" s="1064"/>
      <c r="CS40" s="1082"/>
      <c r="CT40" s="1065"/>
      <c r="CU40" s="1066"/>
      <c r="CV40" s="1065"/>
      <c r="CW40" s="1066"/>
      <c r="CX40" s="1065"/>
      <c r="CY40" s="1066"/>
      <c r="CZ40" s="1067"/>
      <c r="DA40" s="1068"/>
      <c r="DB40" s="1068"/>
      <c r="DC40" s="1047"/>
      <c r="DD40" s="1047"/>
      <c r="DE40" s="1047"/>
      <c r="DF40" s="1047"/>
      <c r="DG40" s="1047"/>
      <c r="DH40" s="1047"/>
      <c r="DI40" s="1053"/>
      <c r="DJ40" s="1061"/>
      <c r="DK40" s="1045"/>
      <c r="DL40" s="1043"/>
      <c r="DM40" s="1078"/>
      <c r="DN40" s="1045"/>
      <c r="DO40" s="1063"/>
      <c r="DP40" s="1069"/>
      <c r="DQ40" s="1070"/>
      <c r="DR40" s="1071"/>
      <c r="DS40" s="1072"/>
      <c r="DT40" s="1046"/>
      <c r="DU40" s="1049"/>
      <c r="DV40" s="1050"/>
      <c r="DW40" s="1080"/>
      <c r="DX40" s="1050"/>
      <c r="DY40" s="1073"/>
      <c r="DZ40" s="1050"/>
      <c r="EA40" s="1074"/>
      <c r="EB40" s="1049"/>
      <c r="EC40" s="1050"/>
      <c r="ED40" s="1080"/>
      <c r="EE40" s="1050"/>
      <c r="EF40" s="1073"/>
      <c r="EG40" s="1043"/>
      <c r="EH40" s="1060"/>
      <c r="EI40" s="1075"/>
      <c r="EJ40" s="1072"/>
    </row>
    <row r="41" spans="1:144" s="1076" customFormat="1" ht="27" customHeight="1" x14ac:dyDescent="0.2">
      <c r="A41" s="1089">
        <v>240</v>
      </c>
      <c r="B41" s="1086">
        <v>24</v>
      </c>
      <c r="C41" s="1043"/>
      <c r="D41" s="1043" t="str">
        <f t="shared" ref="D41" si="36">IF(F41="Nam","Ông","Bà")</f>
        <v>Bà</v>
      </c>
      <c r="E41" s="578" t="s">
        <v>410</v>
      </c>
      <c r="F41" s="579" t="s">
        <v>221</v>
      </c>
      <c r="G41" s="580" t="s">
        <v>411</v>
      </c>
      <c r="H41" s="580" t="s">
        <v>200</v>
      </c>
      <c r="I41" s="580" t="s">
        <v>210</v>
      </c>
      <c r="J41" s="581" t="s">
        <v>200</v>
      </c>
      <c r="K41" s="581">
        <v>1967</v>
      </c>
      <c r="L41" s="581" t="s">
        <v>264</v>
      </c>
      <c r="M41" s="581" t="str">
        <f>IF(L41="công chức","CC",IF(L41="viên chức","VC",IF(L41="người lao động","NLĐ","- - -")))</f>
        <v>VC</v>
      </c>
      <c r="N41" s="581"/>
      <c r="O41" s="581" t="e">
        <f>IF(AND((Q41+0)&gt;0.3,(Q41+0)&lt;1.5),"CVụ","- -")</f>
        <v>#VALUE!</v>
      </c>
      <c r="P41" s="581" t="s">
        <v>118</v>
      </c>
      <c r="Q41" s="578" t="str">
        <f>VLOOKUP(P41,'[2]- DLiêu Gốc (Không sửa)'!$C$2:$H$116,2,0)</f>
        <v>0,4</v>
      </c>
      <c r="R41" s="646" t="s">
        <v>209</v>
      </c>
      <c r="S41" s="582" t="s">
        <v>326</v>
      </c>
      <c r="T41" s="583" t="str">
        <f>VLOOKUP(Y41,'[3]- DLiêu Gốc -'!$C$2:$H$60,5,0)</f>
        <v>A2</v>
      </c>
      <c r="U41" s="583" t="str">
        <f>VLOOKUP(Y41,'[3]- DLiêu Gốc -'!$C$2:$H$60,6,0)</f>
        <v>A2.1</v>
      </c>
      <c r="V41" s="735" t="s">
        <v>249</v>
      </c>
      <c r="W41" s="736" t="s">
        <v>181</v>
      </c>
      <c r="X41" s="1099" t="s">
        <v>87</v>
      </c>
      <c r="Y41" s="1100" t="s">
        <v>255</v>
      </c>
      <c r="Z41" s="1099" t="e">
        <f>VLOOKUP(Y41,#REF!,2,0)</f>
        <v>#REF!</v>
      </c>
      <c r="AA41" s="1101" t="e">
        <f t="shared" ref="AA41" si="37">IF(OR(AND(BC41=36,BB41=3),AND(BC41=24,BB41=2),AND(BC41=12,BB41=1)),"Đến $",IF(OR(AND(BC41&gt;36,BB41=3),AND(BC41&gt;24,BB41=2),AND(BC41&gt;12,BB41=1)),"Dừng $","Lương"))</f>
        <v>#REF!</v>
      </c>
      <c r="AB41" s="572">
        <v>9</v>
      </c>
      <c r="AC41" s="1088" t="s">
        <v>200</v>
      </c>
      <c r="AD41" s="1041">
        <v>9</v>
      </c>
      <c r="AE41" s="584">
        <v>4.9800000000000004</v>
      </c>
      <c r="AF41" s="1104"/>
      <c r="AG41" s="1160">
        <v>0.09</v>
      </c>
      <c r="AH41" s="1107">
        <v>7</v>
      </c>
      <c r="AI41" s="1106" t="s">
        <v>200</v>
      </c>
      <c r="AJ41" s="1109">
        <v>2018</v>
      </c>
      <c r="AK41" s="1108"/>
      <c r="AL41" s="1109"/>
      <c r="AM41" s="1110"/>
      <c r="AN41" s="1111"/>
      <c r="AO41" s="1112"/>
      <c r="AP41" s="1104">
        <v>10</v>
      </c>
      <c r="AQ41" s="1041" t="str">
        <f>IF(AN41=AL41,"%",IF(AN41&gt;AL41,"/"))</f>
        <v>%</v>
      </c>
      <c r="AR41" s="1113">
        <f>IF(AND(AD41=AB41,AF41=0),5,IF(AND(AD41=AB41,AF41&gt;4),AF41+1,IF(AD41&gt;AB41,AD41)))</f>
        <v>5</v>
      </c>
      <c r="AS41" s="1114" t="str">
        <f>IF(AD41=AB41,"%",IF(AD41&gt;AB41,AE41+BE41))</f>
        <v>%</v>
      </c>
      <c r="AT41" s="1117">
        <v>7</v>
      </c>
      <c r="AU41" s="1116" t="s">
        <v>200</v>
      </c>
      <c r="AV41" s="1060">
        <v>2019</v>
      </c>
      <c r="AW41" s="1120"/>
      <c r="AX41" s="1060"/>
      <c r="AY41" s="1051"/>
      <c r="AZ41" s="1118"/>
      <c r="BA41" s="1048"/>
      <c r="BB41" s="1048" t="e">
        <f t="shared" ref="BB41" si="38">IF(AND(AD41&gt;AB41,OR(BE41=0.18,BE41=0.2)),2,IF(AND(AD41&gt;AB41,OR(BE41=0.31,BE41=0.33,BE41=0.34,BE41=0.36)),3,IF(AD41=AB41,1)))</f>
        <v>#REF!</v>
      </c>
      <c r="BC41" s="1053">
        <f t="shared" ref="BC41" si="39">12*($AA$2-AX41)+($AA$3-AV41)-AM41</f>
        <v>-2019</v>
      </c>
      <c r="BD41" s="1054" t="e">
        <f>VLOOKUP(Y41,#REF!,3,0)</f>
        <v>#REF!</v>
      </c>
      <c r="BE41" s="1085" t="e">
        <f>VLOOKUP(Y41,#REF!,4,0)</f>
        <v>#REF!</v>
      </c>
      <c r="BF41" s="1056" t="str">
        <f t="shared" ref="BF41" si="40">IF(AND(BG41&gt;3,BY41=12),"Đến %",IF(AND(BG41&gt;3,BY41&gt;12,BY41&lt;120),"Dừng %",IF(AND(BG41&gt;3,BY41&lt;12),"PCTN","o-o-o")))</f>
        <v>PCTN</v>
      </c>
      <c r="BG41" s="1087">
        <v>21</v>
      </c>
      <c r="BH41" s="1084" t="s">
        <v>178</v>
      </c>
      <c r="BI41" s="1087" t="s">
        <v>183</v>
      </c>
      <c r="BJ41" s="1077" t="s">
        <v>200</v>
      </c>
      <c r="BK41" s="1052">
        <v>11</v>
      </c>
      <c r="BL41" s="1081" t="s">
        <v>200</v>
      </c>
      <c r="BM41" s="1055">
        <v>2017</v>
      </c>
      <c r="BN41" s="1090"/>
      <c r="BO41" s="1056"/>
      <c r="BP41" s="1087">
        <f>IF(BG41&gt;3,BG41+1,0)</f>
        <v>22</v>
      </c>
      <c r="BQ41" s="1084" t="s">
        <v>178</v>
      </c>
      <c r="BR41" s="1087" t="s">
        <v>183</v>
      </c>
      <c r="BS41" s="1077" t="s">
        <v>200</v>
      </c>
      <c r="BT41" s="1079">
        <v>11</v>
      </c>
      <c r="BU41" s="1060" t="s">
        <v>200</v>
      </c>
      <c r="BV41" s="1119">
        <v>2018</v>
      </c>
      <c r="BW41" s="1053"/>
      <c r="BX41" s="1044"/>
      <c r="BY41" s="1057">
        <f t="shared" ref="BY41" si="41">IF(BG41&gt;3,(($BF$2-BV41)*12+($BF$3-BT41)-BN41),"- - -")</f>
        <v>-24227</v>
      </c>
      <c r="BZ41" s="1058" t="str">
        <f t="shared" ref="BZ41" si="42">IF(AND(CV41="Hưu",BG41&gt;3),12-(12*(DB41-BV41)+(DA41-BT41))-BN41,"- - -")</f>
        <v>- - -</v>
      </c>
      <c r="CA41" s="1047" t="str">
        <f t="shared" ref="CA41" si="43">IF(OR(S41="Ban Tổ chức - Cán bộ",S41="Văn phòng Học viện",S41="Phó Giám đốc Thường trực Học viện",S41="Phó Giám đốc Học viện"),"Chánh Văn phòng Học viện, Trưởng Ban Tổ chức - Cán bộ",IF(OR(S41="Trung tâm Ngoại ngữ",S41="Trung tâm Tin học hành chính và Công nghệ thông tin",S41="Trung tâm Tin học - Thư viện",S41="Phân viện khu vực Tây Nguyên"),"Chánh Văn phòng Học viện, Trưởng Ban Tổ chức - Cán bộ, "&amp;CONCATENATE("Giám đốc ",S41),IF(S41="Tạp chí Quản lý nhà nước","Chánh Văn phòng Học viện, Trưởng Ban Tổ chức - Cán bộ, "&amp;CONCATENATE("Tổng Biên tập ",S41),IF(S41="Văn phòng Đảng uỷ Học viện","Chánh Văn phòng Học viện, Trưởng Ban Tổ chức - Cán bộ, "&amp;CONCATENATE("Chánh",S41),IF(S41="Viện Nghiên cứu Khoa học hành chính","Chánh Văn phòng Học viện, Trưởng Ban Tổ chức - Cán bộ, "&amp;CONCATENATE("Viện Trưởng ",S41),IF(OR(S41="Cơ sở Học viện Hành chính Quốc gia khu vực miền Trung",S41="Cơ sở Học viện Hành chính Quốc gia tại Thành phố Hồ Chí Minh"),"Chánh Văn phòng Học viện, Trưởng Ban Tổ chức - Cán bộ, "&amp;CONCATENATE("Thủ trưởng ",S41),"Chánh Văn phòng Học viện, Trưởng Ban Tổ chức - Cán bộ, "&amp;CONCATENATE("Trưởng ",S41)))))))</f>
        <v>Chánh Văn phòng Học viện, Trưởng Ban Tổ chức - Cán bộ, Trưởng Phân viện Học viện Hành chính Quốc gia tại Thành phố Hồ Chí Minh</v>
      </c>
      <c r="CB41" s="1043" t="str">
        <f t="shared" ref="CB41" si="44">IF(S41="Cơ sở Học viện Hành chính khu vực miền Trung","B",IF(S41="Phân viện Khu vực Tây Nguyên","C",IF(S41="Cơ sở Học viện Hành chính tại thành phố Hồ Chí Minh","D","A")))</f>
        <v>A</v>
      </c>
      <c r="CC41" s="1043" t="e">
        <f t="shared" ref="CC41" si="45">IF(AND(AO41&gt;0,AB41&lt;(AD41-1),CD41&gt;0,CD41&lt;13,OR(AND(CJ41="Cùg Ng",($CC$2-CF41)&gt;BB41),CJ41="- - -")),"Sớm TT","=&gt; s")</f>
        <v>#REF!</v>
      </c>
      <c r="CD41" s="1083" t="e">
        <f t="shared" ref="CD41" si="46">IF(BB41=3,36-(12*($CC$2-AX41)+(12-AV41)-AM41),IF(BB41=2,24-(12*($CC$2-AX41)+(12-AV41)-AM41),"---"))</f>
        <v>#REF!</v>
      </c>
      <c r="CE41" s="1043" t="str">
        <f t="shared" ref="CE41" si="47">IF(CF41&gt;1,"S","---")</f>
        <v>S</v>
      </c>
      <c r="CF41" s="1059">
        <v>2015</v>
      </c>
      <c r="CG41" s="1043"/>
      <c r="CH41" s="1060"/>
      <c r="CI41" s="1061"/>
      <c r="CJ41" s="1062" t="str">
        <f t="shared" ref="CJ41" si="48">IF(X41=CG41,"Cùg Ng","- - -")</f>
        <v>- - -</v>
      </c>
      <c r="CK41" s="1061" t="str">
        <f t="shared" ref="CK41" si="49">IF(CM41&gt;2000,"NN","- - -")</f>
        <v>- - -</v>
      </c>
      <c r="CL41" s="1063"/>
      <c r="CM41" s="1060"/>
      <c r="CN41" s="1061"/>
      <c r="CO41" s="1062"/>
      <c r="CP41" s="1061" t="str">
        <f t="shared" ref="CP41" si="50">IF(CR41&gt;2000,"CN","- - -")</f>
        <v>- - -</v>
      </c>
      <c r="CQ41" s="1063"/>
      <c r="CR41" s="1064"/>
      <c r="CS41" s="1082"/>
      <c r="CT41" s="1065"/>
      <c r="CU41" s="1066" t="e">
        <f t="shared" ref="CU41" si="51">IF(AND(CV41="Hưu",AB41&lt;(AD41-1),DC41&gt;0,DC41&lt;18,OR(BG41&lt;4,AND(BG41&gt;3,OR(BZ41&lt;3,BZ41&gt;5)))),"Lg Sớm",IF(AND(CV41="Hưu",AB41&gt;(AD41-2),OR(BE41=0.33,BE41=0.34),OR(BG41&lt;4,AND(BG41&gt;3,OR(BZ41&lt;3,BZ41&gt;5)))),"Nâng Ngạch",IF(AND(CV41="Hưu",BB41=1,DC41&gt;2,DC41&lt;6,OR(BG41&lt;4,AND(BG41&gt;3,OR(BZ41&lt;3,BZ41&gt;5)))),"Nâng PcVK cùng QĐ",IF(AND(CV41="Hưu",BG41&gt;3,BZ41&gt;2,BZ41&lt;6,AB41&lt;(AD41-1),DC41&gt;17,OR(BB41&gt;1,AND(BB41=1,OR(DC41&lt;3,DC41&gt;5)))),"Nâng PcNG cùng QĐ",IF(AND(CV41="Hưu",AB41&lt;(AD41-1),DC41&gt;0,DC41&lt;18,BG41&gt;3,BZ41&gt;2,BZ41&lt;6),"Nâng Lg Sớm +(PcNG cùng QĐ)",IF(AND(CV41="Hưu",AB41&gt;(AD41-2),OR(BE41=0.33,BE41=0.34),BG41&gt;3,BZ41&gt;2,BZ41&lt;6),"Nâng Ngạch +(PcNG cùng QĐ)",IF(AND(CV41="Hưu",BB41=1,DC41&gt;2,DC41&lt;6,BG41&gt;3,BZ41&gt;2,BZ41&lt;6),"Nâng (PcVK +PcNG) cùng QĐ",("---"))))))))</f>
        <v>#REF!</v>
      </c>
      <c r="CV41" s="1065" t="str">
        <f t="shared" ref="CV41" si="52">IF(AND(DG41&gt;DF41,DG41&lt;(DF41+13)),"Hưu",IF(AND(DG41&gt;(DF41+12),DG41&lt;1000),"Quá","/-/ /-/"))</f>
        <v>/-/ /-/</v>
      </c>
      <c r="CW41" s="1066">
        <f t="shared" ref="CW41" si="53">IF((I41+0)&lt;12,(I41+0)+1,IF((I41+0)=12,1,IF((I41+0)&gt;12,(I41+0)-12)))</f>
        <v>11</v>
      </c>
      <c r="CX41" s="1065">
        <f t="shared" ref="CX41" si="54">IF(OR((I41+0)=12,(I41+0)&gt;12),K41+DF41/12+1,IF(AND((I41+0)&gt;0,(I41+0)&lt;12),K41+DF41/12,"---"))</f>
        <v>2022</v>
      </c>
      <c r="CY41" s="1066">
        <f t="shared" ref="CY41" si="55">IF(AND(CW41&gt;3,CW41&lt;13),CW41-3,IF(CW41&lt;4,CW41-3+12))</f>
        <v>8</v>
      </c>
      <c r="CZ41" s="1067">
        <f t="shared" ref="CZ41" si="56">IF(CY41&lt;CW41,CX41,IF(CY41&gt;CW41,CX41-1))</f>
        <v>2022</v>
      </c>
      <c r="DA41" s="1068">
        <f t="shared" ref="DA41" si="57">IF(CW41&gt;6,CW41-6,IF(CW41=6,12,IF(CW41&lt;6,CW41+6)))</f>
        <v>5</v>
      </c>
      <c r="DB41" s="1068">
        <f t="shared" ref="DB41" si="58">IF(CW41&gt;6,CX41,IF(CW41&lt;7,CX41-1))</f>
        <v>2022</v>
      </c>
      <c r="DC41" s="1047" t="e">
        <f t="shared" ref="DC41" si="59">IF(AND(CV41="Hưu",BB41=3),36+AM41-(12*(DB41-AX41)+(DA41-AV41)),IF(AND(CV41="Hưu",BB41=2),24+AM41-(12*(DB41-AX41)+(DA41-AV41)),IF(AND(CV41="Hưu",BB41=1),12+AM41-(12*(DB41-AX41)+(DA41-AV41)),"- - -")))</f>
        <v>#REF!</v>
      </c>
      <c r="DD41" s="1047" t="str">
        <f t="shared" ref="DD41" si="60">IF(DE41&gt;0,"K.Dài",". .")</f>
        <v>. .</v>
      </c>
      <c r="DE41" s="1047"/>
      <c r="DF41" s="1047">
        <f t="shared" ref="DF41" si="61">IF(F41="Nam",(60+DE41)*12,IF(F41="Nữ",(55+DE41)*12,))</f>
        <v>660</v>
      </c>
      <c r="DG41" s="1047">
        <f t="shared" ref="DG41" si="62">12*($CV$4-K41)+(12-I41)</f>
        <v>-23602</v>
      </c>
      <c r="DH41" s="1047">
        <f t="shared" ref="DH41" si="63">$DL$4-K41</f>
        <v>-1967</v>
      </c>
      <c r="DI41" s="1053" t="str">
        <f t="shared" ref="DI41" si="64">IF(AND(DH41&lt;35,F41="Nam"),"Nam dưới 35",IF(AND(DH41&lt;30,F41="Nữ"),"Nữ dưới 30",IF(AND(DH41&gt;34,DH41&lt;46,F41="Nam"),"Nam từ 35 - 45",IF(AND(DH41&gt;29,DH41&lt;41,F41="Nữ"),"Nữ từ 30 - 40",IF(AND(DH41&gt;45,DH41&lt;56,F41="Nam"),"Nam trên 45 - 55",IF(AND(DH41&gt;40,DH41&lt;51,F41="Nữ"),"Nữ trên 40 - 50",IF(AND(DH41&gt;55,F41="Nam"),"Nam trên 55","Nữ trên 50")))))))</f>
        <v>Nữ dưới 30</v>
      </c>
      <c r="DJ41" s="1061"/>
      <c r="DK41" s="1045"/>
      <c r="DL41" s="1043" t="str">
        <f t="shared" ref="DL41" si="65">IF(DH41&lt;31,"Đến 30",IF(AND(DH41&gt;30,DH41&lt;46),"31 - 45",IF(AND(DH41&gt;45,DH41&lt;70),"Trên 45")))</f>
        <v>Đến 30</v>
      </c>
      <c r="DM41" s="1078" t="str">
        <f t="shared" ref="DM41" si="66">IF(DN41&gt;0,"TD","--")</f>
        <v>--</v>
      </c>
      <c r="DN41" s="1045"/>
      <c r="DO41" s="1063"/>
      <c r="DP41" s="1069"/>
      <c r="DQ41" s="1070"/>
      <c r="DR41" s="1071"/>
      <c r="DS41" s="1072"/>
      <c r="DT41" s="1046"/>
      <c r="DU41" s="1049"/>
      <c r="DV41" s="1050"/>
      <c r="DW41" s="1080"/>
      <c r="DX41" s="1050" t="s">
        <v>68</v>
      </c>
      <c r="DY41" s="1073"/>
      <c r="DZ41" s="1050" t="s">
        <v>183</v>
      </c>
      <c r="EA41" s="1074" t="s">
        <v>200</v>
      </c>
      <c r="EB41" s="1049" t="s">
        <v>191</v>
      </c>
      <c r="EC41" s="1050" t="s">
        <v>200</v>
      </c>
      <c r="ED41" s="1080">
        <v>2013</v>
      </c>
      <c r="EE41" s="1050">
        <f t="shared" ref="EE41" si="67">(DZ41+0)-(EG41+0)</f>
        <v>0</v>
      </c>
      <c r="EF41" s="1073" t="str">
        <f t="shared" ref="EF41" si="68">IF(EE41&gt;0,"Sửa","- - -")</f>
        <v>- - -</v>
      </c>
      <c r="EG41" s="1043" t="s">
        <v>183</v>
      </c>
      <c r="EH41" s="1060" t="s">
        <v>200</v>
      </c>
      <c r="EI41" s="1075" t="s">
        <v>191</v>
      </c>
      <c r="EJ41" s="1072" t="s">
        <v>200</v>
      </c>
      <c r="EK41" s="1076">
        <v>2013</v>
      </c>
      <c r="EM41" s="1076" t="e">
        <f t="shared" ref="EM41" si="69">IF(AND(BE41&gt;0.34,AO41=1,OR(BD41=6.2,BD41=5.75)),((BD41-EL41)-2*0.34),IF(AND(BE41&gt;0.33,AO41=1,OR(BD41=4.4,BD41=4)),((BD41-EL41)-2*0.33),"- - -"))</f>
        <v>#REF!</v>
      </c>
      <c r="EN41" s="1076" t="str">
        <f t="shared" ref="EN41" si="70">IF(CV41="Hưu",12*(DB41-AX41)+(DA41-AV41),"---")</f>
        <v>---</v>
      </c>
    </row>
    <row r="42" spans="1:144" ht="9" customHeight="1" x14ac:dyDescent="0.2"/>
    <row r="43" spans="1:144" ht="27" customHeight="1" x14ac:dyDescent="0.25">
      <c r="Q43" s="699"/>
      <c r="R43" s="941"/>
      <c r="S43" s="1146"/>
      <c r="AB43" s="1183" t="s">
        <v>343</v>
      </c>
      <c r="AC43" s="1183"/>
      <c r="AD43" s="1183"/>
      <c r="AE43" s="1183"/>
      <c r="AF43" s="1183"/>
      <c r="AG43" s="1183"/>
      <c r="AH43" s="1183"/>
      <c r="AI43" s="1183"/>
      <c r="AJ43" s="1183"/>
      <c r="AK43" s="1183"/>
      <c r="AL43" s="1183"/>
      <c r="AM43" s="1183"/>
      <c r="AN43" s="1183"/>
      <c r="AO43" s="1183"/>
      <c r="AP43" s="1183"/>
      <c r="AQ43" s="1183"/>
      <c r="AR43" s="1183"/>
      <c r="AS43" s="1183"/>
      <c r="AT43" s="1183"/>
      <c r="AU43" s="1183"/>
      <c r="AV43" s="1183"/>
    </row>
    <row r="44" spans="1:144" x14ac:dyDescent="0.25">
      <c r="Q44" s="699"/>
      <c r="R44" s="699"/>
      <c r="AB44" s="1183"/>
      <c r="AC44" s="1183"/>
      <c r="AD44" s="1183"/>
      <c r="AE44" s="1183"/>
      <c r="AF44" s="1183"/>
      <c r="AG44" s="1183"/>
      <c r="AH44" s="1183"/>
      <c r="AI44" s="1183"/>
      <c r="AJ44" s="1183"/>
      <c r="AK44" s="1183"/>
      <c r="AL44" s="1183"/>
      <c r="AM44" s="1183"/>
      <c r="AN44" s="1183"/>
      <c r="AO44" s="1183"/>
      <c r="AP44" s="1183"/>
      <c r="AQ44" s="1183"/>
      <c r="AR44" s="1183"/>
      <c r="AS44" s="1183"/>
      <c r="AT44" s="1183"/>
      <c r="AU44" s="1183"/>
      <c r="AV44" s="1183"/>
    </row>
    <row r="45" spans="1:144" ht="18.75" customHeight="1" x14ac:dyDescent="0.2">
      <c r="Q45" s="699"/>
      <c r="R45" s="699"/>
      <c r="AB45" s="1182" t="s">
        <v>160</v>
      </c>
      <c r="AC45" s="1182"/>
      <c r="AD45" s="1182"/>
      <c r="AE45" s="1182"/>
      <c r="AF45" s="1182"/>
      <c r="AG45" s="1182"/>
      <c r="AH45" s="1182"/>
      <c r="AI45" s="1182"/>
      <c r="AJ45" s="1182"/>
      <c r="AK45" s="1182"/>
      <c r="AL45" s="1182"/>
      <c r="AM45" s="1182"/>
      <c r="AN45" s="1182"/>
      <c r="AO45" s="1182"/>
      <c r="AP45" s="1182"/>
      <c r="AQ45" s="1182"/>
      <c r="AR45" s="1182"/>
      <c r="AS45" s="1182"/>
      <c r="AT45" s="1182"/>
      <c r="AU45" s="1182"/>
      <c r="AV45" s="1182"/>
    </row>
    <row r="46" spans="1:144" ht="18.75" customHeight="1" x14ac:dyDescent="0.2">
      <c r="Q46" s="699"/>
      <c r="R46" s="699"/>
      <c r="AB46" s="1158"/>
      <c r="AC46" s="1158"/>
      <c r="AD46" s="1158"/>
      <c r="AE46" s="1158"/>
      <c r="AF46" s="1158"/>
      <c r="AG46" s="1158"/>
      <c r="AH46" s="1158"/>
      <c r="AI46" s="1158"/>
      <c r="AJ46" s="1158"/>
      <c r="AK46" s="1158"/>
      <c r="AL46" s="1158"/>
      <c r="AM46" s="1158"/>
      <c r="AN46" s="1158"/>
      <c r="AO46" s="1158"/>
      <c r="AP46" s="1158"/>
      <c r="AQ46" s="1158"/>
      <c r="AR46" s="1158"/>
      <c r="AS46" s="1158"/>
      <c r="AT46" s="1158"/>
      <c r="AU46" s="1158"/>
      <c r="AV46" s="1158"/>
    </row>
    <row r="47" spans="1:144" ht="16.5" customHeight="1" x14ac:dyDescent="0.2">
      <c r="Q47" s="699"/>
      <c r="R47" s="699"/>
      <c r="S47" s="1146"/>
      <c r="AB47" s="1181" t="s">
        <v>8</v>
      </c>
      <c r="AC47" s="1181"/>
      <c r="AD47" s="1181"/>
      <c r="AE47" s="1181"/>
      <c r="AF47" s="1181"/>
      <c r="AG47" s="1181"/>
      <c r="AH47" s="1181"/>
      <c r="AI47" s="1181"/>
      <c r="AJ47" s="1181"/>
      <c r="AK47" s="1181"/>
      <c r="AL47" s="1181"/>
      <c r="AM47" s="1181"/>
      <c r="AN47" s="1181"/>
      <c r="AO47" s="1181"/>
      <c r="AP47" s="1181"/>
      <c r="AQ47" s="1181"/>
      <c r="AR47" s="1181"/>
      <c r="AS47" s="1181"/>
      <c r="AT47" s="1181"/>
      <c r="AU47" s="1181"/>
      <c r="AV47" s="1181"/>
    </row>
    <row r="48" spans="1:144" x14ac:dyDescent="0.2">
      <c r="Q48" s="699"/>
      <c r="R48" s="699"/>
      <c r="AB48" s="1125"/>
      <c r="AC48" s="1126"/>
      <c r="AD48" s="1126"/>
      <c r="AE48" s="1126"/>
      <c r="AF48" s="1126"/>
      <c r="AG48" s="1126"/>
      <c r="AH48" s="1126"/>
      <c r="AI48" s="1126"/>
      <c r="AJ48" s="1126"/>
      <c r="AK48" s="1126"/>
      <c r="AL48" s="1126"/>
      <c r="AM48" s="1126"/>
      <c r="AN48" s="1126"/>
      <c r="AO48" s="1126"/>
      <c r="AP48" s="1126"/>
      <c r="AQ48" s="1126"/>
      <c r="AR48" s="1126"/>
      <c r="AS48" s="1126"/>
      <c r="AT48" s="1126"/>
      <c r="AU48" s="1126"/>
      <c r="AV48" s="1126"/>
    </row>
    <row r="49" spans="1:174" x14ac:dyDescent="0.2">
      <c r="Q49" s="699"/>
      <c r="R49" s="699"/>
      <c r="AB49" s="1125"/>
      <c r="AC49" s="1126"/>
      <c r="AD49" s="1126"/>
      <c r="AE49" s="1126"/>
      <c r="AF49" s="1126"/>
      <c r="AG49" s="1126"/>
      <c r="AH49" s="1126"/>
      <c r="AI49" s="1126"/>
      <c r="AJ49" s="1126"/>
      <c r="AK49" s="1126"/>
      <c r="AL49" s="1126"/>
      <c r="AM49" s="1126"/>
      <c r="AN49" s="1126"/>
      <c r="AO49" s="1126"/>
      <c r="AP49" s="1126"/>
      <c r="AQ49" s="1126"/>
      <c r="AR49" s="1126"/>
      <c r="AS49" s="1126"/>
      <c r="AT49" s="1126"/>
      <c r="AU49" s="1126"/>
      <c r="AV49" s="1126"/>
    </row>
    <row r="50" spans="1:174" x14ac:dyDescent="0.2">
      <c r="Q50" s="699"/>
      <c r="R50" s="699"/>
      <c r="AB50" s="1125"/>
      <c r="AC50" s="1126"/>
      <c r="AD50" s="1126"/>
      <c r="AE50" s="1126"/>
      <c r="AF50" s="1126"/>
      <c r="AG50" s="1126"/>
      <c r="AH50" s="1126"/>
      <c r="AI50" s="1126"/>
      <c r="AJ50" s="1126"/>
      <c r="AK50" s="1126"/>
      <c r="AL50" s="1126"/>
      <c r="AM50" s="1126"/>
      <c r="AN50" s="1126"/>
      <c r="AO50" s="1126"/>
      <c r="AP50" s="1126"/>
      <c r="AQ50" s="1126"/>
      <c r="AR50" s="1126"/>
      <c r="AS50" s="1126"/>
      <c r="AT50" s="1126"/>
      <c r="AU50" s="1126"/>
      <c r="AV50" s="1126"/>
    </row>
    <row r="51" spans="1:174" x14ac:dyDescent="0.2">
      <c r="Q51" s="699"/>
      <c r="R51" s="699"/>
      <c r="AB51" s="1125"/>
      <c r="AC51" s="1126"/>
      <c r="AD51" s="1126"/>
      <c r="AE51" s="1126"/>
      <c r="AF51" s="1126"/>
      <c r="AG51" s="1126"/>
      <c r="AH51" s="1126"/>
      <c r="AI51" s="1126"/>
      <c r="AJ51" s="1126"/>
      <c r="AK51" s="1126"/>
      <c r="AL51" s="1126"/>
      <c r="AM51" s="1126"/>
      <c r="AN51" s="1126"/>
      <c r="AO51" s="1126"/>
      <c r="AP51" s="1126"/>
      <c r="AQ51" s="1126"/>
      <c r="AR51" s="1126"/>
      <c r="AS51" s="1126"/>
      <c r="AT51" s="1126"/>
      <c r="AU51" s="1126"/>
      <c r="AV51" s="1126"/>
    </row>
    <row r="52" spans="1:174" x14ac:dyDescent="0.2">
      <c r="Q52" s="699"/>
      <c r="R52" s="699"/>
      <c r="AB52" s="1125"/>
      <c r="AC52" s="1126"/>
      <c r="AD52" s="1126"/>
      <c r="AE52" s="1126"/>
      <c r="AF52" s="1126"/>
      <c r="AG52" s="1126"/>
      <c r="AH52" s="1126"/>
      <c r="AI52" s="1126"/>
      <c r="AJ52" s="1126"/>
      <c r="AK52" s="1126"/>
      <c r="AL52" s="1126"/>
      <c r="AM52" s="1126"/>
      <c r="AN52" s="1126"/>
      <c r="AO52" s="1126"/>
      <c r="AP52" s="1126"/>
      <c r="AQ52" s="1126"/>
      <c r="AR52" s="1126"/>
      <c r="AS52" s="1126"/>
      <c r="AT52" s="1126"/>
      <c r="AU52" s="1126"/>
      <c r="AV52" s="1126"/>
    </row>
    <row r="53" spans="1:174" x14ac:dyDescent="0.2">
      <c r="Q53" s="699"/>
      <c r="R53" s="699"/>
      <c r="AB53" s="1125"/>
      <c r="AC53" s="1126"/>
      <c r="AD53" s="1126"/>
      <c r="AE53" s="1126"/>
      <c r="AF53" s="1126"/>
      <c r="AG53" s="1126"/>
      <c r="AH53" s="1126"/>
      <c r="AI53" s="1126"/>
      <c r="AJ53" s="1126"/>
      <c r="AK53" s="1126"/>
      <c r="AL53" s="1126"/>
      <c r="AM53" s="1126"/>
      <c r="AN53" s="1126"/>
      <c r="AO53" s="1126"/>
      <c r="AP53" s="1126"/>
      <c r="AQ53" s="1126"/>
      <c r="AR53" s="1126"/>
      <c r="AS53" s="1126"/>
      <c r="AT53" s="1126"/>
      <c r="AU53" s="1126"/>
      <c r="AV53" s="1126"/>
    </row>
    <row r="54" spans="1:174" x14ac:dyDescent="0.2">
      <c r="Q54" s="699"/>
      <c r="R54" s="699"/>
      <c r="AB54" s="660"/>
      <c r="AC54" s="115"/>
      <c r="AD54" s="116"/>
      <c r="AE54" s="661"/>
      <c r="AF54" s="661"/>
      <c r="AG54" s="661"/>
      <c r="AH54" s="158"/>
      <c r="AI54" s="115"/>
      <c r="AJ54" s="662"/>
      <c r="AK54" s="662"/>
      <c r="AL54" s="662"/>
      <c r="AM54" s="663"/>
      <c r="AN54" s="115"/>
      <c r="AO54" s="683"/>
      <c r="AP54" s="157"/>
      <c r="AQ54" s="157"/>
      <c r="AR54" s="116"/>
      <c r="AS54" s="422"/>
      <c r="AT54" s="158"/>
      <c r="AU54" s="115"/>
      <c r="AV54" s="662"/>
    </row>
    <row r="55" spans="1:174" ht="62.25" customHeight="1" x14ac:dyDescent="0.2">
      <c r="Q55" s="699"/>
      <c r="R55" s="699"/>
      <c r="AB55" s="660"/>
      <c r="AC55" s="115"/>
      <c r="AD55" s="116"/>
      <c r="AE55" s="661"/>
      <c r="AF55" s="661"/>
      <c r="AG55" s="661"/>
      <c r="AH55" s="158"/>
      <c r="AI55" s="115"/>
      <c r="AJ55" s="662"/>
      <c r="AK55" s="662"/>
      <c r="AL55" s="662"/>
      <c r="AM55" s="663"/>
      <c r="AN55" s="115"/>
      <c r="AO55" s="683"/>
      <c r="AP55" s="157"/>
      <c r="AQ55" s="157"/>
      <c r="AR55" s="116"/>
      <c r="AS55" s="422"/>
      <c r="AT55" s="158"/>
      <c r="AU55" s="115"/>
      <c r="AV55" s="662"/>
      <c r="BJ55" s="938"/>
      <c r="BK55" s="939"/>
      <c r="BQ55" s="940"/>
    </row>
    <row r="56" spans="1:174" s="511" customFormat="1" ht="16.5" customHeight="1" x14ac:dyDescent="0.2">
      <c r="A56" s="619"/>
      <c r="B56" s="620"/>
      <c r="C56" s="621"/>
      <c r="D56" s="873"/>
      <c r="E56" s="873"/>
      <c r="F56" s="873"/>
      <c r="G56" s="873"/>
      <c r="H56" s="873"/>
      <c r="I56" s="873"/>
      <c r="J56" s="873"/>
      <c r="K56" s="873"/>
      <c r="L56" s="873"/>
      <c r="M56" s="873"/>
      <c r="N56" s="873"/>
      <c r="O56" s="873"/>
      <c r="P56" s="873"/>
      <c r="Q56" s="873"/>
      <c r="R56" s="873"/>
      <c r="S56" s="622"/>
      <c r="T56" s="622"/>
      <c r="U56" s="622"/>
      <c r="V56" s="623"/>
      <c r="W56" s="624"/>
      <c r="X56" s="623"/>
      <c r="Y56" s="625"/>
      <c r="Z56" s="625"/>
      <c r="AA56" s="874"/>
      <c r="AB56" s="874"/>
      <c r="AC56" s="875"/>
      <c r="AD56" s="874"/>
      <c r="AE56" s="874"/>
      <c r="AF56" s="874"/>
      <c r="AG56" s="874"/>
      <c r="AH56" s="874"/>
      <c r="AI56" s="875"/>
      <c r="AJ56" s="874"/>
      <c r="AK56" s="874"/>
      <c r="AL56" s="874"/>
      <c r="AM56" s="874"/>
      <c r="AN56" s="875"/>
      <c r="AO56" s="875"/>
      <c r="AP56" s="1017"/>
      <c r="AQ56" s="874"/>
      <c r="AR56" s="874"/>
      <c r="AS56" s="875"/>
      <c r="AT56" s="874"/>
      <c r="AU56" s="875"/>
      <c r="AV56" s="874"/>
      <c r="AW56" s="874"/>
      <c r="AX56" s="874"/>
      <c r="AY56" s="874"/>
      <c r="AZ56" s="874"/>
      <c r="BA56" s="874"/>
      <c r="BB56" s="874"/>
      <c r="BC56" s="874"/>
      <c r="BD56" s="874"/>
      <c r="BE56" s="874"/>
      <c r="BF56" s="874"/>
      <c r="BG56" s="874"/>
      <c r="BH56" s="874"/>
      <c r="BI56" s="874"/>
      <c r="BJ56" s="874"/>
      <c r="BK56" s="874"/>
      <c r="BL56" s="874"/>
      <c r="BM56" s="874"/>
      <c r="BN56" s="874"/>
      <c r="BO56" s="874"/>
      <c r="BP56" s="874"/>
      <c r="BQ56" s="874"/>
      <c r="BR56" s="874"/>
      <c r="BS56" s="626"/>
      <c r="BT56" s="627"/>
      <c r="BU56" s="628"/>
      <c r="BV56" s="619"/>
      <c r="BW56" s="629"/>
      <c r="BX56" s="619"/>
      <c r="BY56" s="630"/>
      <c r="BZ56" s="631"/>
      <c r="CA56" s="632"/>
      <c r="CB56" s="633"/>
      <c r="CC56" s="619"/>
      <c r="CD56" s="619"/>
      <c r="CU56" s="634"/>
      <c r="CV56" s="635"/>
      <c r="CW56" s="636"/>
      <c r="CX56" s="637"/>
      <c r="CY56" s="638"/>
      <c r="CZ56" s="639"/>
      <c r="DA56" s="640"/>
      <c r="DB56" s="638"/>
      <c r="DC56" s="641"/>
      <c r="DD56" s="625"/>
      <c r="DE56" s="625"/>
      <c r="DF56" s="640"/>
      <c r="DG56" s="642"/>
      <c r="DH56" s="643"/>
      <c r="DI56" s="644"/>
      <c r="DJ56" s="644"/>
    </row>
    <row r="57" spans="1:174" s="602" customFormat="1" ht="18.75" customHeight="1" x14ac:dyDescent="0.2">
      <c r="A57" s="645"/>
      <c r="B57" s="577" t="s">
        <v>201</v>
      </c>
      <c r="C57" s="577"/>
      <c r="D57" s="578"/>
      <c r="E57" s="741" t="s">
        <v>303</v>
      </c>
      <c r="F57" s="579"/>
      <c r="G57" s="580"/>
      <c r="H57" s="580"/>
      <c r="I57" s="580"/>
      <c r="J57" s="581"/>
      <c r="K57" s="581"/>
      <c r="L57" s="581"/>
      <c r="M57" s="581"/>
      <c r="N57" s="581"/>
      <c r="O57" s="581"/>
      <c r="P57" s="581"/>
      <c r="Q57" s="578"/>
      <c r="R57" s="646"/>
      <c r="S57" s="582"/>
      <c r="T57" s="583"/>
      <c r="U57" s="583"/>
      <c r="V57" s="735"/>
      <c r="W57" s="736"/>
      <c r="X57" s="587"/>
      <c r="Y57" s="586"/>
      <c r="Z57" s="587"/>
      <c r="AA57" s="588"/>
      <c r="AB57" s="572"/>
      <c r="AC57" s="649"/>
      <c r="AD57" s="573"/>
      <c r="AE57" s="584"/>
      <c r="AF57" s="576"/>
      <c r="AG57" s="573"/>
      <c r="AH57" s="647"/>
      <c r="AI57" s="672"/>
      <c r="AJ57" s="678"/>
      <c r="AK57" s="737"/>
      <c r="AL57" s="738"/>
      <c r="AM57" s="679"/>
      <c r="AN57" s="666"/>
      <c r="AO57" s="682"/>
      <c r="AP57" s="576"/>
      <c r="AQ57" s="573"/>
      <c r="AR57" s="739"/>
      <c r="AS57" s="740"/>
      <c r="AT57" s="716"/>
      <c r="AU57" s="671"/>
      <c r="AV57" s="575"/>
      <c r="AW57" s="687"/>
      <c r="AX57" s="589"/>
      <c r="AY57" s="581"/>
      <c r="AZ57" s="590"/>
      <c r="BA57" s="591"/>
      <c r="BB57" s="592"/>
      <c r="BC57" s="650"/>
      <c r="BD57" s="593"/>
      <c r="BE57" s="594"/>
      <c r="BF57" s="592"/>
      <c r="BG57" s="595"/>
      <c r="BH57" s="651"/>
      <c r="BI57" s="597"/>
      <c r="BJ57" s="597"/>
      <c r="BK57" s="597"/>
      <c r="BL57" s="597"/>
      <c r="BM57" s="597"/>
      <c r="BN57" s="597"/>
      <c r="BO57" s="598"/>
      <c r="BP57" s="599"/>
      <c r="BQ57" s="600"/>
      <c r="BR57" s="648"/>
      <c r="BS57" s="596"/>
      <c r="BT57" s="592"/>
      <c r="BU57" s="577"/>
      <c r="BV57" s="581"/>
      <c r="BW57" s="601"/>
      <c r="BX57" s="652"/>
      <c r="BY57" s="645"/>
      <c r="BZ57" s="653"/>
      <c r="CA57" s="653"/>
      <c r="CB57" s="654"/>
      <c r="CC57" s="655"/>
      <c r="CD57" s="581"/>
      <c r="CE57" s="581"/>
      <c r="CV57" s="656"/>
      <c r="CW57" s="603"/>
      <c r="CX57" s="589"/>
      <c r="CY57" s="657"/>
      <c r="CZ57" s="590"/>
      <c r="DA57" s="591"/>
      <c r="DB57" s="592"/>
      <c r="DC57" s="650"/>
      <c r="DD57" s="593"/>
      <c r="DE57" s="585"/>
      <c r="DF57" s="585"/>
      <c r="DG57" s="592"/>
      <c r="DH57" s="658"/>
      <c r="DI57" s="659"/>
      <c r="DJ57" s="597"/>
      <c r="DK57" s="597"/>
    </row>
    <row r="58" spans="1:174" s="245" customFormat="1" ht="27" customHeight="1" x14ac:dyDescent="0.2">
      <c r="A58" s="885">
        <v>30</v>
      </c>
      <c r="B58" s="577">
        <v>1</v>
      </c>
      <c r="C58" s="197">
        <v>14</v>
      </c>
      <c r="D58" s="197" t="str">
        <f>IF(F58="Nam","Ông","Bà")</f>
        <v>Ông</v>
      </c>
      <c r="E58" s="887" t="s">
        <v>149</v>
      </c>
      <c r="F58" s="888" t="s">
        <v>219</v>
      </c>
      <c r="G58" s="889" t="s">
        <v>211</v>
      </c>
      <c r="H58" s="889" t="s">
        <v>200</v>
      </c>
      <c r="I58" s="889">
        <v>8</v>
      </c>
      <c r="J58" s="190" t="s">
        <v>200</v>
      </c>
      <c r="K58" s="190">
        <v>1980</v>
      </c>
      <c r="L58" s="190"/>
      <c r="M58" s="190" t="s">
        <v>269</v>
      </c>
      <c r="N58" s="190"/>
      <c r="O58" s="190" t="e">
        <f>IF(AND((Q58+0)&gt;0.3,(Q58+0)&lt;1.5),"CVụ","- -")</f>
        <v>#REF!</v>
      </c>
      <c r="P58" s="190"/>
      <c r="Q58" s="887" t="e">
        <f>VLOOKUP(P58,#REF!,2,0)</f>
        <v>#REF!</v>
      </c>
      <c r="R58" s="890" t="s">
        <v>205</v>
      </c>
      <c r="S58" s="891" t="s">
        <v>64</v>
      </c>
      <c r="T58" s="892" t="e">
        <f>VLOOKUP(Y58,#REF!,5,0)</f>
        <v>#REF!</v>
      </c>
      <c r="U58" s="892" t="e">
        <f>VLOOKUP(Y58,#REF!,6,0)</f>
        <v>#REF!</v>
      </c>
      <c r="V58" s="893" t="s">
        <v>249</v>
      </c>
      <c r="W58" s="894" t="str">
        <f>IF(OR(Y58="Kỹ thuật viên đánh máy",Y58="Nhân viên đánh máy",Y58="Nhân viên kỹ thuật",Y58="Nhân viên văn thư",Y58="Nhân viên phục vụ",Y58="Lái xe cơ quan",Y58="Nhân viên bảo vệ"),"Nhân viên",Y58)</f>
        <v>Chuyên viên</v>
      </c>
      <c r="X58" s="895" t="e">
        <f>IF(W58="Nhân viên","01.005",Z58)</f>
        <v>#REF!</v>
      </c>
      <c r="Y58" s="896" t="s">
        <v>181</v>
      </c>
      <c r="Z58" s="895" t="e">
        <f>VLOOKUP(Y58,#REF!,2,0)</f>
        <v>#REF!</v>
      </c>
      <c r="AA58" s="897" t="e">
        <f>IF(OR(AND(AZ58=36,AY58=3),AND(AZ58=24,AY58=2),AND(AZ58=12,AY58=1)),"Đến $",IF(OR(AND(AZ58&gt;36,AY58=3),AND(AZ58&gt;24,AY58=2),AND(AZ58&gt;12,AY58=1)),"Dừng $","Lương"))</f>
        <v>#REF!</v>
      </c>
      <c r="AB58" s="898">
        <v>5</v>
      </c>
      <c r="AC58" s="791" t="e">
        <f>IF(AD58&gt;0,"/")</f>
        <v>#REF!</v>
      </c>
      <c r="AD58" s="133" t="e">
        <f>IF(OR(BD58=0.18,BD58=0.2),12,IF(BD58=0.31,10,IF(BD58=0.33,9,IF(BD58=0.34,8,IF(BD58=0.36,6)))))</f>
        <v>#REF!</v>
      </c>
      <c r="AE58" s="899" t="e">
        <f>BC58+(AB58-1)*BD58</f>
        <v>#REF!</v>
      </c>
      <c r="AF58" s="900"/>
      <c r="AG58" s="133"/>
      <c r="AH58" s="901" t="s">
        <v>184</v>
      </c>
      <c r="AI58" s="902" t="s">
        <v>200</v>
      </c>
      <c r="AJ58" s="903">
        <v>2015</v>
      </c>
      <c r="AK58" s="904"/>
      <c r="AL58" s="905"/>
      <c r="AM58" s="906">
        <f>AB58+1</f>
        <v>6</v>
      </c>
      <c r="AN58" s="907" t="e">
        <f>IF(AD58=AB58,"%",IF(AD58&gt;AB58,"/"))</f>
        <v>#REF!</v>
      </c>
      <c r="AO58" s="908" t="e">
        <f>IF(AND(AD58=AB58,AM58=4),5,IF(AND(AD58=AB58,AM58&gt;4),AM58+1,IF(AD58&gt;AB58,AD58)))</f>
        <v>#REF!</v>
      </c>
      <c r="AP58" s="917" t="e">
        <f>IF(AD58=AB58,"%",IF(AD58&gt;AB58,AE58+BD58))</f>
        <v>#REF!</v>
      </c>
      <c r="AQ58" s="133"/>
      <c r="AR58" s="909" t="s">
        <v>183</v>
      </c>
      <c r="AS58" s="910" t="s">
        <v>200</v>
      </c>
      <c r="AT58" s="911" t="s">
        <v>184</v>
      </c>
      <c r="AU58" s="912" t="s">
        <v>200</v>
      </c>
      <c r="AV58" s="913">
        <v>2018</v>
      </c>
      <c r="AW58" s="916" t="s">
        <v>245</v>
      </c>
      <c r="AX58" s="227"/>
      <c r="AY58" s="214" t="e">
        <f>IF(AND(AD58&gt;AB58,OR(BD58=0.18,BD58=0.2)),2,IF(AND(AD58&gt;AB58,OR(BD58=0.31,BD58=0.33,BD58=0.34,BD58=0.36)),3,IF(AD58=AB58,1)))</f>
        <v>#REF!</v>
      </c>
      <c r="AZ58" s="914" t="e">
        <f>12*($AA$2-#REF!)+($AA$3-AT58)-BA58</f>
        <v>#REF!</v>
      </c>
      <c r="BA58" s="206"/>
      <c r="BB58" s="206"/>
      <c r="BC58" s="217" t="e">
        <f>VLOOKUP(Y58,#REF!,3,0)</f>
        <v>#REF!</v>
      </c>
      <c r="BD58" s="218" t="e">
        <f>VLOOKUP(Y58,#REF!,4,0)</f>
        <v>#REF!</v>
      </c>
      <c r="BE58" s="452" t="str">
        <f>IF(AND(BF58&gt;3,BX58=12),"Đến %",IF(AND(BF58&gt;3,BX58&gt;12,BX58&lt;120),"Dừng %",IF(AND(BF58&gt;3,BX58&lt;12),"PCTN","o-o-o")))</f>
        <v>o-o-o</v>
      </c>
      <c r="BF58" s="220"/>
      <c r="BG58" s="704"/>
      <c r="BH58" s="447"/>
      <c r="BI58" s="704"/>
      <c r="BJ58" s="247"/>
      <c r="BK58" s="215"/>
      <c r="BL58" s="272"/>
      <c r="BM58" s="219"/>
      <c r="BN58" s="886"/>
      <c r="BO58" s="220"/>
      <c r="BP58" s="704"/>
      <c r="BQ58" s="447"/>
      <c r="BR58" s="704"/>
      <c r="BS58" s="247"/>
      <c r="BT58" s="251"/>
      <c r="BU58" s="227"/>
      <c r="BV58" s="915"/>
      <c r="BW58" s="217"/>
      <c r="BX58" s="198" t="str">
        <f>IF(BF58&gt;3,(($BE$2-BS58)*12+($BE$3-BQ58)-BU58),"- - -")</f>
        <v>- - -</v>
      </c>
      <c r="BY58" s="224" t="str">
        <f>IF(AND(CU58="Hưu",BF58&gt;3),12-(12*(DA58-BS58)+(CZ58-BQ58))-BU58,"- - -")</f>
        <v>- - -</v>
      </c>
      <c r="BZ58" s="225" t="str">
        <f>IF(OR(S58="Ban Tổ chức - Cán bộ",S58="Văn phòng Học viện",S58="Phó Giám đốc Thường trực Học viện",S58="Phó Giám đốc Học viện"),"Chánh Văn phòng Học viện, Trưởng Ban Tổ chức - Cán bộ",IF(OR(S58="Trung tâm Ngoại ngữ",S58="Trung tâm Tin học hành chính và Công nghệ thông tin",S58="Trung tâm Tin học - Thư viện",S58="Phân viện khu vực Tây Nguyên"),"Chánh Văn phòng Học viện, Trưởng Ban Tổ chức - Cán bộ, "&amp;CONCATENATE("Giám đốc ",S58),IF(S58="Tạp chí Quản lý nhà nước","Chánh Văn phòng Học viện, Trưởng Ban Tổ chức - Cán bộ, "&amp;CONCATENATE("Tổng Biên tập ",S58),IF(S58="Văn phòng Đảng uỷ Học viện","Chánh Văn phòng Học viện, Trưởng Ban Tổ chức - Cán bộ, "&amp;CONCATENATE("Chánh",S58),IF(S58="Viện Nghiên cứu Khoa học hành chính","Chánh Văn phòng Học viện, Trưởng Ban Tổ chức - Cán bộ, "&amp;CONCATENATE("Viện Trưởng ",S58),IF(OR(S58="Cơ sở Học viện Hành chính Quốc gia khu vực miền Trung",S58="Cơ sở Học viện Hành chính Quốc gia tại Thành phố Hồ Chí Minh"),"Chánh Văn phòng Học viện, Trưởng Ban Tổ chức - Cán bộ, "&amp;CONCATENATE("Thủ trưởng ",S58),"Chánh Văn phòng Học viện, Trưởng Ban Tổ chức - Cán bộ, "&amp;CONCATENATE("Trưởng ",S58)))))))</f>
        <v>Chánh Văn phòng Học viện, Trưởng Ban Tổ chức - Cán bộ, Trưởng Ban Đào tạo</v>
      </c>
      <c r="CA58" s="203" t="str">
        <f>IF(S58="Cơ sở Học viện Hành chính khu vực miền Trung","B",IF(S58="Phân viện Khu vực Tây Nguyên","C",IF(S58="Cơ sở Học viện Hành chính tại thành phố Hồ Chí Minh","D","A")))</f>
        <v>A</v>
      </c>
      <c r="CB58" s="197" t="e">
        <f>IF(AND(AM58&gt;0,AB58&lt;(AD58-1),CC58&gt;0,CC58&lt;13,OR(AND(CI58="Cùg Ng",($CB$2-CE58)&gt;AY58),CI58="- - -")),"Sớm TT","=&gt; s")</f>
        <v>#REF!</v>
      </c>
      <c r="CC58" s="197" t="e">
        <f>IF(AY58=3,36-(12*($CB$2-#REF!)+(12-AT58)-BA58),IF(AY58=2,24-(12*($CB$2-#REF!)+(12-AT58)-BA58),"---"))</f>
        <v>#REF!</v>
      </c>
      <c r="CD58" s="373" t="str">
        <f>IF(CE58&gt;1,"S","---")</f>
        <v>---</v>
      </c>
      <c r="CE58" s="197"/>
      <c r="CF58" s="226"/>
      <c r="CG58" s="197"/>
      <c r="CH58" s="227"/>
      <c r="CI58" s="228" t="e">
        <f>IF(X58=CF58,"Cùg Ng","- - -")</f>
        <v>#REF!</v>
      </c>
      <c r="CJ58" s="229" t="str">
        <f>IF(CL58&gt;2000,"NN","- - -")</f>
        <v>- - -</v>
      </c>
      <c r="CK58" s="228"/>
      <c r="CL58" s="230"/>
      <c r="CM58" s="227"/>
      <c r="CN58" s="228"/>
      <c r="CO58" s="229" t="str">
        <f>IF(CQ58&gt;2000,"CN","- - -")</f>
        <v>- - -</v>
      </c>
      <c r="CP58" s="228"/>
      <c r="CQ58" s="230"/>
      <c r="CR58" s="231"/>
      <c r="CS58" s="273"/>
      <c r="CT58" s="233" t="e">
        <f>IF(AND(CU58="Hưu",AB58&lt;(AD58-1),DB58&gt;0,DB58&lt;18,OR(BF58&lt;4,AND(BF58&gt;3,OR(BY58&lt;3,BY58&gt;5)))),"Lg Sớm",IF(AND(CU58="Hưu",AB58&gt;(AD58-2),OR(BD58=0.33,BD58=0.34),OR(BF58&lt;4,AND(BF58&gt;3,OR(BY58&lt;3,BY58&gt;5)))),"Nâng Ngạch",IF(AND(CU58="Hưu",AY58=1,DB58&gt;2,DB58&lt;6,OR(BF58&lt;4,AND(BF58&gt;3,OR(BY58&lt;3,BY58&gt;5)))),"Nâng PcVK cùng QĐ",IF(AND(CU58="Hưu",BF58&gt;3,BY58&gt;2,BY58&lt;6,AB58&lt;(AD58-1),DB58&gt;17,OR(AY58&gt;1,AND(AY58=1,OR(DB58&lt;3,DB58&gt;5)))),"Nâng PcNG cùng QĐ",IF(AND(CU58="Hưu",AB58&lt;(AD58-1),DB58&gt;0,DB58&lt;18,BF58&gt;3,BY58&gt;2,BY58&lt;6),"Nâng Lg Sớm +(PcNG cùng QĐ)",IF(AND(CU58="Hưu",AB58&gt;(AD58-2),OR(BD58=0.33,BD58=0.34),BF58&gt;3,BY58&gt;2,BY58&lt;6),"Nâng Ngạch +(PcNG cùng QĐ)",IF(AND(CU58="Hưu",AY58=1,DB58&gt;2,DB58&lt;6,BF58&gt;3,BY58&gt;2,BY58&lt;6),"Nâng (PcVK +PcNG) cùng QĐ",("---"))))))))</f>
        <v>#REF!</v>
      </c>
      <c r="CU58" s="234" t="str">
        <f>IF(AND(DF58&gt;DE58,DF58&lt;(DE58+13)),"Hưu",IF(AND(DF58&gt;(DE58+12),DF58&lt;1000),"Quá","/-/ /-/"))</f>
        <v>/-/ /-/</v>
      </c>
      <c r="CV58" s="233">
        <f>IF((I58+0)&lt;12,(I58+0)+1,IF((I58+0)=12,1,IF((I58+0)&gt;12,(I58+0)-12)))</f>
        <v>9</v>
      </c>
      <c r="CW58" s="234">
        <f>IF(OR((I58+0)=12,(I58+0)&gt;12),K58+DE58/12+1,IF(AND((I58+0)&gt;0,(I58+0)&lt;12),K58+DE58/12,"---"))</f>
        <v>2040</v>
      </c>
      <c r="CX58" s="233">
        <f>IF(AND(CV58&gt;3,CV58&lt;13),CV58-3,IF(CV58&lt;4,CV58-3+12))</f>
        <v>6</v>
      </c>
      <c r="CY58" s="234">
        <f>IF(CX58&lt;CV58,CW58,IF(CX58&gt;CV58,CW58-1))</f>
        <v>2040</v>
      </c>
      <c r="CZ58" s="235">
        <f>IF(CV58&gt;6,CV58-6,IF(CV58=6,12,IF(CV58&lt;6,CV58+6)))</f>
        <v>3</v>
      </c>
      <c r="DA58" s="236">
        <f>IF(CV58&gt;6,CW58,IF(CV58&lt;7,CW58-1))</f>
        <v>2040</v>
      </c>
      <c r="DB58" s="236" t="e">
        <f>IF(AND(CU58="Hưu",AY58=3),36+BA58-(12*(DA58-#REF!)+(CZ58-AT58)),IF(AND(CU58="Hưu",AY58=2),24+BA58-(12*(DA58-#REF!)+(CZ58-AT58)),IF(AND(CU58="Hưu",AY58=1),12+BA58-(12*(DA58-#REF!)+(CZ58-AT58)),"- - -")))</f>
        <v>#REF!</v>
      </c>
      <c r="DC58" s="203" t="str">
        <f>IF(DD58&gt;0,"K.Dài",". .")</f>
        <v>. .</v>
      </c>
      <c r="DD58" s="203"/>
      <c r="DE58" s="203">
        <f>IF(F58="Nam",(60+DD58)*12,IF(F58="Nữ",(55+DD58)*12,))</f>
        <v>720</v>
      </c>
      <c r="DF58" s="203">
        <f>12*($CU$4-K58)+(12-I58)</f>
        <v>-23756</v>
      </c>
      <c r="DG58" s="203">
        <f>$DK$4-K58</f>
        <v>-1980</v>
      </c>
      <c r="DH58" s="203" t="str">
        <f>IF(AND(DG58&lt;35,F58="Nam"),"Nam dưới 35",IF(AND(DG58&lt;30,F58="Nữ"),"Nữ dưới 30",IF(AND(DG58&gt;34,DG58&lt;46,F58="Nam"),"Nam từ 35 - 45",IF(AND(DG58&gt;29,DG58&lt;41,F58="Nữ"),"Nữ từ 30 - 40",IF(AND(DG58&gt;45,DG58&lt;56,F58="Nam"),"Nam trên 45 - 55",IF(AND(DG58&gt;40,DG58&lt;51,F58="Nữ"),"Nữ trên 40 - 50",IF(AND(DG58&gt;55,F58="Nam"),"Nam trên 55","Nữ trên 50")))))))</f>
        <v>Nam dưới 35</v>
      </c>
      <c r="DI58" s="217"/>
      <c r="DJ58" s="228"/>
      <c r="DK58" s="199" t="str">
        <f>IF(DG58&lt;31,"Đến 30",IF(AND(DG58&gt;30,DG58&lt;46),"31 - 45",IF(AND(DG58&gt;45,DG58&lt;70),"Trên 45")))</f>
        <v>Đến 30</v>
      </c>
      <c r="DL58" s="197" t="str">
        <f>IF(DM58&gt;0,"TD","--")</f>
        <v>TD</v>
      </c>
      <c r="DM58" s="248">
        <v>2009</v>
      </c>
      <c r="DN58" s="199"/>
      <c r="DO58" s="230"/>
      <c r="DP58" s="238"/>
      <c r="DQ58" s="239"/>
      <c r="DR58" s="240"/>
      <c r="DS58" s="241"/>
      <c r="DT58" s="200"/>
      <c r="DU58" s="211"/>
      <c r="DV58" s="212" t="s">
        <v>205</v>
      </c>
      <c r="DW58" s="262" t="s">
        <v>183</v>
      </c>
      <c r="DX58" s="212" t="s">
        <v>200</v>
      </c>
      <c r="DY58" s="242" t="s">
        <v>184</v>
      </c>
      <c r="DZ58" s="212" t="s">
        <v>200</v>
      </c>
      <c r="EA58" s="243" t="s">
        <v>220</v>
      </c>
      <c r="EB58" s="211">
        <f>(DW58+0)-(ED58+0)</f>
        <v>0</v>
      </c>
      <c r="EC58" s="212" t="str">
        <f>IF(EB58&gt;0,"Sửa","- - -")</f>
        <v>- - -</v>
      </c>
      <c r="ED58" s="262" t="s">
        <v>183</v>
      </c>
      <c r="EE58" s="212" t="s">
        <v>200</v>
      </c>
      <c r="EF58" s="242" t="s">
        <v>184</v>
      </c>
      <c r="EG58" s="197" t="s">
        <v>200</v>
      </c>
      <c r="EH58" s="227" t="s">
        <v>220</v>
      </c>
      <c r="EI58" s="244"/>
      <c r="EJ58" s="241" t="e">
        <f>IF(AND(BD58&gt;0.34,AM58=1,OR(BC58=6.2,BC58=5.75)),((BC58-EI58)-2*0.34),IF(AND(BD58&gt;0.33,AM58=1,OR(BC58=4.4,BC58=4)),((BC58-EI58)-2*0.33),"- - -"))</f>
        <v>#REF!</v>
      </c>
      <c r="EK58" s="245" t="str">
        <f>IF(CU58="Hưu",12*(DA58-#REF!)+(CZ58-AT58),"---")</f>
        <v>---</v>
      </c>
    </row>
    <row r="59" spans="1:174" s="602" customFormat="1" ht="18.75" customHeight="1" x14ac:dyDescent="0.2">
      <c r="A59" s="645"/>
      <c r="B59" s="577" t="s">
        <v>158</v>
      </c>
      <c r="C59" s="577"/>
      <c r="D59" s="578"/>
      <c r="E59" s="741" t="s">
        <v>304</v>
      </c>
      <c r="F59" s="579"/>
      <c r="G59" s="580"/>
      <c r="H59" s="580"/>
      <c r="I59" s="580"/>
      <c r="J59" s="581"/>
      <c r="K59" s="581"/>
      <c r="L59" s="581"/>
      <c r="M59" s="581"/>
      <c r="N59" s="581"/>
      <c r="O59" s="581"/>
      <c r="P59" s="581"/>
      <c r="Q59" s="578"/>
      <c r="R59" s="646"/>
      <c r="S59" s="582"/>
      <c r="T59" s="583"/>
      <c r="U59" s="583"/>
      <c r="V59" s="735"/>
      <c r="W59" s="736"/>
      <c r="X59" s="587"/>
      <c r="Y59" s="586"/>
      <c r="Z59" s="587"/>
      <c r="AA59" s="588"/>
      <c r="AB59" s="572"/>
      <c r="AC59" s="649"/>
      <c r="AD59" s="573"/>
      <c r="AE59" s="584"/>
      <c r="AF59" s="576"/>
      <c r="AG59" s="573"/>
      <c r="AH59" s="647"/>
      <c r="AI59" s="672"/>
      <c r="AJ59" s="678"/>
      <c r="AK59" s="737"/>
      <c r="AL59" s="738"/>
      <c r="AM59" s="679"/>
      <c r="AN59" s="666"/>
      <c r="AO59" s="682"/>
      <c r="AP59" s="576"/>
      <c r="AQ59" s="573"/>
      <c r="AR59" s="739"/>
      <c r="AS59" s="740"/>
      <c r="AT59" s="716"/>
      <c r="AU59" s="671"/>
      <c r="AV59" s="575"/>
      <c r="AW59" s="687"/>
      <c r="AX59" s="589"/>
      <c r="AY59" s="581"/>
      <c r="AZ59" s="590"/>
      <c r="BA59" s="591"/>
      <c r="BB59" s="592"/>
      <c r="BC59" s="650"/>
      <c r="BD59" s="593"/>
      <c r="BE59" s="594"/>
      <c r="BF59" s="592"/>
      <c r="BG59" s="595"/>
      <c r="BH59" s="651"/>
      <c r="BI59" s="597"/>
      <c r="BJ59" s="597"/>
      <c r="BK59" s="597"/>
      <c r="BL59" s="597"/>
      <c r="BM59" s="597"/>
      <c r="BN59" s="597"/>
      <c r="BO59" s="598"/>
      <c r="BP59" s="599"/>
      <c r="BQ59" s="600"/>
      <c r="BR59" s="648"/>
      <c r="BS59" s="596"/>
      <c r="BT59" s="592"/>
      <c r="BU59" s="577"/>
      <c r="BV59" s="581"/>
      <c r="BW59" s="601"/>
      <c r="BX59" s="652"/>
      <c r="BY59" s="645"/>
      <c r="BZ59" s="653"/>
      <c r="CA59" s="653"/>
      <c r="CB59" s="654"/>
      <c r="CC59" s="655"/>
      <c r="CD59" s="581"/>
      <c r="CE59" s="581"/>
      <c r="CV59" s="656"/>
      <c r="CW59" s="603"/>
      <c r="CX59" s="589"/>
      <c r="CY59" s="657"/>
      <c r="CZ59" s="590"/>
      <c r="DA59" s="591"/>
      <c r="DB59" s="592"/>
      <c r="DC59" s="650"/>
      <c r="DD59" s="593"/>
      <c r="DE59" s="585"/>
      <c r="DF59" s="585"/>
      <c r="DG59" s="592"/>
      <c r="DH59" s="658"/>
      <c r="DI59" s="659"/>
      <c r="DJ59" s="597"/>
      <c r="DK59" s="597"/>
    </row>
    <row r="60" spans="1:174" s="602" customFormat="1" ht="32.25" customHeight="1" x14ac:dyDescent="0.2">
      <c r="A60" s="645">
        <v>132</v>
      </c>
      <c r="B60" s="577">
        <v>1</v>
      </c>
      <c r="C60" s="577">
        <v>128</v>
      </c>
      <c r="D60" s="578" t="str">
        <f>IF(F60="Nam","Ông","Bà")</f>
        <v>Bà</v>
      </c>
      <c r="E60" s="578" t="s">
        <v>38</v>
      </c>
      <c r="F60" s="579" t="s">
        <v>221</v>
      </c>
      <c r="G60" s="580" t="s">
        <v>138</v>
      </c>
      <c r="H60" s="580" t="s">
        <v>200</v>
      </c>
      <c r="I60" s="580" t="s">
        <v>186</v>
      </c>
      <c r="J60" s="581" t="s">
        <v>200</v>
      </c>
      <c r="K60" s="581" t="s">
        <v>170</v>
      </c>
      <c r="L60" s="581"/>
      <c r="M60" s="581" t="s">
        <v>269</v>
      </c>
      <c r="N60" s="581"/>
      <c r="O60" s="581"/>
      <c r="P60" s="581"/>
      <c r="Q60" s="578" t="e">
        <f>VLOOKUP(P60,#REF!,2,0)</f>
        <v>#REF!</v>
      </c>
      <c r="R60" s="646" t="s">
        <v>79</v>
      </c>
      <c r="S60" s="582" t="s">
        <v>85</v>
      </c>
      <c r="T60" s="583" t="e">
        <f>VLOOKUP(Y60,#REF!,5,0)</f>
        <v>#REF!</v>
      </c>
      <c r="U60" s="583" t="e">
        <f>VLOOKUP(Y60,#REF!,6,0)</f>
        <v>#REF!</v>
      </c>
      <c r="V60" s="735" t="s">
        <v>249</v>
      </c>
      <c r="W60" s="736" t="str">
        <f>IF(OR(Y60="Kỹ thuật viên đánh máy",Y60="Nhân viên đánh máy",Y60="Nhân viên kỹ thuật",Y60="Nhân viên văn thư",Y60="Nhân viên phục vụ",Y60="Lái xe cơ quan",Y60="Nhân viên bảo vệ"),"Nhân viên",Y60)</f>
        <v>Kế toán viên</v>
      </c>
      <c r="X60" s="587" t="e">
        <f>IF(W60="Nhân viên","01.005",Z60)</f>
        <v>#REF!</v>
      </c>
      <c r="Y60" s="586" t="s">
        <v>182</v>
      </c>
      <c r="Z60" s="587" t="e">
        <f>VLOOKUP(Y60,#REF!,2,0)</f>
        <v>#REF!</v>
      </c>
      <c r="AA60" s="588" t="str">
        <f>IF(OR(AND(AX60=36,AW60=3),AND(AX60=24,AW60=2),AND(AX60=12,AW60=1)),"Đến $",IF(OR(AND(AX60&gt;36,AW60=3),AND(AX60&gt;24,AW60=2),AND(AX60&gt;12,AW60=1)),"Dừng $","Lương"))</f>
        <v>Lương</v>
      </c>
      <c r="AB60" s="572">
        <v>9</v>
      </c>
      <c r="AC60" s="649" t="e">
        <f>IF(AD60&gt;0,"/")</f>
        <v>#REF!</v>
      </c>
      <c r="AD60" s="573" t="e">
        <f>IF(OR(BB60=0.18,BB60=0.2),12,IF(BB60=0.31,10,IF(BB60=0.33,9,IF(BB60=0.34,8,IF(BB60=0.36,6)))))</f>
        <v>#REF!</v>
      </c>
      <c r="AE60" s="584" t="e">
        <f>BA60+(AB60-1)*BB60</f>
        <v>#REF!</v>
      </c>
      <c r="AF60" s="576">
        <v>5</v>
      </c>
      <c r="AG60" s="573" t="e">
        <f>IF(AD60=AB60,"%",IF(AD60&gt;AB60,"/"))</f>
        <v>#REF!</v>
      </c>
      <c r="AH60" s="647">
        <v>11</v>
      </c>
      <c r="AI60" s="672" t="s">
        <v>200</v>
      </c>
      <c r="AJ60" s="678">
        <v>2016</v>
      </c>
      <c r="AK60" s="737"/>
      <c r="AL60" s="738"/>
      <c r="AM60" s="679"/>
      <c r="AN60" s="666"/>
      <c r="AO60" s="682"/>
      <c r="AP60" s="576" t="e">
        <f>IF(AND(AD60=AB60,AF60=4),5,IF(AND(AD60=AB60,AF60&gt;4),AF60+1,IF(AD60&gt;AB60,AD60)))</f>
        <v>#REF!</v>
      </c>
      <c r="AQ60" s="573" t="e">
        <f>IF(AD60=AB60,"%",IF(AD60&gt;AB60,AE60+BB60))</f>
        <v>#REF!</v>
      </c>
      <c r="AR60" s="739" t="s">
        <v>183</v>
      </c>
      <c r="AS60" s="740" t="s">
        <v>200</v>
      </c>
      <c r="AT60" s="716">
        <v>11</v>
      </c>
      <c r="AU60" s="671" t="s">
        <v>200</v>
      </c>
      <c r="AV60" s="575">
        <v>2017</v>
      </c>
      <c r="AW60" s="687"/>
      <c r="AX60" s="589">
        <f>12*($AA$2-AT60)+($AA$4-AR60)-AY60</f>
        <v>-133</v>
      </c>
      <c r="AY60" s="581"/>
      <c r="AZ60" s="590"/>
      <c r="BA60" s="591" t="e">
        <f>VLOOKUP(Y60,#REF!,3,0)</f>
        <v>#REF!</v>
      </c>
      <c r="BB60" s="592" t="e">
        <f>VLOOKUP(Y60,#REF!,4,0)</f>
        <v>#REF!</v>
      </c>
      <c r="BC60" s="650"/>
      <c r="BD60" s="593" t="e">
        <f>IF(AND(#REF!&gt;3,BO60=12),"Đến %",IF(AND(#REF!&gt;3,BO60&gt;12,BO60&lt;120),"Dừng %",IF(AND(#REF!&gt;3,BO60&lt;12),"PCTN","o-o-o")))</f>
        <v>#REF!</v>
      </c>
      <c r="BE60" s="594"/>
      <c r="BF60" s="592" t="e">
        <f>IF(#REF!&gt;3,#REF!+1,0)</f>
        <v>#REF!</v>
      </c>
      <c r="BG60" s="595"/>
      <c r="BH60" s="651"/>
      <c r="BI60" s="597"/>
      <c r="BJ60" s="597"/>
      <c r="BK60" s="597"/>
      <c r="BL60" s="597"/>
      <c r="BM60" s="597"/>
      <c r="BN60" s="597"/>
      <c r="BO60" s="598" t="e">
        <f>IF(#REF!&gt;3,(($BE$2-BJ60)*12+($BE$4-BH60)-BL60),"- - -")</f>
        <v>#REF!</v>
      </c>
      <c r="BP60" s="599" t="e">
        <f>IF(AND(CN60="Hưu",#REF!&gt;3),12-(12*(CT60-BJ60)+(CS60-BH60))-BL60,"- - -")</f>
        <v>#REF!</v>
      </c>
      <c r="BQ60" s="600" t="str">
        <f>IF(BV60="công chức","CC",IF(BV60="viên chức","VC",IF(BV60="người lao động","NLĐ","- - -")))</f>
        <v>VC</v>
      </c>
      <c r="BR60" s="648"/>
      <c r="BS60" s="596"/>
      <c r="BT60" s="592"/>
      <c r="BU60" s="577"/>
      <c r="BV60" s="581" t="s">
        <v>264</v>
      </c>
      <c r="BW60" s="601" t="str">
        <f>IF(OR(S60="Ban Tổ chức - Cán bộ",S60="Văn phòng Học viện",S60="Phó Giám đốc Thường trực Học viện",S60="Phó Giám đốc Học viện"),"Chánh Văn phòng Học viện, Trưởng Ban Tổ chức - Cán bộ",IF(OR(S60="Trung tâm Ngoại ngữ",S60="Trung tâm Tin học hành chính và Công nghệ thông tin",S60="Trung tâm Tin học - Thư viện",S60="Phân viện khu vực Tây Nguyên"),"Chánh Văn phòng Học viện, Trưởng Ban Tổ chức - Cán bộ, "&amp;CONCATENATE("Giám đốc ",S60),IF(S60="Tạp chí Quản lý nhà nước","Chánh Văn phòng Học viện, Trưởng Ban Tổ chức - Cán bộ, "&amp;CONCATENATE("Tổng Biên tập ",S60),IF(S60="Văn phòng Đảng uỷ Học viện","Chánh Văn phòng Học viện, Trưởng Ban Tổ chức - Cán bộ, "&amp;CONCATENATE("Chánh",S60),IF(S60="Viện Nghiên cứu Khoa học hành chính","Chánh Văn phòng Học viện, Trưởng Ban Tổ chức - Cán bộ, "&amp;CONCATENATE("Viện Trưởng ",S60),IF(OR(S60="Cơ sở Học viện Hành chính Quốc gia khu vực miền Trung",S60="Cơ sở Học viện Hành chính Quốc gia tại Thành phố Hồ Chí Minh"),"Chánh Văn phòng Học viện, Trưởng Ban Tổ chức - Cán bộ, "&amp;CONCATENATE("Thủ trưởng ",S60),"Chánh Văn phòng Học viện, Trưởng Ban Tổ chức - Cán bộ, "&amp;CONCATENATE("Trưởng ",S60)))))))</f>
        <v>Chánh Văn phòng Học viện, Trưởng Ban Tổ chức - Cán bộ, Trưởng Khoa Đào tạo, Bồi dưỡng công chức và Tại chức</v>
      </c>
      <c r="BX60" s="652" t="str">
        <f>IF(S60="Cơ sở Học viện Hành chính khu vực miền Trung","B",IF(S60="Phân viện Khu vực Tây Nguyên","C",IF(S60="Cơ sở Học viện Hành chính tại thành phố Hồ Chí Minh","D","A")))</f>
        <v>A</v>
      </c>
      <c r="BY60" s="645" t="e">
        <f>IF(AND(AF60&gt;0,AB60&lt;(AD60-1),#REF!&gt;0,#REF!&lt;13,OR(AND(CB60="Cùg Ng",($BY$2-#REF!)&gt;AW60),CB60="- - -")),"Sớm TT","=&gt; s")</f>
        <v>#REF!</v>
      </c>
      <c r="BZ60" s="653"/>
      <c r="CA60" s="653"/>
      <c r="CB60" s="654" t="e">
        <f>IF(X60=#REF!,"Cùg Ng","- - -")</f>
        <v>#REF!</v>
      </c>
      <c r="CC60" s="655" t="str">
        <f>IF(CE60&gt;2000,"NN","- - -")</f>
        <v>- - -</v>
      </c>
      <c r="CD60" s="581"/>
      <c r="CE60" s="581"/>
      <c r="CH60" s="602" t="str">
        <f>IF(CJ60&gt;2000,"CN","- - -")</f>
        <v>- - -</v>
      </c>
      <c r="CM60" s="602" t="e">
        <f>IF(AND(CN60="Hưu",AB60&lt;(AD60-1),CU60&gt;0,CU60&lt;18,OR(#REF!&lt;4,AND(#REF!&gt;3,OR(BP60&lt;3,BP60&gt;5)))),"Lg Sớm",IF(AND(CN60="Hưu",AB60&gt;(AD60-2),OR(BB60=0.33,BB60=0.34),OR(#REF!&lt;4,AND(#REF!&gt;3,OR(BP60&lt;3,BP60&gt;5)))),"Nâng Ngạch",IF(AND(CN60="Hưu",AW60=1,CU60&gt;2,CU60&lt;6,OR(#REF!&lt;4,AND(#REF!&gt;3,OR(BP60&lt;3,BP60&gt;5)))),"Nâng PcVK cùng QĐ",IF(AND(CN60="Hưu",#REF!&gt;3,BP60&gt;2,BP60&lt;6,AB60&lt;(AD60-1),CU60&gt;17,OR(AW60&gt;1,AND(AW60=1,OR(CU60&lt;3,CU60&gt;5)))),"Nâng PcNG cùng QĐ",IF(AND(CN60="Hưu",AB60&lt;(AD60-1),CU60&gt;0,CU60&lt;18,#REF!&gt;3,BP60&gt;2,BP60&lt;6),"Nâng Lg Sớm +(PcNG cùng QĐ)",IF(AND(CN60="Hưu",AB60&gt;(AD60-2),OR(BB60=0.33,BB60=0.34),#REF!&gt;3,BP60&gt;2,BP60&lt;6),"Nâng Ngạch +(PcNG cùng QĐ)",IF(AND(CN60="Hưu",AW60=1,CU60&gt;2,CU60&lt;6,#REF!&gt;3,BP60&gt;2,BP60&lt;6),"Nâng (PcVK +PcNG) cùng QĐ",("---"))))))))</f>
        <v>#REF!</v>
      </c>
      <c r="CN60" s="602" t="str">
        <f>IF(AND(CY60&gt;CX60,CY60&lt;(CX60+13)),"Hưu",IF(AND(CY60&gt;(CX60+12),CY60&lt;1000),"Quá","/-/ /-/"))</f>
        <v>/-/ /-/</v>
      </c>
      <c r="CO60" s="602">
        <f>IF((I60+0)&lt;12,(I60+0)+1,IF((I60+0)=12,1,IF((I60+0)&gt;12,(I60+0)-12)))</f>
        <v>7</v>
      </c>
      <c r="CP60" s="602">
        <f>IF(OR((I60+0)=12,(I60+0)&gt;12),K60+CX60/12+1,IF(AND((I60+0)&gt;0,(I60+0)&lt;12),K60+CX60/12,"---"))</f>
        <v>2020</v>
      </c>
      <c r="CQ60" s="602">
        <f>IF(AND(CO60&gt;3,CO60&lt;13),CO60-3,IF(CO60&lt;4,CO60-3+12))</f>
        <v>4</v>
      </c>
      <c r="CR60" s="602">
        <f>IF(CQ60&lt;CO60,CP60,IF(CQ60&gt;CO60,CP60-1))</f>
        <v>2020</v>
      </c>
      <c r="CS60" s="602">
        <f>IF(CO60&gt;6,CO60-6,IF(CO60=6,12,IF(CO60&lt;6,CO60+6)))</f>
        <v>1</v>
      </c>
      <c r="CT60" s="602">
        <f>IF(CO60&gt;6,CP60,IF(CO60&lt;7,CP60-1))</f>
        <v>2020</v>
      </c>
      <c r="CU60" s="602" t="str">
        <f>IF(AND(CN60="Hưu",AW60=3),36+AY60-(12*(CT60-AT60)+(CS60-AR60)),IF(AND(CN60="Hưu",AW60=2),24+AY60-(12*(CT60-AT60)+(CS60-AR60)),IF(AND(CN60="Hưu",AW60=1),12+AY60-(12*(CT60-AT60)+(CS60-AR60)),"- - -")))</f>
        <v>- - -</v>
      </c>
      <c r="CV60" s="656" t="str">
        <f>IF(CW60&gt;0,"K.Dài",". .")</f>
        <v>. .</v>
      </c>
      <c r="CW60" s="603"/>
      <c r="CX60" s="589">
        <f>IF(F60="Nam",(60+CW60)*12,IF(F60="Nữ",(55+CW60)*12,))</f>
        <v>660</v>
      </c>
      <c r="CY60" s="657">
        <f>12*($CN$4-K60)+(12-I60)</f>
        <v>-23574</v>
      </c>
      <c r="CZ60" s="590">
        <f>$DD$4-K60</f>
        <v>-1965</v>
      </c>
      <c r="DA60" s="591" t="str">
        <f>IF(AND(CZ60&lt;35,F60="Nam"),"Nam dưới 35",IF(AND(CZ60&lt;30,F60="Nữ"),"Nữ dưới 30",IF(AND(CZ60&gt;34,CZ60&lt;46,F60="Nam"),"Nam từ 35 - 45",IF(AND(CZ60&gt;29,CZ60&lt;41,F60="Nữ"),"Nữ từ 30 - 40",IF(AND(CZ60&gt;45,CZ60&lt;56,F60="Nam"),"Nam trên 45 - 55",IF(AND(CZ60&gt;40,CZ60&lt;51,F60="Nữ"),"Nữ trên 40 - 50",IF(AND(CZ60&gt;55,F60="Nam"),"Nam trên 55","Nữ trên 50")))))))</f>
        <v>Nữ dưới 30</v>
      </c>
      <c r="DB60" s="592"/>
      <c r="DC60" s="650"/>
      <c r="DD60" s="593" t="str">
        <f>IF(CZ60&lt;31,"Đến 30",IF(AND(CZ60&gt;30,CZ60&lt;46),"31 - 45",IF(AND(CZ60&gt;45,CZ60&lt;70),"Trên 45")))</f>
        <v>Đến 30</v>
      </c>
      <c r="DE60" s="585" t="str">
        <f>IF(DF60&gt;0,"TD","--")</f>
        <v>--</v>
      </c>
      <c r="DF60" s="585"/>
      <c r="DG60" s="592"/>
      <c r="DH60" s="658"/>
      <c r="DI60" s="659"/>
      <c r="DJ60" s="597"/>
      <c r="DK60" s="597"/>
      <c r="DO60" s="602" t="s">
        <v>208</v>
      </c>
      <c r="DP60" s="602" t="s">
        <v>183</v>
      </c>
      <c r="DQ60" s="602" t="s">
        <v>200</v>
      </c>
      <c r="DR60" s="602">
        <v>11</v>
      </c>
      <c r="DS60" s="602" t="s">
        <v>200</v>
      </c>
      <c r="DT60" s="602">
        <v>2013</v>
      </c>
      <c r="DU60" s="602">
        <f>(DP60+0)-(DW60+0)</f>
        <v>0</v>
      </c>
      <c r="DV60" s="602" t="str">
        <f>IF(DU60&gt;0,"Sửa","- - -")</f>
        <v>- - -</v>
      </c>
      <c r="DW60" s="602" t="s">
        <v>183</v>
      </c>
      <c r="DX60" s="602" t="s">
        <v>200</v>
      </c>
      <c r="DY60" s="602">
        <v>11</v>
      </c>
      <c r="DZ60" s="602" t="s">
        <v>200</v>
      </c>
      <c r="EA60" s="602">
        <v>2013</v>
      </c>
      <c r="EC60" s="602" t="e">
        <f>IF(AND(BB60&gt;0.34,AF60=1,OR(BA60=6.2,BA60=5.75)),((BA60-EB60)-2*0.34),IF(AND(BB60&gt;0.33,AF60=1,OR(BA60=4.4,BA60=4)),((BA60-EB60)-2*0.33),"- - -"))</f>
        <v>#REF!</v>
      </c>
      <c r="ED60" s="602" t="str">
        <f>IF(CN60="Hưu",12*(CT60-AT60)+(CS60-AR60),"---")</f>
        <v>---</v>
      </c>
    </row>
    <row r="64" spans="1:174" s="104" customFormat="1" ht="11.25" customHeight="1" x14ac:dyDescent="0.2">
      <c r="A64" s="98">
        <v>19</v>
      </c>
      <c r="B64" s="937">
        <v>1</v>
      </c>
      <c r="C64" s="35"/>
      <c r="D64" s="35" t="str">
        <f t="shared" ref="D64:D84" si="71">IF(F64="Nam","Ông","Bà")</f>
        <v>Bà</v>
      </c>
      <c r="E64" s="40" t="s">
        <v>266</v>
      </c>
      <c r="F64" s="35" t="s">
        <v>221</v>
      </c>
      <c r="G64" s="64" t="s">
        <v>137</v>
      </c>
      <c r="H64" s="1024" t="s">
        <v>200</v>
      </c>
      <c r="I64" s="64" t="s">
        <v>183</v>
      </c>
      <c r="J64" s="1024" t="s">
        <v>200</v>
      </c>
      <c r="K64" s="40">
        <v>1969</v>
      </c>
      <c r="L64" s="210" t="s">
        <v>264</v>
      </c>
      <c r="M64" s="1047" t="str">
        <f t="shared" ref="M64:M85" si="72">IF(L64="công chức","CC",IF(L64="viên chức","VC",IF(L64="người lao động","NLĐ","- - -")))</f>
        <v>VC</v>
      </c>
      <c r="N64" s="223"/>
      <c r="O64" s="1025" t="e">
        <f t="shared" ref="O64:O84" si="73">IF(AND((Q64+0)&gt;0.3,(Q64+0)&lt;1.5),"CVụ","- -")</f>
        <v>#REF!</v>
      </c>
      <c r="P64" s="40" t="s">
        <v>117</v>
      </c>
      <c r="Q64" s="359" t="e">
        <f>VLOOKUP(P64,#REF!,2,0)</f>
        <v>#REF!</v>
      </c>
      <c r="R64" s="1032" t="s">
        <v>351</v>
      </c>
      <c r="S64" s="378" t="s">
        <v>327</v>
      </c>
      <c r="T64" s="38" t="e">
        <f>VLOOKUP(Y64,#REF!,5,0)</f>
        <v>#REF!</v>
      </c>
      <c r="U64" s="39" t="e">
        <f>VLOOKUP(Y64,#REF!,6,0)</f>
        <v>#REF!</v>
      </c>
      <c r="V64" s="1059" t="s">
        <v>248</v>
      </c>
      <c r="W64" s="358" t="str">
        <f t="shared" ref="W64:W85" si="74">IF(OR(Y64="Kỹ thuật viên đánh máy",Y64="Nhân viên đánh máy",Y64="Nhân viên kỹ thuật",Y64="Nhân viên văn thư",Y64="Nhân viên phục vụ",Y64="Lái xe cơ quan",Y64="Nhân viên bảo vệ"),"Nhân viên",Y64)</f>
        <v>Nghiên cứu viên (hạng III)</v>
      </c>
      <c r="X64" s="361" t="e">
        <f t="shared" ref="X64:X85" si="75">IF(W64="Nhân viên","01.005",Z64)</f>
        <v>#REF!</v>
      </c>
      <c r="Y64" s="380" t="s">
        <v>261</v>
      </c>
      <c r="Z64" s="380" t="e">
        <f>VLOOKUP(Y64,#REF!,2,0)</f>
        <v>#REF!</v>
      </c>
      <c r="AA64" s="508" t="e">
        <f t="shared" ref="AA64:AA85" si="76">IF(OR(AND(BC64=36,BB64=3),AND(BC64=24,BB64=2),AND(BC64=12,BB64=1)),"Đến $",IF(OR(AND(BC64&gt;36,BB64=3),AND(BC64&gt;24,BB64=2),AND(BC64&gt;12,BB64=1)),"Dừng $","Lương"))</f>
        <v>#REF!</v>
      </c>
      <c r="AB64" s="108">
        <v>6</v>
      </c>
      <c r="AC64" s="700" t="s">
        <v>200</v>
      </c>
      <c r="AD64" s="43">
        <v>9</v>
      </c>
      <c r="AE64" s="44">
        <v>3.99</v>
      </c>
      <c r="AF64" s="435"/>
      <c r="AG64" s="100"/>
      <c r="AH64" s="673" t="s">
        <v>183</v>
      </c>
      <c r="AI64" s="694" t="s">
        <v>200</v>
      </c>
      <c r="AJ64" s="100" t="s">
        <v>186</v>
      </c>
      <c r="AK64" s="694" t="s">
        <v>200</v>
      </c>
      <c r="AL64" s="695">
        <v>2016</v>
      </c>
      <c r="AM64" s="178"/>
      <c r="AN64" s="53"/>
      <c r="AO64" s="353">
        <f>AB64+1</f>
        <v>7</v>
      </c>
      <c r="AP64" s="275" t="str">
        <f>IF(AD64=AB64,"%",IF(AD64&gt;AB64,"/"))</f>
        <v>/</v>
      </c>
      <c r="AQ64" s="84">
        <f>IF(AND(AD64=AB64,AO64=4),5,IF(AND(AD64=AB64,AO64&gt;4),AO64+1,IF(AD64&gt;AB64,AD64)))</f>
        <v>9</v>
      </c>
      <c r="AR64" s="47" t="e">
        <f>IF(AD64=AB64,"%",IF(AD64&gt;AB64,AE64+BE64))</f>
        <v>#REF!</v>
      </c>
      <c r="AS64" s="438"/>
      <c r="AT64" s="48" t="s">
        <v>183</v>
      </c>
      <c r="AU64" s="669" t="s">
        <v>200</v>
      </c>
      <c r="AV64" s="49" t="s">
        <v>186</v>
      </c>
      <c r="AW64" s="669" t="s">
        <v>200</v>
      </c>
      <c r="AX64" s="50">
        <v>2019</v>
      </c>
      <c r="AY64" s="87"/>
      <c r="AZ64" s="300" t="s">
        <v>352</v>
      </c>
      <c r="BA64" s="517"/>
      <c r="BB64" s="51" t="e">
        <f t="shared" ref="BB64:BB85" si="77">IF(AND(AD64&gt;AB64,OR(BE64=0.18,BE64=0.2)),2,IF(AND(AD64&gt;AB64,OR(BE64=0.31,BE64=0.33,BE64=0.34,BE64=0.36)),3,IF(AD64=AB64,1)))</f>
        <v>#REF!</v>
      </c>
      <c r="BC64" s="356">
        <f t="shared" ref="BC64:BC85" si="78">12*($AA$2-AX64)+($AA$3-AV64)-AM64</f>
        <v>-24234</v>
      </c>
      <c r="BD64" s="310" t="e">
        <f>VLOOKUP(Y64,#REF!,3,0)</f>
        <v>#REF!</v>
      </c>
      <c r="BE64" s="310" t="e">
        <f>VLOOKUP(Y64,#REF!,4,0)</f>
        <v>#REF!</v>
      </c>
      <c r="BF64" s="57" t="str">
        <f t="shared" ref="BF64:BF85" si="79">IF(AND(BG64&gt;3,BY64=12),"Đến %",IF(AND(BG64&gt;3,BY64&gt;12,BY64&lt;120),"Dừng %",IF(AND(BG64&gt;3,BY64&lt;12),"PCTN","o-o-o")))</f>
        <v>o-o-o</v>
      </c>
      <c r="BG64" s="58"/>
      <c r="BH64" s="457"/>
      <c r="BI64" s="449"/>
      <c r="BJ64" s="677"/>
      <c r="BK64" s="441"/>
      <c r="BL64" s="677"/>
      <c r="BM64" s="99"/>
      <c r="BN64" s="178"/>
      <c r="BO64" s="62"/>
      <c r="BP64" s="59"/>
      <c r="BQ64" s="454"/>
      <c r="BR64" s="510"/>
      <c r="BS64" s="669"/>
      <c r="BT64" s="442"/>
      <c r="BU64" s="669"/>
      <c r="BV64" s="50"/>
      <c r="BW64" s="61"/>
      <c r="BX64" s="177"/>
      <c r="BY64" s="357" t="str">
        <f t="shared" ref="BY64:BY84" si="80">IF(BG64&gt;3,(($BF$2-BV64)*12+($BF$3-BT64)-BN64),"- - -")</f>
        <v>- - -</v>
      </c>
      <c r="BZ64" s="57" t="str">
        <f t="shared" ref="BZ64:BZ84" si="81">IF(AND(CV64="Hưu",BG64&gt;3),12-(12*(DB64-BV64)+(DA64-BT64))-BN64,"- - -")</f>
        <v>- - -</v>
      </c>
      <c r="CA64" s="379" t="str">
        <f t="shared" ref="CA64:CA84" si="82">IF(OR(S64="Ban Tổ chức - Cán bộ",S64="Văn phòng Học viện",S64="Phó Giám đốc Thường trực Học viện",S64="Phó Giám đốc Học viện"),"Chánh Văn phòng Học viện, Trưởng Ban Tổ chức - Cán bộ",IF(OR(S64="Trung tâm Ngoại ngữ",S64="Trung tâm Tin học hành chính và Công nghệ thông tin",S64="Trung tâm Tin học - Thư viện",S64="Phân viện khu vực Tây Nguyên"),"Chánh Văn phòng Học viện, Trưởng Ban Tổ chức - Cán bộ, "&amp;CONCATENATE("Giám đốc ",S64),IF(S64="Tạp chí Quản lý nhà nước","Chánh Văn phòng Học viện, Trưởng Ban Tổ chức - Cán bộ, "&amp;CONCATENATE("Tổng Biên tập ",S64),IF(S64="Văn phòng Đảng uỷ Học viện","Chánh Văn phòng Học viện, Trưởng Ban Tổ chức - Cán bộ, "&amp;CONCATENATE("Chánh",S64),IF(S64="Viện Nghiên cứu Khoa học hành chính","Chánh Văn phòng Học viện, Trưởng Ban Tổ chức - Cán bộ, "&amp;CONCATENATE("Viện Trưởng ",S64),IF(OR(S64="Cơ sở Học viện Hành chính Quốc gia khu vực miền Trung",S64="Cơ sở Học viện Hành chính Quốc gia tại Thành phố Hồ Chí Minh"),"Chánh Văn phòng Học viện, Trưởng Ban Tổ chức - Cán bộ, "&amp;CONCATENATE("Thủ trưởng ",S64),"Chánh Văn phòng Học viện, Trưởng Ban Tổ chức - Cán bộ, "&amp;CONCATENATE("Trưởng ",S64)))))))</f>
        <v>Chánh Văn phòng Học viện, Trưởng Ban Tổ chức - Cán bộ, Trưởng Ban Quản lý đào tạo Sau đại học</v>
      </c>
      <c r="CB64" s="63" t="str">
        <f t="shared" ref="CB64:CB84" si="83">IF(S64="Cơ sở Học viện Hành chính khu vực miền Trung","B",IF(S64="Phân viện Khu vực Tây Nguyên","C",IF(S64="Cơ sở Học viện Hành chính tại thành phố Hồ Chí Minh","D","A")))</f>
        <v>A</v>
      </c>
      <c r="CC64" s="41" t="e">
        <f t="shared" ref="CC64:CC84" si="84">IF(AND(AO64&gt;0,AB64&lt;(AD64-1),CD64&gt;0,CD64&lt;13,OR(AND(CJ64="Cùg Ng",($CC$2-CF64)&gt;BB64),CJ64="- - -")),"Sớm TT","=&gt; s")</f>
        <v>#REF!</v>
      </c>
      <c r="CD64" s="52" t="e">
        <f t="shared" ref="CD64:CD84" si="85">IF(BB64=3,36-(12*($CC$2-AX64)+(12-AV64)-AM64),IF(BB64=2,24-(12*($CC$2-AX64)+(12-AV64)-AM64),"---"))</f>
        <v>#REF!</v>
      </c>
      <c r="CE64" s="35" t="str">
        <f t="shared" ref="CE64:CE84" si="86">IF(CF64&gt;1,"S","---")</f>
        <v>---</v>
      </c>
      <c r="CF64" s="35"/>
      <c r="CG64" s="370"/>
      <c r="CH64" s="35"/>
      <c r="CI64" s="94"/>
      <c r="CJ64" s="35" t="e">
        <f t="shared" ref="CJ64:CJ84" si="87">IF(X64=CG64,"Cùg Ng","- - -")</f>
        <v>#REF!</v>
      </c>
      <c r="CK64" s="55" t="str">
        <f t="shared" ref="CK64:CK84" si="88">IF(CM64&gt;2000,"NN","- - -")</f>
        <v>- - -</v>
      </c>
      <c r="CL64" s="65"/>
      <c r="CM64" s="66"/>
      <c r="CN64" s="65"/>
      <c r="CO64" s="80"/>
      <c r="CP64" s="55" t="str">
        <f t="shared" ref="CP64:CP84" si="89">IF(CR64&gt;2000,"CN","- - -")</f>
        <v>- - -</v>
      </c>
      <c r="CQ64" s="65"/>
      <c r="CR64" s="66"/>
      <c r="CS64" s="65"/>
      <c r="CT64" s="80"/>
      <c r="CU64" s="69" t="e">
        <f t="shared" ref="CU64:CU79" si="90">IF(AND(CV64="Hưu",AB64&lt;(AD64-1),DC64&gt;0,DC64&lt;18,OR(BG64&lt;4,AND(BG64&gt;3,OR(BZ64&lt;3,BZ64&gt;5)))),"Lg Sớm",IF(AND(CV64="Hưu",AB64&gt;(AD64-2),OR(BE64=0.33,BE64=0.34),OR(BG64&lt;4,AND(BG64&gt;3,OR(BZ64&lt;3,BZ64&gt;5)))),"Nâng Ngạch",IF(AND(CV64="Hưu",BB64=1,DC64&gt;2,DC64&lt;6,OR(BG64&lt;4,AND(BG64&gt;3,OR(BZ64&lt;3,BZ64&gt;5)))),"Nâng PcVK cùng QĐ",IF(AND(CV64="Hưu",BG64&gt;3,BZ64&gt;2,BZ64&lt;6,AB64&lt;(AD64-1),DC64&gt;17,OR(BB64&gt;1,AND(BB64=1,OR(DC64&lt;3,DC64&gt;5)))),"Nâng PcNG cùng QĐ",IF(AND(CV64="Hưu",AB64&lt;(AD64-1),DC64&gt;0,DC64&lt;18,BG64&gt;3,BZ64&gt;2,BZ64&lt;6),"Nâng Lg Sớm +(PcNG cùng QĐ)",IF(AND(CV64="Hưu",AB64&gt;(AD64-2),OR(BE64=0.33,BE64=0.34),BG64&gt;3,BZ64&gt;2,BZ64&lt;6),"Nâng Ngạch +(PcNG cùng QĐ)",IF(AND(CV64="Hưu",BB64=1,DC64&gt;2,DC64&lt;6,BG64&gt;3,BZ64&gt;2,BZ64&lt;6),"Nâng (PcVK +PcNG) cùng QĐ",("---"))))))))</f>
        <v>#REF!</v>
      </c>
      <c r="CV64" s="70" t="str">
        <f t="shared" ref="CV64:CV84" si="91">IF(AND(DG64&gt;DF64,DG64&lt;(DF64+13)),"Hưu",IF(AND(DG64&gt;(DF64+12),DG64&lt;1000),"Quá","/-/ /-/"))</f>
        <v>/-/ /-/</v>
      </c>
      <c r="CW64" s="67">
        <f t="shared" ref="CW64:CW84" si="92">IF((I64+0)&lt;12,(I64+0)+1,IF((I64+0)=12,1,IF((I64+0)&gt;12,(I64+0)-12)))</f>
        <v>2</v>
      </c>
      <c r="CX64" s="68">
        <f t="shared" ref="CX64:CX84" si="93">IF(OR((I64+0)=12,(I64+0)&gt;12),K64+DF64/12+1,IF(AND((I64+0)&gt;0,(I64+0)&lt;12),K64+DF64/12,"---"))</f>
        <v>2024</v>
      </c>
      <c r="CY64" s="67">
        <f t="shared" ref="CY64:CY84" si="94">IF(AND(CW64&gt;3,CW64&lt;13),CW64-3,IF(CW64&lt;4,CW64-3+12))</f>
        <v>11</v>
      </c>
      <c r="CZ64" s="68">
        <f t="shared" ref="CZ64:CZ84" si="95">IF(CY64&lt;CW64,CX64,IF(CY64&gt;CW64,CX64-1))</f>
        <v>2023</v>
      </c>
      <c r="DA64" s="67">
        <f t="shared" ref="DA64:DA84" si="96">IF(CW64&gt;6,CW64-6,IF(CW64=6,12,IF(CW64&lt;6,CW64+6)))</f>
        <v>8</v>
      </c>
      <c r="DB64" s="68">
        <f t="shared" ref="DB64:DB84" si="97">IF(CW64&gt;6,CX64,IF(CW64&lt;7,CX64-1))</f>
        <v>2023</v>
      </c>
      <c r="DC64" s="71" t="e">
        <f t="shared" ref="DC64:DC84" si="98">IF(AND(CV64="Hưu",BB64=3),36+AM64-(12*(DB64-AX64)+(DA64-AV64)),IF(AND(CV64="Hưu",BB64=2),24+AM64-(12*(DB64-AX64)+(DA64-AV64)),IF(AND(CV64="Hưu",BB64=1),12+AM64-(12*(DB64-AX64)+(DA64-AV64)),"- - -")))</f>
        <v>#REF!</v>
      </c>
      <c r="DD64" s="72" t="str">
        <f t="shared" ref="DD64:DD84" si="99">IF(DE64&gt;0,"K.Dài",". .")</f>
        <v>. .</v>
      </c>
      <c r="DE64" s="72"/>
      <c r="DF64" s="52">
        <f t="shared" ref="DF64:DF84" si="100">IF(F64="Nam",(60+DE64)*12,IF(F64="Nữ",(55+DE64)*12,))</f>
        <v>660</v>
      </c>
      <c r="DG64" s="52">
        <f t="shared" ref="DG64:DG84" si="101">12*($CV$4-K64)+(12-I64)</f>
        <v>-23617</v>
      </c>
      <c r="DH64" s="52">
        <f t="shared" ref="DH64:DH84" si="102">$DL$4-K64</f>
        <v>-1969</v>
      </c>
      <c r="DI64" s="52" t="str">
        <f t="shared" ref="DI64:DI84" si="103">IF(AND(DH64&lt;35,F64="Nam"),"Nam dưới 35",IF(AND(DH64&lt;30,F64="Nữ"),"Nữ dưới 30",IF(AND(DH64&gt;34,DH64&lt;46,F64="Nam"),"Nam từ 35 - 45",IF(AND(DH64&gt;29,DH64&lt;41,F64="Nữ"),"Nữ từ 30 - 40",IF(AND(DH64&gt;45,DH64&lt;56,F64="Nam"),"Nam trên 45 - 55",IF(AND(DH64&gt;40,DH64&lt;51,F64="Nữ"),"Nữ trên 40 - 50",IF(AND(DH64&gt;55,F64="Nam"),"Nam trên 55","Nữ trên 50")))))))</f>
        <v>Nữ dưới 30</v>
      </c>
      <c r="DJ64" s="52"/>
      <c r="DK64" s="52"/>
      <c r="DL64" s="57" t="str">
        <f t="shared" ref="DL64:DL84" si="104">IF(DH64&lt;31,"Đến 30",IF(AND(DH64&gt;30,DH64&lt;46),"31 - 45",IF(AND(DH64&gt;45,DH64&lt;70),"Trên 45")))</f>
        <v>Đến 30</v>
      </c>
      <c r="DM64" s="65"/>
      <c r="DN64" s="36"/>
      <c r="DO64" s="86"/>
      <c r="DP64" s="56"/>
      <c r="DQ64" s="80"/>
      <c r="DR64" s="80"/>
      <c r="DS64" s="81"/>
      <c r="DT64" s="82"/>
      <c r="DU64" s="75"/>
      <c r="DV64" s="87"/>
      <c r="DW64" s="37" t="s">
        <v>24</v>
      </c>
      <c r="DX64" s="378" t="s">
        <v>72</v>
      </c>
      <c r="DY64" s="37" t="s">
        <v>24</v>
      </c>
      <c r="DZ64" s="48" t="s">
        <v>183</v>
      </c>
      <c r="EA64" s="49" t="s">
        <v>200</v>
      </c>
      <c r="EB64" s="93" t="s">
        <v>186</v>
      </c>
      <c r="EC64" s="49" t="s">
        <v>200</v>
      </c>
      <c r="ED64" s="76">
        <v>2013</v>
      </c>
      <c r="EE64" s="49">
        <f t="shared" ref="EE64:EE84" si="105">(DZ64+0)-(EG64+0)</f>
        <v>0</v>
      </c>
      <c r="EF64" s="77" t="str">
        <f t="shared" ref="EF64:EF84" si="106">IF(EE64&gt;0,"Sửa","- - -")</f>
        <v>- - -</v>
      </c>
      <c r="EG64" s="48" t="s">
        <v>183</v>
      </c>
      <c r="EH64" s="49" t="s">
        <v>200</v>
      </c>
      <c r="EI64" s="93" t="s">
        <v>186</v>
      </c>
      <c r="EJ64" s="49" t="s">
        <v>200</v>
      </c>
      <c r="EK64" s="76">
        <v>2013</v>
      </c>
      <c r="EL64" s="35"/>
      <c r="EM64" s="55" t="e">
        <f t="shared" ref="EM64:EM84" si="107">IF(AND(BE64&gt;0.34,AO64=1,OR(BD64=6.2,BD64=5.75)),((BD64-EL64)-2*0.34),IF(AND(BE64&gt;0.33,AO64=1,OR(BD64=4.4,BD64=4)),((BD64-EL64)-2*0.33),"- - -"))</f>
        <v>#REF!</v>
      </c>
      <c r="EN64" s="78" t="str">
        <f t="shared" ref="EN64:EN84" si="108">IF(CV64="Hưu",12*(DB64-AX64)+(DA64-AV64),"---")</f>
        <v>---</v>
      </c>
      <c r="EO64" s="87"/>
      <c r="EP64" s="79"/>
      <c r="EQ64" s="79"/>
      <c r="ER64" s="79"/>
      <c r="ES64" s="79"/>
      <c r="ET64" s="79"/>
      <c r="EU64" s="79"/>
      <c r="EV64" s="79"/>
      <c r="EW64" s="79"/>
      <c r="EX64" s="79"/>
      <c r="EY64" s="79"/>
      <c r="EZ64" s="79"/>
      <c r="FA64" s="79"/>
      <c r="FB64" s="79"/>
      <c r="FC64" s="79"/>
      <c r="FD64" s="79"/>
      <c r="FE64" s="79"/>
      <c r="FF64" s="79"/>
      <c r="FG64" s="79"/>
      <c r="FH64" s="79"/>
      <c r="FI64" s="79"/>
      <c r="FJ64" s="79"/>
      <c r="FK64" s="79"/>
      <c r="FL64" s="79"/>
      <c r="FM64" s="79"/>
      <c r="FN64" s="79"/>
      <c r="FO64" s="79"/>
      <c r="FP64" s="79"/>
      <c r="FQ64" s="79"/>
      <c r="FR64" s="79"/>
    </row>
    <row r="65" spans="1:174" s="274" customFormat="1" ht="11.25" customHeight="1" x14ac:dyDescent="0.25">
      <c r="A65" s="98">
        <v>81</v>
      </c>
      <c r="B65" s="359">
        <v>2</v>
      </c>
      <c r="C65" s="35"/>
      <c r="D65" s="35" t="str">
        <f t="shared" si="71"/>
        <v>Ông</v>
      </c>
      <c r="E65" s="40" t="s">
        <v>25</v>
      </c>
      <c r="F65" s="35" t="s">
        <v>219</v>
      </c>
      <c r="G65" s="360" t="s">
        <v>135</v>
      </c>
      <c r="H65" s="1024" t="s">
        <v>200</v>
      </c>
      <c r="I65" s="360" t="s">
        <v>186</v>
      </c>
      <c r="J65" s="1024" t="s">
        <v>200</v>
      </c>
      <c r="K65" s="40" t="s">
        <v>3</v>
      </c>
      <c r="L65" s="210" t="s">
        <v>264</v>
      </c>
      <c r="M65" s="1047" t="str">
        <f t="shared" si="72"/>
        <v>VC</v>
      </c>
      <c r="N65" s="223"/>
      <c r="O65" s="1025" t="e">
        <f t="shared" si="73"/>
        <v>#REF!</v>
      </c>
      <c r="P65" s="40" t="s">
        <v>277</v>
      </c>
      <c r="Q65" s="359" t="e">
        <f>VLOOKUP(P65,#REF!,2,0)</f>
        <v>#REF!</v>
      </c>
      <c r="R65" s="1032"/>
      <c r="S65" s="378" t="s">
        <v>70</v>
      </c>
      <c r="T65" s="38" t="e">
        <f>VLOOKUP(Y65,#REF!,5,0)</f>
        <v>#REF!</v>
      </c>
      <c r="U65" s="39" t="e">
        <f>VLOOKUP(Y65,#REF!,6,0)</f>
        <v>#REF!</v>
      </c>
      <c r="V65" s="1059" t="s">
        <v>249</v>
      </c>
      <c r="W65" s="358" t="str">
        <f t="shared" si="74"/>
        <v>Chuyên viên chính</v>
      </c>
      <c r="X65" s="361" t="e">
        <f t="shared" si="75"/>
        <v>#REF!</v>
      </c>
      <c r="Y65" s="380" t="s">
        <v>193</v>
      </c>
      <c r="Z65" s="380" t="e">
        <f>VLOOKUP(Y65,#REF!,2,0)</f>
        <v>#REF!</v>
      </c>
      <c r="AA65" s="52" t="e">
        <f t="shared" si="76"/>
        <v>#REF!</v>
      </c>
      <c r="AB65" s="108">
        <v>3</v>
      </c>
      <c r="AC65" s="700" t="s">
        <v>200</v>
      </c>
      <c r="AD65" s="43">
        <v>8</v>
      </c>
      <c r="AE65" s="44">
        <v>5.08</v>
      </c>
      <c r="AF65" s="435"/>
      <c r="AG65" s="100"/>
      <c r="AH65" s="673" t="s">
        <v>183</v>
      </c>
      <c r="AI65" s="694" t="s">
        <v>200</v>
      </c>
      <c r="AJ65" s="100" t="s">
        <v>186</v>
      </c>
      <c r="AK65" s="694" t="s">
        <v>200</v>
      </c>
      <c r="AL65" s="695">
        <v>2016</v>
      </c>
      <c r="AM65" s="178"/>
      <c r="AN65" s="53"/>
      <c r="AO65" s="353">
        <f>AB65+1</f>
        <v>4</v>
      </c>
      <c r="AP65" s="275" t="str">
        <f>IF(AD65=AB65,"%",IF(AD65&gt;AB65,"/"))</f>
        <v>/</v>
      </c>
      <c r="AQ65" s="84">
        <f>IF(AND(AD65=AB65,AO65=4),5,IF(AND(AD65=AB65,AO65&gt;4),AO65+1,IF(AD65&gt;AB65,AD65)))</f>
        <v>8</v>
      </c>
      <c r="AR65" s="47" t="e">
        <f>IF(AD65=AB65,"%",IF(AD65&gt;AB65,AE65+BE65))</f>
        <v>#REF!</v>
      </c>
      <c r="AS65" s="438"/>
      <c r="AT65" s="48" t="s">
        <v>183</v>
      </c>
      <c r="AU65" s="692" t="s">
        <v>200</v>
      </c>
      <c r="AV65" s="49" t="s">
        <v>186</v>
      </c>
      <c r="AW65" s="669" t="s">
        <v>200</v>
      </c>
      <c r="AX65" s="50">
        <v>2019</v>
      </c>
      <c r="AY65" s="87"/>
      <c r="AZ65" s="300"/>
      <c r="BA65" s="517"/>
      <c r="BB65" s="51" t="e">
        <f t="shared" si="77"/>
        <v>#REF!</v>
      </c>
      <c r="BC65" s="356">
        <f t="shared" si="78"/>
        <v>-24234</v>
      </c>
      <c r="BD65" s="310" t="e">
        <f>VLOOKUP(Y65,#REF!,3,0)</f>
        <v>#REF!</v>
      </c>
      <c r="BE65" s="310" t="e">
        <f>VLOOKUP(Y65,#REF!,4,0)</f>
        <v>#REF!</v>
      </c>
      <c r="BF65" s="57" t="str">
        <f t="shared" si="79"/>
        <v>o-o-o</v>
      </c>
      <c r="BG65" s="58"/>
      <c r="BH65" s="450"/>
      <c r="BI65" s="449"/>
      <c r="BJ65" s="677"/>
      <c r="BK65" s="441"/>
      <c r="BL65" s="677"/>
      <c r="BM65" s="99"/>
      <c r="BN65" s="178"/>
      <c r="BO65" s="62"/>
      <c r="BP65" s="59"/>
      <c r="BQ65" s="454"/>
      <c r="BR65" s="60"/>
      <c r="BS65" s="669"/>
      <c r="BT65" s="442"/>
      <c r="BU65" s="669"/>
      <c r="BV65" s="50"/>
      <c r="BW65" s="61"/>
      <c r="BX65" s="177"/>
      <c r="BY65" s="357" t="str">
        <f t="shared" si="80"/>
        <v>- - -</v>
      </c>
      <c r="BZ65" s="57" t="str">
        <f t="shared" si="81"/>
        <v>- - -</v>
      </c>
      <c r="CA65" s="379" t="str">
        <f t="shared" si="82"/>
        <v>Chánh Văn phòng Học viện, Trưởng Ban Tổ chức - Cán bộ, Viện Trưởng Viện Nghiên cứu Khoa học hành chính</v>
      </c>
      <c r="CB65" s="63" t="str">
        <f t="shared" si="83"/>
        <v>A</v>
      </c>
      <c r="CC65" s="41" t="e">
        <f t="shared" si="84"/>
        <v>#REF!</v>
      </c>
      <c r="CD65" s="52" t="e">
        <f t="shared" si="85"/>
        <v>#REF!</v>
      </c>
      <c r="CE65" s="35" t="str">
        <f t="shared" si="86"/>
        <v>S</v>
      </c>
      <c r="CF65" s="35">
        <v>2015</v>
      </c>
      <c r="CG65" s="367"/>
      <c r="CH65" s="35"/>
      <c r="CI65" s="94"/>
      <c r="CJ65" s="35" t="e">
        <f t="shared" si="87"/>
        <v>#REF!</v>
      </c>
      <c r="CK65" s="55" t="str">
        <f t="shared" si="88"/>
        <v>NN</v>
      </c>
      <c r="CL65" s="65">
        <v>12</v>
      </c>
      <c r="CM65" s="66">
        <v>2010</v>
      </c>
      <c r="CN65" s="65"/>
      <c r="CO65" s="80"/>
      <c r="CP65" s="55" t="str">
        <f t="shared" si="89"/>
        <v>- - -</v>
      </c>
      <c r="CQ65" s="65"/>
      <c r="CR65" s="66"/>
      <c r="CS65" s="65"/>
      <c r="CT65" s="80"/>
      <c r="CU65" s="69" t="e">
        <f t="shared" si="90"/>
        <v>#REF!</v>
      </c>
      <c r="CV65" s="70" t="str">
        <f t="shared" si="91"/>
        <v>/-/ /-/</v>
      </c>
      <c r="CW65" s="67">
        <f t="shared" si="92"/>
        <v>7</v>
      </c>
      <c r="CX65" s="68">
        <f t="shared" si="93"/>
        <v>2028</v>
      </c>
      <c r="CY65" s="67">
        <f t="shared" si="94"/>
        <v>4</v>
      </c>
      <c r="CZ65" s="68">
        <f t="shared" si="95"/>
        <v>2028</v>
      </c>
      <c r="DA65" s="67">
        <f t="shared" si="96"/>
        <v>1</v>
      </c>
      <c r="DB65" s="68">
        <f t="shared" si="97"/>
        <v>2028</v>
      </c>
      <c r="DC65" s="71" t="e">
        <f t="shared" si="98"/>
        <v>#REF!</v>
      </c>
      <c r="DD65" s="72" t="str">
        <f t="shared" si="99"/>
        <v>. .</v>
      </c>
      <c r="DE65" s="72"/>
      <c r="DF65" s="52">
        <f t="shared" si="100"/>
        <v>720</v>
      </c>
      <c r="DG65" s="52">
        <f t="shared" si="101"/>
        <v>-23610</v>
      </c>
      <c r="DH65" s="52">
        <f t="shared" si="102"/>
        <v>-1968</v>
      </c>
      <c r="DI65" s="52" t="str">
        <f t="shared" si="103"/>
        <v>Nam dưới 35</v>
      </c>
      <c r="DJ65" s="52"/>
      <c r="DK65" s="52"/>
      <c r="DL65" s="57" t="str">
        <f t="shared" si="104"/>
        <v>Đến 30</v>
      </c>
      <c r="DM65" s="65" t="str">
        <f t="shared" ref="DM65:DM84" si="109">IF(DN65&gt;0,"TD","--")</f>
        <v>--</v>
      </c>
      <c r="DN65" s="36"/>
      <c r="DO65" s="35"/>
      <c r="DP65" s="56"/>
      <c r="DQ65" s="80"/>
      <c r="DR65" s="80"/>
      <c r="DS65" s="81"/>
      <c r="DT65" s="82"/>
      <c r="DU65" s="75"/>
      <c r="DV65" s="87"/>
      <c r="DW65" s="37"/>
      <c r="DX65" s="378" t="s">
        <v>72</v>
      </c>
      <c r="DY65" s="37"/>
      <c r="DZ65" s="363" t="s">
        <v>183</v>
      </c>
      <c r="EA65" s="49" t="s">
        <v>200</v>
      </c>
      <c r="EB65" s="362" t="s">
        <v>191</v>
      </c>
      <c r="EC65" s="49" t="s">
        <v>200</v>
      </c>
      <c r="ED65" s="76">
        <v>2013</v>
      </c>
      <c r="EE65" s="49">
        <f t="shared" si="105"/>
        <v>0</v>
      </c>
      <c r="EF65" s="77" t="str">
        <f t="shared" si="106"/>
        <v>- - -</v>
      </c>
      <c r="EG65" s="363" t="s">
        <v>183</v>
      </c>
      <c r="EH65" s="49" t="s">
        <v>200</v>
      </c>
      <c r="EI65" s="362" t="s">
        <v>191</v>
      </c>
      <c r="EJ65" s="49" t="s">
        <v>200</v>
      </c>
      <c r="EK65" s="76">
        <v>2013</v>
      </c>
      <c r="EL65" s="85">
        <v>3.66</v>
      </c>
      <c r="EM65" s="55" t="e">
        <f t="shared" si="107"/>
        <v>#REF!</v>
      </c>
      <c r="EN65" s="78" t="str">
        <f t="shared" si="108"/>
        <v>---</v>
      </c>
      <c r="EO65" s="87"/>
      <c r="EP65" s="79"/>
      <c r="EQ65" s="79"/>
      <c r="ER65" s="79"/>
      <c r="ES65" s="79"/>
      <c r="ET65" s="79"/>
      <c r="EU65" s="79"/>
      <c r="EV65" s="79"/>
      <c r="EW65" s="79"/>
      <c r="EX65" s="79"/>
      <c r="EY65" s="79"/>
      <c r="EZ65" s="79"/>
      <c r="FA65" s="79"/>
      <c r="FB65" s="79"/>
      <c r="FC65" s="79"/>
      <c r="FD65" s="79"/>
      <c r="FE65" s="79"/>
      <c r="FF65" s="79"/>
      <c r="FG65" s="79"/>
      <c r="FH65" s="79"/>
      <c r="FI65" s="79"/>
      <c r="FJ65" s="79"/>
      <c r="FK65" s="79"/>
      <c r="FL65" s="79"/>
      <c r="FM65" s="1076"/>
      <c r="FN65" s="103"/>
      <c r="FO65" s="103"/>
      <c r="FP65" s="103"/>
      <c r="FQ65" s="103"/>
      <c r="FR65" s="103"/>
    </row>
    <row r="66" spans="1:174" s="268" customFormat="1" ht="11.25" customHeight="1" x14ac:dyDescent="0.2">
      <c r="A66" s="98">
        <v>240</v>
      </c>
      <c r="B66" s="937">
        <v>3</v>
      </c>
      <c r="C66" s="35"/>
      <c r="D66" s="35" t="str">
        <f t="shared" si="71"/>
        <v>Ông</v>
      </c>
      <c r="E66" s="40" t="s">
        <v>18</v>
      </c>
      <c r="F66" s="35" t="s">
        <v>219</v>
      </c>
      <c r="G66" s="64" t="s">
        <v>139</v>
      </c>
      <c r="H66" s="1024" t="s">
        <v>200</v>
      </c>
      <c r="I66" s="64" t="s">
        <v>210</v>
      </c>
      <c r="J66" s="1024" t="s">
        <v>200</v>
      </c>
      <c r="K66" s="40">
        <v>1958</v>
      </c>
      <c r="L66" s="210" t="s">
        <v>264</v>
      </c>
      <c r="M66" s="1047" t="str">
        <f t="shared" si="72"/>
        <v>VC</v>
      </c>
      <c r="N66" s="223"/>
      <c r="O66" s="1025" t="e">
        <f t="shared" si="73"/>
        <v>#REF!</v>
      </c>
      <c r="P66" s="40" t="s">
        <v>276</v>
      </c>
      <c r="Q66" s="359" t="e">
        <f>VLOOKUP(P66,#REF!,2,0)</f>
        <v>#REF!</v>
      </c>
      <c r="R66" s="1032"/>
      <c r="S66" s="378" t="s">
        <v>325</v>
      </c>
      <c r="T66" s="38" t="e">
        <f>VLOOKUP(Y66,#REF!,5,0)</f>
        <v>#REF!</v>
      </c>
      <c r="U66" s="39" t="e">
        <f>VLOOKUP(Y66,#REF!,6,0)</f>
        <v>#REF!</v>
      </c>
      <c r="V66" s="1059" t="s">
        <v>248</v>
      </c>
      <c r="W66" s="358" t="str">
        <f t="shared" si="74"/>
        <v>Giảng viên chính (hạng II)</v>
      </c>
      <c r="X66" s="361" t="e">
        <f t="shared" si="75"/>
        <v>#REF!</v>
      </c>
      <c r="Y66" s="380" t="s">
        <v>255</v>
      </c>
      <c r="Z66" s="380" t="e">
        <f>VLOOKUP(Y66,#REF!,2,0)</f>
        <v>#REF!</v>
      </c>
      <c r="AA66" s="52" t="e">
        <f t="shared" si="76"/>
        <v>#REF!</v>
      </c>
      <c r="AB66" s="108">
        <v>8</v>
      </c>
      <c r="AC66" s="700" t="s">
        <v>200</v>
      </c>
      <c r="AD66" s="43">
        <v>8</v>
      </c>
      <c r="AE66" s="44">
        <v>6.78</v>
      </c>
      <c r="AF66" s="1132" t="s">
        <v>216</v>
      </c>
      <c r="AG66" s="438" t="str">
        <f>IF(AD66=AB66,"%",IF(AD66&gt;AB66,"/"))</f>
        <v>%</v>
      </c>
      <c r="AH66" s="673" t="s">
        <v>183</v>
      </c>
      <c r="AI66" s="694" t="s">
        <v>200</v>
      </c>
      <c r="AJ66" s="100" t="s">
        <v>186</v>
      </c>
      <c r="AK66" s="694" t="s">
        <v>200</v>
      </c>
      <c r="AL66" s="695">
        <v>2016</v>
      </c>
      <c r="AM66" s="178"/>
      <c r="AN66" s="53"/>
      <c r="AO66" s="353"/>
      <c r="AP66" s="275"/>
      <c r="AQ66" s="84"/>
      <c r="AR66" s="724">
        <f>IF(AND(AD66=AB66,AF66=0),5,IF(AND(AD66=AB66,AF66&gt;4),AF66+1,IF(AD66&gt;AB66,AD66)))</f>
        <v>5</v>
      </c>
      <c r="AS66" s="438" t="str">
        <f>IF(AD66=AB66,"%",IF(AD66&gt;AB66,AE66+BE66))</f>
        <v>%</v>
      </c>
      <c r="AT66" s="48" t="s">
        <v>183</v>
      </c>
      <c r="AU66" s="669" t="s">
        <v>200</v>
      </c>
      <c r="AV66" s="49" t="s">
        <v>186</v>
      </c>
      <c r="AW66" s="669" t="s">
        <v>200</v>
      </c>
      <c r="AX66" s="50">
        <v>2019</v>
      </c>
      <c r="AY66" s="87"/>
      <c r="AZ66" s="300"/>
      <c r="BA66" s="517"/>
      <c r="BB66" s="51" t="e">
        <f t="shared" si="77"/>
        <v>#REF!</v>
      </c>
      <c r="BC66" s="356">
        <f t="shared" si="78"/>
        <v>-24234</v>
      </c>
      <c r="BD66" s="310" t="e">
        <f>VLOOKUP(Y66,#REF!,3,0)</f>
        <v>#REF!</v>
      </c>
      <c r="BE66" s="310" t="e">
        <f>VLOOKUP(Y66,#REF!,4,0)</f>
        <v>#REF!</v>
      </c>
      <c r="BF66" s="57" t="str">
        <f t="shared" si="79"/>
        <v>PCTN</v>
      </c>
      <c r="BG66" s="58">
        <v>21</v>
      </c>
      <c r="BH66" s="450" t="s">
        <v>178</v>
      </c>
      <c r="BI66" s="60" t="s">
        <v>183</v>
      </c>
      <c r="BJ66" s="677" t="s">
        <v>200</v>
      </c>
      <c r="BK66" s="448">
        <v>11</v>
      </c>
      <c r="BL66" s="677" t="s">
        <v>200</v>
      </c>
      <c r="BM66" s="256">
        <v>2017</v>
      </c>
      <c r="BN66" s="178"/>
      <c r="BO66" s="62"/>
      <c r="BP66" s="59">
        <f>IF(BG66&gt;3,BG66+1,0)</f>
        <v>22</v>
      </c>
      <c r="BQ66" s="454" t="s">
        <v>178</v>
      </c>
      <c r="BR66" s="60" t="s">
        <v>183</v>
      </c>
      <c r="BS66" s="669" t="s">
        <v>200</v>
      </c>
      <c r="BT66" s="445">
        <v>11</v>
      </c>
      <c r="BU66" s="669" t="s">
        <v>200</v>
      </c>
      <c r="BV66" s="50">
        <v>2018</v>
      </c>
      <c r="BW66" s="61"/>
      <c r="BX66" s="177"/>
      <c r="BY66" s="357">
        <f t="shared" si="80"/>
        <v>-24227</v>
      </c>
      <c r="BZ66" s="57" t="str">
        <f t="shared" si="81"/>
        <v>- - -</v>
      </c>
      <c r="CA66" s="379" t="str">
        <f t="shared" si="82"/>
        <v>Chánh Văn phòng Học viện, Trưởng Ban Tổ chức - Cán bộ, Trưởng Khoa Quản lý nhà nước về Kinh tế và Tài chính công</v>
      </c>
      <c r="CB66" s="63" t="str">
        <f t="shared" si="83"/>
        <v>A</v>
      </c>
      <c r="CC66" s="41" t="e">
        <f t="shared" si="84"/>
        <v>#REF!</v>
      </c>
      <c r="CD66" s="52" t="e">
        <f t="shared" si="85"/>
        <v>#REF!</v>
      </c>
      <c r="CE66" s="35" t="str">
        <f t="shared" si="86"/>
        <v>S</v>
      </c>
      <c r="CF66" s="35">
        <v>2015</v>
      </c>
      <c r="CG66" s="367"/>
      <c r="CH66" s="35"/>
      <c r="CI66" s="102"/>
      <c r="CJ66" s="35" t="e">
        <f t="shared" si="87"/>
        <v>#REF!</v>
      </c>
      <c r="CK66" s="55" t="str">
        <f t="shared" si="88"/>
        <v>- - -</v>
      </c>
      <c r="CL66" s="65"/>
      <c r="CM66" s="66"/>
      <c r="CN66" s="65"/>
      <c r="CO66" s="80"/>
      <c r="CP66" s="55" t="str">
        <f t="shared" si="89"/>
        <v>- - -</v>
      </c>
      <c r="CQ66" s="65"/>
      <c r="CR66" s="66"/>
      <c r="CS66" s="65"/>
      <c r="CT66" s="80"/>
      <c r="CU66" s="69" t="e">
        <f t="shared" si="90"/>
        <v>#REF!</v>
      </c>
      <c r="CV66" s="70" t="str">
        <f t="shared" si="91"/>
        <v>/-/ /-/</v>
      </c>
      <c r="CW66" s="67">
        <f t="shared" si="92"/>
        <v>11</v>
      </c>
      <c r="CX66" s="68">
        <f t="shared" si="93"/>
        <v>2018</v>
      </c>
      <c r="CY66" s="67">
        <f t="shared" si="94"/>
        <v>8</v>
      </c>
      <c r="CZ66" s="68">
        <f t="shared" si="95"/>
        <v>2018</v>
      </c>
      <c r="DA66" s="67">
        <f t="shared" si="96"/>
        <v>5</v>
      </c>
      <c r="DB66" s="68">
        <f t="shared" si="97"/>
        <v>2018</v>
      </c>
      <c r="DC66" s="71" t="e">
        <f t="shared" si="98"/>
        <v>#REF!</v>
      </c>
      <c r="DD66" s="72" t="str">
        <f t="shared" si="99"/>
        <v>. .</v>
      </c>
      <c r="DE66" s="72"/>
      <c r="DF66" s="52">
        <f t="shared" si="100"/>
        <v>720</v>
      </c>
      <c r="DG66" s="52">
        <f t="shared" si="101"/>
        <v>-23494</v>
      </c>
      <c r="DH66" s="52">
        <f t="shared" si="102"/>
        <v>-1958</v>
      </c>
      <c r="DI66" s="52" t="str">
        <f t="shared" si="103"/>
        <v>Nam dưới 35</v>
      </c>
      <c r="DJ66" s="52"/>
      <c r="DK66" s="52"/>
      <c r="DL66" s="57" t="str">
        <f t="shared" si="104"/>
        <v>Đến 30</v>
      </c>
      <c r="DM66" s="65" t="str">
        <f t="shared" si="109"/>
        <v>--</v>
      </c>
      <c r="DN66" s="36"/>
      <c r="DO66" s="35"/>
      <c r="DP66" s="73"/>
      <c r="DQ66" s="36"/>
      <c r="DR66" s="80"/>
      <c r="DS66" s="81"/>
      <c r="DT66" s="82"/>
      <c r="DU66" s="75"/>
      <c r="DV66" s="87"/>
      <c r="DW66" s="37"/>
      <c r="DX66" s="378" t="s">
        <v>68</v>
      </c>
      <c r="DY66" s="37"/>
      <c r="DZ66" s="48" t="s">
        <v>183</v>
      </c>
      <c r="EA66" s="49" t="s">
        <v>200</v>
      </c>
      <c r="EB66" s="49" t="s">
        <v>191</v>
      </c>
      <c r="EC66" s="49" t="s">
        <v>200</v>
      </c>
      <c r="ED66" s="76">
        <v>2013</v>
      </c>
      <c r="EE66" s="49">
        <f t="shared" si="105"/>
        <v>0</v>
      </c>
      <c r="EF66" s="77" t="str">
        <f t="shared" si="106"/>
        <v>- - -</v>
      </c>
      <c r="EG66" s="48" t="s">
        <v>183</v>
      </c>
      <c r="EH66" s="49" t="s">
        <v>200</v>
      </c>
      <c r="EI66" s="49" t="s">
        <v>191</v>
      </c>
      <c r="EJ66" s="49" t="s">
        <v>200</v>
      </c>
      <c r="EK66" s="76">
        <v>2013</v>
      </c>
      <c r="EL66" s="35"/>
      <c r="EM66" s="55" t="e">
        <f t="shared" si="107"/>
        <v>#REF!</v>
      </c>
      <c r="EN66" s="78" t="str">
        <f t="shared" si="108"/>
        <v>---</v>
      </c>
      <c r="EO66" s="87"/>
      <c r="EP66" s="79"/>
      <c r="EQ66" s="79"/>
      <c r="ER66" s="79"/>
      <c r="ES66" s="79"/>
      <c r="ET66" s="79"/>
      <c r="EU66" s="79"/>
      <c r="EV66" s="79"/>
      <c r="EW66" s="79"/>
      <c r="EX66" s="79"/>
      <c r="EY66" s="79"/>
      <c r="EZ66" s="79"/>
      <c r="FA66" s="79"/>
      <c r="FB66" s="79"/>
      <c r="FC66" s="79"/>
      <c r="FD66" s="79"/>
      <c r="FE66" s="79"/>
      <c r="FF66" s="79"/>
      <c r="FG66" s="79"/>
      <c r="FH66" s="79"/>
      <c r="FI66" s="79"/>
      <c r="FJ66" s="79"/>
      <c r="FK66" s="79"/>
      <c r="FL66" s="79"/>
      <c r="FM66" s="79"/>
      <c r="FN66" s="79"/>
      <c r="FO66" s="79"/>
      <c r="FP66" s="79"/>
      <c r="FQ66" s="79"/>
      <c r="FR66" s="79"/>
    </row>
    <row r="67" spans="1:174" s="104" customFormat="1" ht="11.25" customHeight="1" x14ac:dyDescent="0.2">
      <c r="A67" s="98">
        <v>434</v>
      </c>
      <c r="B67" s="359">
        <v>4</v>
      </c>
      <c r="C67" s="35"/>
      <c r="D67" s="35" t="str">
        <f t="shared" si="71"/>
        <v>Bà</v>
      </c>
      <c r="E67" s="40" t="s">
        <v>30</v>
      </c>
      <c r="F67" s="35" t="s">
        <v>221</v>
      </c>
      <c r="G67" s="64" t="s">
        <v>5</v>
      </c>
      <c r="H67" s="1024" t="s">
        <v>200</v>
      </c>
      <c r="I67" s="64" t="s">
        <v>190</v>
      </c>
      <c r="J67" s="1024" t="s">
        <v>200</v>
      </c>
      <c r="K67" s="40">
        <v>1984</v>
      </c>
      <c r="L67" s="210" t="s">
        <v>258</v>
      </c>
      <c r="M67" s="1047" t="str">
        <f t="shared" si="72"/>
        <v>NLĐ</v>
      </c>
      <c r="N67" s="223"/>
      <c r="O67" s="1025" t="e">
        <f t="shared" si="73"/>
        <v>#N/A</v>
      </c>
      <c r="P67" s="40"/>
      <c r="Q67" s="359" t="e">
        <f>VLOOKUP(P67,'[2]- DLiêu Gốc (Không sửa)'!$C$2:$H$116,2,0)</f>
        <v>#N/A</v>
      </c>
      <c r="R67" s="1032" t="s">
        <v>344</v>
      </c>
      <c r="S67" s="378" t="s">
        <v>328</v>
      </c>
      <c r="T67" s="38" t="e">
        <f>VLOOKUP(Y67,#REF!,5,0)</f>
        <v>#REF!</v>
      </c>
      <c r="U67" s="39" t="e">
        <f>VLOOKUP(Y67,#REF!,6,0)</f>
        <v>#REF!</v>
      </c>
      <c r="V67" s="1059" t="s">
        <v>249</v>
      </c>
      <c r="W67" s="358" t="str">
        <f t="shared" si="74"/>
        <v>Chuyên viên</v>
      </c>
      <c r="X67" s="361" t="e">
        <f t="shared" si="75"/>
        <v>#REF!</v>
      </c>
      <c r="Y67" s="380" t="s">
        <v>181</v>
      </c>
      <c r="Z67" s="380" t="e">
        <f>VLOOKUP(Y67,#REF!,2,0)</f>
        <v>#REF!</v>
      </c>
      <c r="AA67" s="52" t="e">
        <f t="shared" si="76"/>
        <v>#REF!</v>
      </c>
      <c r="AB67" s="108">
        <v>3</v>
      </c>
      <c r="AC67" s="700" t="s">
        <v>200</v>
      </c>
      <c r="AD67" s="43">
        <v>9</v>
      </c>
      <c r="AE67" s="44">
        <v>3</v>
      </c>
      <c r="AF67" s="435"/>
      <c r="AG67" s="100"/>
      <c r="AH67" s="673" t="s">
        <v>183</v>
      </c>
      <c r="AI67" s="694" t="s">
        <v>200</v>
      </c>
      <c r="AJ67" s="100" t="s">
        <v>186</v>
      </c>
      <c r="AK67" s="694" t="s">
        <v>200</v>
      </c>
      <c r="AL67" s="695">
        <v>2016</v>
      </c>
      <c r="AM67" s="178"/>
      <c r="AN67" s="53"/>
      <c r="AO67" s="353">
        <f>AB67+1</f>
        <v>4</v>
      </c>
      <c r="AP67" s="275" t="str">
        <f>IF(AD67=AB67,"%",IF(AD67&gt;AB67,"/"))</f>
        <v>/</v>
      </c>
      <c r="AQ67" s="84">
        <f>IF(AND(AD67=AB67,AO67=4),5,IF(AND(AD67=AB67,AO67&gt;4),AO67+1,IF(AD67&gt;AB67,AD67)))</f>
        <v>9</v>
      </c>
      <c r="AR67" s="47" t="e">
        <f>IF(AD67=AB67,"%",IF(AD67&gt;AB67,AE67+BE67))</f>
        <v>#REF!</v>
      </c>
      <c r="AS67" s="438"/>
      <c r="AT67" s="48" t="s">
        <v>183</v>
      </c>
      <c r="AU67" s="669" t="s">
        <v>200</v>
      </c>
      <c r="AV67" s="49" t="s">
        <v>186</v>
      </c>
      <c r="AW67" s="669" t="s">
        <v>200</v>
      </c>
      <c r="AX67" s="50">
        <v>2019</v>
      </c>
      <c r="AY67" s="87"/>
      <c r="AZ67" s="300"/>
      <c r="BA67" s="517"/>
      <c r="BB67" s="51" t="e">
        <f t="shared" si="77"/>
        <v>#REF!</v>
      </c>
      <c r="BC67" s="356">
        <f t="shared" si="78"/>
        <v>-24234</v>
      </c>
      <c r="BD67" s="310" t="e">
        <f>VLOOKUP(Y67,#REF!,3,0)</f>
        <v>#REF!</v>
      </c>
      <c r="BE67" s="310" t="e">
        <f>VLOOKUP(Y67,#REF!,4,0)</f>
        <v>#REF!</v>
      </c>
      <c r="BF67" s="57" t="str">
        <f t="shared" si="79"/>
        <v>o-o-o</v>
      </c>
      <c r="BG67" s="58"/>
      <c r="BH67" s="450"/>
      <c r="BI67" s="449"/>
      <c r="BJ67" s="677"/>
      <c r="BK67" s="441"/>
      <c r="BL67" s="677"/>
      <c r="BM67" s="99"/>
      <c r="BN67" s="178"/>
      <c r="BO67" s="62"/>
      <c r="BP67" s="59"/>
      <c r="BQ67" s="454"/>
      <c r="BR67" s="60"/>
      <c r="BS67" s="669"/>
      <c r="BT67" s="442"/>
      <c r="BU67" s="669"/>
      <c r="BV67" s="50"/>
      <c r="BW67" s="61"/>
      <c r="BX67" s="177"/>
      <c r="BY67" s="357" t="str">
        <f t="shared" si="80"/>
        <v>- - -</v>
      </c>
      <c r="BZ67" s="57" t="str">
        <f t="shared" si="81"/>
        <v>- - -</v>
      </c>
      <c r="CA67" s="379" t="str">
        <f t="shared" si="82"/>
        <v>Chánh Văn phòng Học viện, Trưởng Ban Tổ chức - Cán bộ, Trưởng Trung tâm Ngoại ngữ - Tin học và Thông tin - Thư viện</v>
      </c>
      <c r="CB67" s="63" t="str">
        <f t="shared" si="83"/>
        <v>A</v>
      </c>
      <c r="CC67" s="41" t="e">
        <f t="shared" si="84"/>
        <v>#REF!</v>
      </c>
      <c r="CD67" s="52" t="e">
        <f t="shared" si="85"/>
        <v>#REF!</v>
      </c>
      <c r="CE67" s="35" t="str">
        <f t="shared" si="86"/>
        <v>---</v>
      </c>
      <c r="CF67" s="35"/>
      <c r="CG67" s="367"/>
      <c r="CH67" s="35"/>
      <c r="CI67" s="94"/>
      <c r="CJ67" s="35" t="e">
        <f t="shared" si="87"/>
        <v>#REF!</v>
      </c>
      <c r="CK67" s="55" t="str">
        <f t="shared" si="88"/>
        <v>- - -</v>
      </c>
      <c r="CL67" s="65"/>
      <c r="CM67" s="66"/>
      <c r="CN67" s="65"/>
      <c r="CO67" s="80"/>
      <c r="CP67" s="55" t="str">
        <f t="shared" si="89"/>
        <v>CN</v>
      </c>
      <c r="CQ67" s="65">
        <v>6</v>
      </c>
      <c r="CR67" s="66">
        <v>2013</v>
      </c>
      <c r="CS67" s="65"/>
      <c r="CT67" s="80"/>
      <c r="CU67" s="69" t="e">
        <f t="shared" si="90"/>
        <v>#REF!</v>
      </c>
      <c r="CV67" s="70" t="str">
        <f t="shared" si="91"/>
        <v>/-/ /-/</v>
      </c>
      <c r="CW67" s="67">
        <f t="shared" si="92"/>
        <v>10</v>
      </c>
      <c r="CX67" s="68">
        <f t="shared" si="93"/>
        <v>2039</v>
      </c>
      <c r="CY67" s="67">
        <f t="shared" si="94"/>
        <v>7</v>
      </c>
      <c r="CZ67" s="68">
        <f t="shared" si="95"/>
        <v>2039</v>
      </c>
      <c r="DA67" s="67">
        <f t="shared" si="96"/>
        <v>4</v>
      </c>
      <c r="DB67" s="68">
        <f t="shared" si="97"/>
        <v>2039</v>
      </c>
      <c r="DC67" s="71" t="e">
        <f t="shared" si="98"/>
        <v>#REF!</v>
      </c>
      <c r="DD67" s="72" t="str">
        <f t="shared" si="99"/>
        <v>. .</v>
      </c>
      <c r="DE67" s="72"/>
      <c r="DF67" s="52">
        <f t="shared" si="100"/>
        <v>660</v>
      </c>
      <c r="DG67" s="52">
        <f t="shared" si="101"/>
        <v>-23805</v>
      </c>
      <c r="DH67" s="52">
        <f t="shared" si="102"/>
        <v>-1984</v>
      </c>
      <c r="DI67" s="52" t="str">
        <f t="shared" si="103"/>
        <v>Nữ dưới 30</v>
      </c>
      <c r="DJ67" s="52"/>
      <c r="DK67" s="52"/>
      <c r="DL67" s="57" t="str">
        <f t="shared" si="104"/>
        <v>Đến 30</v>
      </c>
      <c r="DM67" s="65" t="str">
        <f t="shared" si="109"/>
        <v>--</v>
      </c>
      <c r="DN67" s="36"/>
      <c r="DO67" s="35" t="s">
        <v>127</v>
      </c>
      <c r="DP67" s="73">
        <v>6</v>
      </c>
      <c r="DQ67" s="36">
        <v>2013</v>
      </c>
      <c r="DR67" s="80"/>
      <c r="DS67" s="81"/>
      <c r="DT67" s="82"/>
      <c r="DU67" s="75"/>
      <c r="DV67" s="87"/>
      <c r="DW67" s="37" t="s">
        <v>141</v>
      </c>
      <c r="DX67" s="378" t="s">
        <v>69</v>
      </c>
      <c r="DY67" s="37" t="s">
        <v>141</v>
      </c>
      <c r="DZ67" s="48" t="s">
        <v>183</v>
      </c>
      <c r="EA67" s="49" t="s">
        <v>200</v>
      </c>
      <c r="EB67" s="49" t="s">
        <v>186</v>
      </c>
      <c r="EC67" s="49" t="s">
        <v>200</v>
      </c>
      <c r="ED67" s="76">
        <v>2013</v>
      </c>
      <c r="EE67" s="49">
        <f t="shared" si="105"/>
        <v>0</v>
      </c>
      <c r="EF67" s="77" t="str">
        <f t="shared" si="106"/>
        <v>- - -</v>
      </c>
      <c r="EG67" s="48" t="s">
        <v>183</v>
      </c>
      <c r="EH67" s="49" t="s">
        <v>200</v>
      </c>
      <c r="EI67" s="49" t="s">
        <v>186</v>
      </c>
      <c r="EJ67" s="49" t="s">
        <v>200</v>
      </c>
      <c r="EK67" s="76">
        <v>2013</v>
      </c>
      <c r="EL67" s="35"/>
      <c r="EM67" s="55" t="e">
        <f t="shared" si="107"/>
        <v>#REF!</v>
      </c>
      <c r="EN67" s="78" t="str">
        <f t="shared" si="108"/>
        <v>---</v>
      </c>
      <c r="EO67" s="87"/>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1076"/>
      <c r="FO67" s="1076"/>
      <c r="FP67" s="1076"/>
      <c r="FQ67" s="1076"/>
      <c r="FR67" s="1076"/>
    </row>
    <row r="68" spans="1:174" s="79" customFormat="1" ht="11.25" customHeight="1" x14ac:dyDescent="0.2">
      <c r="A68" s="98">
        <v>439</v>
      </c>
      <c r="B68" s="937">
        <v>5</v>
      </c>
      <c r="C68" s="301" t="s">
        <v>227</v>
      </c>
      <c r="D68" s="301" t="str">
        <f t="shared" si="71"/>
        <v>Bà</v>
      </c>
      <c r="E68" s="348" t="s">
        <v>20</v>
      </c>
      <c r="F68" s="301" t="s">
        <v>221</v>
      </c>
      <c r="G68" s="1028" t="s">
        <v>174</v>
      </c>
      <c r="H68" s="1029" t="s">
        <v>200</v>
      </c>
      <c r="I68" s="1028" t="s">
        <v>189</v>
      </c>
      <c r="J68" s="1029" t="s">
        <v>200</v>
      </c>
      <c r="K68" s="302">
        <v>1982</v>
      </c>
      <c r="L68" s="313" t="s">
        <v>264</v>
      </c>
      <c r="M68" s="307" t="str">
        <f t="shared" si="72"/>
        <v>VC</v>
      </c>
      <c r="N68" s="706"/>
      <c r="O68" s="1030" t="e">
        <f t="shared" si="73"/>
        <v>#N/A</v>
      </c>
      <c r="P68" s="302"/>
      <c r="Q68" s="381" t="e">
        <f>VLOOKUP(P68,'[2]- DLiêu Gốc (Không sửa)'!$C$2:$H$116,2,0)</f>
        <v>#N/A</v>
      </c>
      <c r="R68" s="1038" t="s">
        <v>344</v>
      </c>
      <c r="S68" s="378" t="s">
        <v>328</v>
      </c>
      <c r="T68" s="305" t="e">
        <f>VLOOKUP(Y68,#REF!,5,0)</f>
        <v>#REF!</v>
      </c>
      <c r="U68" s="306" t="e">
        <f>VLOOKUP(Y68,#REF!,6,0)</f>
        <v>#REF!</v>
      </c>
      <c r="V68" s="328" t="s">
        <v>249</v>
      </c>
      <c r="W68" s="383" t="str">
        <f t="shared" si="74"/>
        <v>Chuyên viên</v>
      </c>
      <c r="X68" s="328" t="e">
        <f t="shared" si="75"/>
        <v>#REF!</v>
      </c>
      <c r="Y68" s="388" t="s">
        <v>181</v>
      </c>
      <c r="Z68" s="384" t="e">
        <f>VLOOKUP(Y68,#REF!,2,0)</f>
        <v>#REF!</v>
      </c>
      <c r="AA68" s="307" t="e">
        <f t="shared" si="76"/>
        <v>#REF!</v>
      </c>
      <c r="AB68" s="352">
        <v>3</v>
      </c>
      <c r="AC68" s="701" t="s">
        <v>200</v>
      </c>
      <c r="AD68" s="309">
        <v>9</v>
      </c>
      <c r="AE68" s="310">
        <v>3</v>
      </c>
      <c r="AF68" s="507"/>
      <c r="AG68" s="311"/>
      <c r="AH68" s="707" t="s">
        <v>183</v>
      </c>
      <c r="AI68" s="694" t="s">
        <v>200</v>
      </c>
      <c r="AJ68" s="311" t="s">
        <v>186</v>
      </c>
      <c r="AK68" s="694" t="s">
        <v>200</v>
      </c>
      <c r="AL68" s="708">
        <v>2016</v>
      </c>
      <c r="AM68" s="319"/>
      <c r="AN68" s="320"/>
      <c r="AO68" s="1018">
        <f>AB68+1</f>
        <v>4</v>
      </c>
      <c r="AP68" s="1019" t="str">
        <f>IF(AD68=AB68,"%",IF(AD68&gt;AB68,"/"))</f>
        <v>/</v>
      </c>
      <c r="AQ68" s="312">
        <f>IF(AND(AD68=AB68,AO68=4),5,IF(AND(AD68=AB68,AO68&gt;4),AO68+1,IF(AD68&gt;AB68,AD68)))</f>
        <v>9</v>
      </c>
      <c r="AR68" s="313" t="e">
        <f>IF(AD68=AB68,"%",IF(AD68&gt;AB68,AE68+BE68))</f>
        <v>#REF!</v>
      </c>
      <c r="AS68" s="439"/>
      <c r="AT68" s="314" t="s">
        <v>183</v>
      </c>
      <c r="AU68" s="676" t="s">
        <v>200</v>
      </c>
      <c r="AV68" s="315" t="s">
        <v>186</v>
      </c>
      <c r="AW68" s="676" t="s">
        <v>200</v>
      </c>
      <c r="AX68" s="50">
        <v>2019</v>
      </c>
      <c r="AY68" s="346"/>
      <c r="AZ68" s="515"/>
      <c r="BA68" s="518"/>
      <c r="BB68" s="318" t="e">
        <f t="shared" si="77"/>
        <v>#REF!</v>
      </c>
      <c r="BC68" s="385">
        <f t="shared" si="78"/>
        <v>-24234</v>
      </c>
      <c r="BD68" s="310" t="e">
        <f>VLOOKUP(Y68,#REF!,3,0)</f>
        <v>#REF!</v>
      </c>
      <c r="BE68" s="310" t="e">
        <f>VLOOKUP(Y68,#REF!,4,0)</f>
        <v>#REF!</v>
      </c>
      <c r="BF68" s="321" t="str">
        <f t="shared" si="79"/>
        <v>o-o-o</v>
      </c>
      <c r="BG68" s="322"/>
      <c r="BH68" s="451"/>
      <c r="BI68" s="709"/>
      <c r="BJ68" s="676"/>
      <c r="BK68" s="446"/>
      <c r="BL68" s="676"/>
      <c r="BM68" s="316"/>
      <c r="BN68" s="319"/>
      <c r="BO68" s="325"/>
      <c r="BP68" s="323"/>
      <c r="BQ68" s="710"/>
      <c r="BR68" s="709"/>
      <c r="BS68" s="676"/>
      <c r="BT68" s="446"/>
      <c r="BU68" s="676"/>
      <c r="BV68" s="316"/>
      <c r="BW68" s="324"/>
      <c r="BX68" s="317"/>
      <c r="BY68" s="386" t="str">
        <f t="shared" si="80"/>
        <v>- - -</v>
      </c>
      <c r="BZ68" s="321" t="str">
        <f t="shared" si="81"/>
        <v>- - -</v>
      </c>
      <c r="CA68" s="302" t="str">
        <f t="shared" si="82"/>
        <v>Chánh Văn phòng Học viện, Trưởng Ban Tổ chức - Cán bộ, Trưởng Trung tâm Ngoại ngữ - Tin học và Thông tin - Thư viện</v>
      </c>
      <c r="CB68" s="326" t="str">
        <f t="shared" si="83"/>
        <v>A</v>
      </c>
      <c r="CC68" s="327" t="e">
        <f t="shared" si="84"/>
        <v>#REF!</v>
      </c>
      <c r="CD68" s="307" t="e">
        <f t="shared" si="85"/>
        <v>#REF!</v>
      </c>
      <c r="CE68" s="301" t="str">
        <f t="shared" si="86"/>
        <v>---</v>
      </c>
      <c r="CF68" s="301"/>
      <c r="CG68" s="377"/>
      <c r="CH68" s="301"/>
      <c r="CI68" s="387"/>
      <c r="CJ68" s="301" t="e">
        <f t="shared" si="87"/>
        <v>#REF!</v>
      </c>
      <c r="CK68" s="329" t="str">
        <f t="shared" si="88"/>
        <v>- - -</v>
      </c>
      <c r="CL68" s="330"/>
      <c r="CM68" s="331"/>
      <c r="CN68" s="330"/>
      <c r="CO68" s="332"/>
      <c r="CP68" s="329" t="str">
        <f t="shared" si="89"/>
        <v>- - -</v>
      </c>
      <c r="CQ68" s="330"/>
      <c r="CR68" s="331"/>
      <c r="CS68" s="330"/>
      <c r="CT68" s="332"/>
      <c r="CU68" s="333" t="e">
        <f t="shared" si="90"/>
        <v>#REF!</v>
      </c>
      <c r="CV68" s="334" t="str">
        <f t="shared" si="91"/>
        <v>/-/ /-/</v>
      </c>
      <c r="CW68" s="335">
        <f t="shared" si="92"/>
        <v>8</v>
      </c>
      <c r="CX68" s="336">
        <f t="shared" si="93"/>
        <v>2037</v>
      </c>
      <c r="CY68" s="335">
        <f t="shared" si="94"/>
        <v>5</v>
      </c>
      <c r="CZ68" s="336">
        <f t="shared" si="95"/>
        <v>2037</v>
      </c>
      <c r="DA68" s="335">
        <f t="shared" si="96"/>
        <v>2</v>
      </c>
      <c r="DB68" s="336">
        <f t="shared" si="97"/>
        <v>2037</v>
      </c>
      <c r="DC68" s="337" t="e">
        <f t="shared" si="98"/>
        <v>#REF!</v>
      </c>
      <c r="DD68" s="338" t="str">
        <f t="shared" si="99"/>
        <v>. .</v>
      </c>
      <c r="DE68" s="338"/>
      <c r="DF68" s="307">
        <f t="shared" si="100"/>
        <v>660</v>
      </c>
      <c r="DG68" s="307">
        <f t="shared" si="101"/>
        <v>-23779</v>
      </c>
      <c r="DH68" s="307">
        <f t="shared" si="102"/>
        <v>-1982</v>
      </c>
      <c r="DI68" s="307" t="str">
        <f t="shared" si="103"/>
        <v>Nữ dưới 30</v>
      </c>
      <c r="DJ68" s="307"/>
      <c r="DK68" s="307"/>
      <c r="DL68" s="321" t="str">
        <f t="shared" si="104"/>
        <v>Đến 30</v>
      </c>
      <c r="DM68" s="330" t="str">
        <f t="shared" si="109"/>
        <v>--</v>
      </c>
      <c r="DN68" s="303"/>
      <c r="DO68" s="301"/>
      <c r="DP68" s="339"/>
      <c r="DQ68" s="303"/>
      <c r="DR68" s="332"/>
      <c r="DS68" s="340"/>
      <c r="DT68" s="341"/>
      <c r="DU68" s="342"/>
      <c r="DV68" s="346"/>
      <c r="DW68" s="349" t="s">
        <v>141</v>
      </c>
      <c r="DX68" s="382" t="s">
        <v>69</v>
      </c>
      <c r="DY68" s="349" t="s">
        <v>141</v>
      </c>
      <c r="DZ68" s="314" t="s">
        <v>192</v>
      </c>
      <c r="EA68" s="315" t="s">
        <v>200</v>
      </c>
      <c r="EB68" s="315" t="s">
        <v>186</v>
      </c>
      <c r="EC68" s="315" t="s">
        <v>200</v>
      </c>
      <c r="ED68" s="343" t="s">
        <v>203</v>
      </c>
      <c r="EE68" s="315">
        <f t="shared" si="105"/>
        <v>14</v>
      </c>
      <c r="EF68" s="344" t="str">
        <f t="shared" si="106"/>
        <v>Sửa</v>
      </c>
      <c r="EG68" s="314" t="s">
        <v>183</v>
      </c>
      <c r="EH68" s="315" t="s">
        <v>200</v>
      </c>
      <c r="EI68" s="315" t="s">
        <v>186</v>
      </c>
      <c r="EJ68" s="315" t="s">
        <v>200</v>
      </c>
      <c r="EK68" s="343" t="s">
        <v>203</v>
      </c>
      <c r="EL68" s="301"/>
      <c r="EM68" s="329" t="e">
        <f t="shared" si="107"/>
        <v>#REF!</v>
      </c>
      <c r="EN68" s="345" t="str">
        <f t="shared" si="108"/>
        <v>---</v>
      </c>
      <c r="EO68" s="346"/>
      <c r="EP68" s="347"/>
      <c r="EQ68" s="347"/>
      <c r="ER68" s="347"/>
      <c r="ES68" s="347"/>
      <c r="ET68" s="347"/>
      <c r="EU68" s="347"/>
      <c r="EV68" s="347"/>
      <c r="EW68" s="347"/>
      <c r="EX68" s="347"/>
      <c r="EY68" s="347"/>
      <c r="EZ68" s="347"/>
      <c r="FA68" s="347"/>
      <c r="FB68" s="347"/>
      <c r="FC68" s="347"/>
      <c r="FD68" s="347"/>
      <c r="FE68" s="347"/>
      <c r="FF68" s="347"/>
      <c r="FG68" s="347"/>
      <c r="FH68" s="347"/>
      <c r="FI68" s="347"/>
      <c r="FJ68" s="347"/>
      <c r="FK68" s="347"/>
      <c r="FL68" s="347"/>
      <c r="FM68" s="347"/>
      <c r="FN68" s="347"/>
      <c r="FO68" s="347"/>
      <c r="FP68" s="347"/>
      <c r="FQ68" s="347"/>
      <c r="FR68" s="347"/>
    </row>
    <row r="69" spans="1:174" s="79" customFormat="1" ht="11.25" customHeight="1" x14ac:dyDescent="0.2">
      <c r="A69" s="98">
        <v>443</v>
      </c>
      <c r="B69" s="359">
        <v>6</v>
      </c>
      <c r="C69" s="35"/>
      <c r="D69" s="35" t="str">
        <f t="shared" si="71"/>
        <v>Ông</v>
      </c>
      <c r="E69" s="40" t="s">
        <v>10</v>
      </c>
      <c r="F69" s="35" t="s">
        <v>219</v>
      </c>
      <c r="G69" s="64" t="s">
        <v>213</v>
      </c>
      <c r="H69" s="1024" t="s">
        <v>200</v>
      </c>
      <c r="I69" s="64">
        <v>7</v>
      </c>
      <c r="J69" s="1024" t="s">
        <v>200</v>
      </c>
      <c r="K69" s="40">
        <v>1975</v>
      </c>
      <c r="L69" s="210" t="s">
        <v>264</v>
      </c>
      <c r="M69" s="1047" t="str">
        <f t="shared" si="72"/>
        <v>VC</v>
      </c>
      <c r="N69" s="223"/>
      <c r="O69" s="1025" t="e">
        <f t="shared" si="73"/>
        <v>#VALUE!</v>
      </c>
      <c r="P69" s="40" t="s">
        <v>118</v>
      </c>
      <c r="Q69" s="359" t="str">
        <f>VLOOKUP(P69,'[2]- DLiêu Gốc (Không sửa)'!$C$2:$H$116,2,0)</f>
        <v>0,4</v>
      </c>
      <c r="R69" s="1032" t="s">
        <v>345</v>
      </c>
      <c r="S69" s="378" t="s">
        <v>328</v>
      </c>
      <c r="T69" s="38" t="e">
        <f>VLOOKUP(Y69,#REF!,5,0)</f>
        <v>#REF!</v>
      </c>
      <c r="U69" s="39" t="e">
        <f>VLOOKUP(Y69,#REF!,6,0)</f>
        <v>#REF!</v>
      </c>
      <c r="V69" s="1059" t="s">
        <v>248</v>
      </c>
      <c r="W69" s="358" t="str">
        <f t="shared" si="74"/>
        <v>Giảng viên (hạng III)</v>
      </c>
      <c r="X69" s="361" t="e">
        <f t="shared" si="75"/>
        <v>#REF!</v>
      </c>
      <c r="Y69" s="380" t="s">
        <v>254</v>
      </c>
      <c r="Z69" s="380" t="e">
        <f>VLOOKUP(Y69,#REF!,2,0)</f>
        <v>#REF!</v>
      </c>
      <c r="AA69" s="52" t="e">
        <f t="shared" si="76"/>
        <v>#REF!</v>
      </c>
      <c r="AB69" s="108">
        <v>5</v>
      </c>
      <c r="AC69" s="700" t="s">
        <v>200</v>
      </c>
      <c r="AD69" s="43">
        <v>9</v>
      </c>
      <c r="AE69" s="44">
        <v>3.66</v>
      </c>
      <c r="AF69" s="435"/>
      <c r="AG69" s="100"/>
      <c r="AH69" s="673" t="s">
        <v>183</v>
      </c>
      <c r="AI69" s="694" t="s">
        <v>200</v>
      </c>
      <c r="AJ69" s="100" t="s">
        <v>186</v>
      </c>
      <c r="AK69" s="694" t="s">
        <v>200</v>
      </c>
      <c r="AL69" s="695">
        <v>2016</v>
      </c>
      <c r="AM69" s="178"/>
      <c r="AN69" s="53"/>
      <c r="AO69" s="353">
        <f>AB69+1</f>
        <v>6</v>
      </c>
      <c r="AP69" s="275" t="str">
        <f>IF(AD69=AB69,"%",IF(AD69&gt;AB69,"/"))</f>
        <v>/</v>
      </c>
      <c r="AQ69" s="84">
        <f>IF(AND(AD69=AB69,AO69=4),5,IF(AND(AD69=AB69,AO69&gt;4),AO69+1,IF(AD69&gt;AB69,AD69)))</f>
        <v>9</v>
      </c>
      <c r="AR69" s="47" t="e">
        <f>IF(AD69=AB69,"%",IF(AD69&gt;AB69,AE69+BE69))</f>
        <v>#REF!</v>
      </c>
      <c r="AS69" s="438"/>
      <c r="AT69" s="48" t="s">
        <v>183</v>
      </c>
      <c r="AU69" s="669" t="s">
        <v>200</v>
      </c>
      <c r="AV69" s="49" t="s">
        <v>186</v>
      </c>
      <c r="AW69" s="669" t="s">
        <v>200</v>
      </c>
      <c r="AX69" s="50">
        <v>2019</v>
      </c>
      <c r="AY69" s="87"/>
      <c r="AZ69" s="300"/>
      <c r="BA69" s="517"/>
      <c r="BB69" s="51" t="e">
        <f t="shared" si="77"/>
        <v>#REF!</v>
      </c>
      <c r="BC69" s="356">
        <f t="shared" si="78"/>
        <v>-24234</v>
      </c>
      <c r="BD69" s="310" t="e">
        <f>VLOOKUP(Y69,#REF!,3,0)</f>
        <v>#REF!</v>
      </c>
      <c r="BE69" s="310" t="e">
        <f>VLOOKUP(Y69,#REF!,4,0)</f>
        <v>#REF!</v>
      </c>
      <c r="BF69" s="57" t="str">
        <f t="shared" si="79"/>
        <v>PCTN</v>
      </c>
      <c r="BG69" s="58">
        <v>13</v>
      </c>
      <c r="BH69" s="450" t="s">
        <v>178</v>
      </c>
      <c r="BI69" s="60" t="s">
        <v>183</v>
      </c>
      <c r="BJ69" s="677" t="s">
        <v>200</v>
      </c>
      <c r="BK69" s="448">
        <v>10</v>
      </c>
      <c r="BL69" s="677" t="s">
        <v>200</v>
      </c>
      <c r="BM69" s="50">
        <v>2017</v>
      </c>
      <c r="BN69" s="178"/>
      <c r="BO69" s="62"/>
      <c r="BP69" s="59">
        <f>IF(BG69&gt;3,BG69+1,0)</f>
        <v>14</v>
      </c>
      <c r="BQ69" s="454" t="s">
        <v>178</v>
      </c>
      <c r="BR69" s="60" t="s">
        <v>183</v>
      </c>
      <c r="BS69" s="669" t="s">
        <v>200</v>
      </c>
      <c r="BT69" s="445">
        <v>10</v>
      </c>
      <c r="BU69" s="669" t="s">
        <v>200</v>
      </c>
      <c r="BV69" s="50">
        <v>2018</v>
      </c>
      <c r="BW69" s="61"/>
      <c r="BX69" s="177"/>
      <c r="BY69" s="357">
        <f t="shared" si="80"/>
        <v>-24226</v>
      </c>
      <c r="BZ69" s="57" t="str">
        <f t="shared" si="81"/>
        <v>- - -</v>
      </c>
      <c r="CA69" s="379" t="str">
        <f t="shared" si="82"/>
        <v>Chánh Văn phòng Học viện, Trưởng Ban Tổ chức - Cán bộ, Trưởng Trung tâm Ngoại ngữ - Tin học và Thông tin - Thư viện</v>
      </c>
      <c r="CB69" s="63" t="str">
        <f t="shared" si="83"/>
        <v>A</v>
      </c>
      <c r="CC69" s="41" t="e">
        <f t="shared" si="84"/>
        <v>#REF!</v>
      </c>
      <c r="CD69" s="52" t="e">
        <f t="shared" si="85"/>
        <v>#REF!</v>
      </c>
      <c r="CE69" s="35" t="str">
        <f t="shared" si="86"/>
        <v>---</v>
      </c>
      <c r="CF69" s="35"/>
      <c r="CG69" s="367"/>
      <c r="CH69" s="35"/>
      <c r="CI69" s="102"/>
      <c r="CJ69" s="35" t="e">
        <f t="shared" si="87"/>
        <v>#REF!</v>
      </c>
      <c r="CK69" s="55" t="str">
        <f t="shared" si="88"/>
        <v>- - -</v>
      </c>
      <c r="CL69" s="65"/>
      <c r="CM69" s="66"/>
      <c r="CN69" s="65"/>
      <c r="CO69" s="80"/>
      <c r="CP69" s="55" t="str">
        <f t="shared" si="89"/>
        <v>- - -</v>
      </c>
      <c r="CQ69" s="65"/>
      <c r="CR69" s="66"/>
      <c r="CS69" s="65"/>
      <c r="CT69" s="80"/>
      <c r="CU69" s="69" t="e">
        <f t="shared" si="90"/>
        <v>#REF!</v>
      </c>
      <c r="CV69" s="70" t="str">
        <f t="shared" si="91"/>
        <v>/-/ /-/</v>
      </c>
      <c r="CW69" s="67">
        <f t="shared" si="92"/>
        <v>8</v>
      </c>
      <c r="CX69" s="68">
        <f t="shared" si="93"/>
        <v>2035</v>
      </c>
      <c r="CY69" s="67">
        <f t="shared" si="94"/>
        <v>5</v>
      </c>
      <c r="CZ69" s="68">
        <f t="shared" si="95"/>
        <v>2035</v>
      </c>
      <c r="DA69" s="67">
        <f t="shared" si="96"/>
        <v>2</v>
      </c>
      <c r="DB69" s="68">
        <f t="shared" si="97"/>
        <v>2035</v>
      </c>
      <c r="DC69" s="71" t="e">
        <f t="shared" si="98"/>
        <v>#REF!</v>
      </c>
      <c r="DD69" s="72" t="str">
        <f t="shared" si="99"/>
        <v>. .</v>
      </c>
      <c r="DE69" s="72"/>
      <c r="DF69" s="52">
        <f t="shared" si="100"/>
        <v>720</v>
      </c>
      <c r="DG69" s="52">
        <f t="shared" si="101"/>
        <v>-23695</v>
      </c>
      <c r="DH69" s="52">
        <f t="shared" si="102"/>
        <v>-1975</v>
      </c>
      <c r="DI69" s="52" t="str">
        <f t="shared" si="103"/>
        <v>Nam dưới 35</v>
      </c>
      <c r="DJ69" s="52"/>
      <c r="DK69" s="52"/>
      <c r="DL69" s="57" t="str">
        <f t="shared" si="104"/>
        <v>Đến 30</v>
      </c>
      <c r="DM69" s="65" t="str">
        <f t="shared" si="109"/>
        <v>TD</v>
      </c>
      <c r="DN69" s="36">
        <v>2008</v>
      </c>
      <c r="DO69" s="35"/>
      <c r="DP69" s="73"/>
      <c r="DQ69" s="36"/>
      <c r="DR69" s="80"/>
      <c r="DS69" s="81"/>
      <c r="DT69" s="82"/>
      <c r="DU69" s="75"/>
      <c r="DV69" s="87"/>
      <c r="DW69" s="37"/>
      <c r="DX69" s="378" t="s">
        <v>75</v>
      </c>
      <c r="DY69" s="37"/>
      <c r="DZ69" s="48" t="s">
        <v>183</v>
      </c>
      <c r="EA69" s="49" t="s">
        <v>200</v>
      </c>
      <c r="EB69" s="49" t="s">
        <v>186</v>
      </c>
      <c r="EC69" s="49" t="s">
        <v>200</v>
      </c>
      <c r="ED69" s="76">
        <v>2013</v>
      </c>
      <c r="EE69" s="49">
        <f t="shared" si="105"/>
        <v>0</v>
      </c>
      <c r="EF69" s="77" t="str">
        <f t="shared" si="106"/>
        <v>- - -</v>
      </c>
      <c r="EG69" s="48" t="s">
        <v>183</v>
      </c>
      <c r="EH69" s="49" t="s">
        <v>200</v>
      </c>
      <c r="EI69" s="49" t="s">
        <v>186</v>
      </c>
      <c r="EJ69" s="49" t="s">
        <v>200</v>
      </c>
      <c r="EK69" s="76">
        <v>2013</v>
      </c>
      <c r="EL69" s="35"/>
      <c r="EM69" s="55" t="e">
        <f t="shared" si="107"/>
        <v>#REF!</v>
      </c>
      <c r="EN69" s="78" t="str">
        <f t="shared" si="108"/>
        <v>---</v>
      </c>
      <c r="EO69" s="87"/>
      <c r="FN69" s="351"/>
      <c r="FO69" s="351"/>
      <c r="FP69" s="351"/>
      <c r="FQ69" s="351"/>
      <c r="FR69" s="351"/>
    </row>
    <row r="70" spans="1:174" s="79" customFormat="1" ht="11.25" customHeight="1" x14ac:dyDescent="0.25">
      <c r="A70" s="98">
        <v>455</v>
      </c>
      <c r="B70" s="937">
        <v>7</v>
      </c>
      <c r="C70" s="35"/>
      <c r="D70" s="35" t="str">
        <f t="shared" si="71"/>
        <v>Ông</v>
      </c>
      <c r="E70" s="40" t="s">
        <v>31</v>
      </c>
      <c r="F70" s="35" t="s">
        <v>219</v>
      </c>
      <c r="G70" s="64" t="s">
        <v>143</v>
      </c>
      <c r="H70" s="1024" t="s">
        <v>200</v>
      </c>
      <c r="I70" s="64" t="s">
        <v>185</v>
      </c>
      <c r="J70" s="1024" t="s">
        <v>200</v>
      </c>
      <c r="K70" s="40">
        <v>1960</v>
      </c>
      <c r="L70" s="210" t="s">
        <v>258</v>
      </c>
      <c r="M70" s="1047" t="str">
        <f t="shared" si="72"/>
        <v>NLĐ</v>
      </c>
      <c r="N70" s="223" t="s">
        <v>176</v>
      </c>
      <c r="O70" s="1025" t="e">
        <f t="shared" si="73"/>
        <v>#N/A</v>
      </c>
      <c r="P70" s="40"/>
      <c r="Q70" s="359" t="e">
        <f>VLOOKUP(P70,'[2]- DLiêu Gốc (Không sửa)'!$C$2:$H$116,2,0)</f>
        <v>#N/A</v>
      </c>
      <c r="R70" s="1032" t="s">
        <v>339</v>
      </c>
      <c r="S70" s="378" t="s">
        <v>246</v>
      </c>
      <c r="T70" s="38" t="e">
        <f>VLOOKUP(Y70,#REF!,5,0)</f>
        <v>#REF!</v>
      </c>
      <c r="U70" s="39" t="e">
        <f>VLOOKUP(Y70,#REF!,6,0)</f>
        <v>#REF!</v>
      </c>
      <c r="V70" s="1059" t="s">
        <v>249</v>
      </c>
      <c r="W70" s="358" t="str">
        <f t="shared" si="74"/>
        <v>Nhân viên</v>
      </c>
      <c r="X70" s="361" t="str">
        <f t="shared" si="75"/>
        <v>01.005</v>
      </c>
      <c r="Y70" s="380" t="s">
        <v>198</v>
      </c>
      <c r="Z70" s="380" t="e">
        <f>VLOOKUP(Y70,#REF!,2,0)</f>
        <v>#REF!</v>
      </c>
      <c r="AA70" s="52" t="e">
        <f t="shared" si="76"/>
        <v>#REF!</v>
      </c>
      <c r="AB70" s="1040">
        <v>12</v>
      </c>
      <c r="AC70" s="700" t="s">
        <v>200</v>
      </c>
      <c r="AD70" s="43">
        <v>12</v>
      </c>
      <c r="AE70" s="44">
        <v>3.63</v>
      </c>
      <c r="AF70" s="1132" t="s">
        <v>216</v>
      </c>
      <c r="AG70" s="438" t="str">
        <f>IF(AD70=AB70,"%",IF(AD70&gt;AB70,"/"))</f>
        <v>%</v>
      </c>
      <c r="AH70" s="673" t="s">
        <v>183</v>
      </c>
      <c r="AI70" s="694" t="s">
        <v>200</v>
      </c>
      <c r="AJ70" s="100" t="s">
        <v>186</v>
      </c>
      <c r="AK70" s="694" t="s">
        <v>200</v>
      </c>
      <c r="AL70" s="695">
        <v>2017</v>
      </c>
      <c r="AM70" s="178"/>
      <c r="AN70" s="365"/>
      <c r="AO70" s="353"/>
      <c r="AP70" s="275"/>
      <c r="AQ70" s="84"/>
      <c r="AR70" s="724">
        <f>IF(AND(AD70=AB70,AF70=0),5,IF(AND(AD70=AB70,AF70&gt;4),AF70+1,IF(AD70&gt;AB70,AD70)))</f>
        <v>5</v>
      </c>
      <c r="AS70" s="438" t="str">
        <f>IF(AD70=AB70,"%",IF(AD70&gt;AB70,AE70+BE70))</f>
        <v>%</v>
      </c>
      <c r="AT70" s="48" t="s">
        <v>183</v>
      </c>
      <c r="AU70" s="669" t="s">
        <v>200</v>
      </c>
      <c r="AV70" s="49" t="s">
        <v>186</v>
      </c>
      <c r="AW70" s="669" t="s">
        <v>200</v>
      </c>
      <c r="AX70" s="50">
        <v>2019</v>
      </c>
      <c r="AY70" s="87"/>
      <c r="AZ70" s="300"/>
      <c r="BA70" s="517"/>
      <c r="BB70" s="51" t="e">
        <f t="shared" si="77"/>
        <v>#REF!</v>
      </c>
      <c r="BC70" s="356">
        <f t="shared" si="78"/>
        <v>-24234</v>
      </c>
      <c r="BD70" s="310" t="e">
        <f>VLOOKUP(Y70,#REF!,3,0)</f>
        <v>#REF!</v>
      </c>
      <c r="BE70" s="310" t="e">
        <f>VLOOKUP(Y70,#REF!,4,0)</f>
        <v>#REF!</v>
      </c>
      <c r="BF70" s="57" t="str">
        <f t="shared" si="79"/>
        <v>o-o-o</v>
      </c>
      <c r="BG70" s="58"/>
      <c r="BH70" s="450"/>
      <c r="BI70" s="449"/>
      <c r="BJ70" s="677"/>
      <c r="BK70" s="441"/>
      <c r="BL70" s="677"/>
      <c r="BM70" s="99"/>
      <c r="BN70" s="178"/>
      <c r="BO70" s="62"/>
      <c r="BP70" s="59"/>
      <c r="BQ70" s="454"/>
      <c r="BR70" s="60"/>
      <c r="BS70" s="669"/>
      <c r="BT70" s="442"/>
      <c r="BU70" s="669"/>
      <c r="BV70" s="50"/>
      <c r="BW70" s="61"/>
      <c r="BX70" s="177"/>
      <c r="BY70" s="357" t="str">
        <f t="shared" si="80"/>
        <v>- - -</v>
      </c>
      <c r="BZ70" s="57" t="str">
        <f t="shared" si="81"/>
        <v>- - -</v>
      </c>
      <c r="CA70" s="379" t="str">
        <f t="shared" si="82"/>
        <v>Chánh Văn phòng Học viện, Trưởng Ban Tổ chức - Cán bộ</v>
      </c>
      <c r="CB70" s="63" t="str">
        <f t="shared" si="83"/>
        <v>A</v>
      </c>
      <c r="CC70" s="41" t="e">
        <f t="shared" si="84"/>
        <v>#REF!</v>
      </c>
      <c r="CD70" s="52" t="e">
        <f t="shared" si="85"/>
        <v>#REF!</v>
      </c>
      <c r="CE70" s="35" t="str">
        <f t="shared" si="86"/>
        <v>---</v>
      </c>
      <c r="CF70" s="35"/>
      <c r="CG70" s="367"/>
      <c r="CH70" s="35"/>
      <c r="CI70" s="94"/>
      <c r="CJ70" s="35" t="str">
        <f t="shared" si="87"/>
        <v>- - -</v>
      </c>
      <c r="CK70" s="55" t="str">
        <f t="shared" si="88"/>
        <v>- - -</v>
      </c>
      <c r="CL70" s="65"/>
      <c r="CM70" s="66"/>
      <c r="CN70" s="65"/>
      <c r="CO70" s="80"/>
      <c r="CP70" s="55" t="str">
        <f t="shared" si="89"/>
        <v>- - -</v>
      </c>
      <c r="CQ70" s="65"/>
      <c r="CR70" s="368"/>
      <c r="CS70" s="65"/>
      <c r="CT70" s="80"/>
      <c r="CU70" s="69" t="e">
        <f t="shared" si="90"/>
        <v>#REF!</v>
      </c>
      <c r="CV70" s="70" t="str">
        <f t="shared" si="91"/>
        <v>/-/ /-/</v>
      </c>
      <c r="CW70" s="67">
        <f t="shared" si="92"/>
        <v>6</v>
      </c>
      <c r="CX70" s="68">
        <f t="shared" si="93"/>
        <v>2020</v>
      </c>
      <c r="CY70" s="67">
        <f t="shared" si="94"/>
        <v>3</v>
      </c>
      <c r="CZ70" s="68">
        <f t="shared" si="95"/>
        <v>2020</v>
      </c>
      <c r="DA70" s="67">
        <f t="shared" si="96"/>
        <v>12</v>
      </c>
      <c r="DB70" s="68">
        <f t="shared" si="97"/>
        <v>2019</v>
      </c>
      <c r="DC70" s="71" t="e">
        <f t="shared" si="98"/>
        <v>#REF!</v>
      </c>
      <c r="DD70" s="72" t="str">
        <f t="shared" si="99"/>
        <v>. .</v>
      </c>
      <c r="DE70" s="72"/>
      <c r="DF70" s="52">
        <f t="shared" si="100"/>
        <v>720</v>
      </c>
      <c r="DG70" s="52">
        <f t="shared" si="101"/>
        <v>-23513</v>
      </c>
      <c r="DH70" s="52">
        <f t="shared" si="102"/>
        <v>-1960</v>
      </c>
      <c r="DI70" s="52" t="str">
        <f t="shared" si="103"/>
        <v>Nam dưới 35</v>
      </c>
      <c r="DJ70" s="89"/>
      <c r="DK70" s="52"/>
      <c r="DL70" s="57" t="str">
        <f t="shared" si="104"/>
        <v>Đến 30</v>
      </c>
      <c r="DM70" s="65" t="str">
        <f t="shared" si="109"/>
        <v>--</v>
      </c>
      <c r="DN70" s="36"/>
      <c r="DO70" s="91"/>
      <c r="DP70" s="73"/>
      <c r="DQ70" s="36"/>
      <c r="DR70" s="80"/>
      <c r="DS70" s="81"/>
      <c r="DT70" s="82"/>
      <c r="DU70" s="75"/>
      <c r="DV70" s="87"/>
      <c r="DW70" s="37"/>
      <c r="DX70" s="378" t="s">
        <v>202</v>
      </c>
      <c r="DY70" s="37"/>
      <c r="DZ70" s="48" t="s">
        <v>183</v>
      </c>
      <c r="EA70" s="49" t="s">
        <v>200</v>
      </c>
      <c r="EB70" s="362" t="s">
        <v>186</v>
      </c>
      <c r="EC70" s="49" t="s">
        <v>200</v>
      </c>
      <c r="ED70" s="76">
        <v>2013</v>
      </c>
      <c r="EE70" s="49">
        <f t="shared" si="105"/>
        <v>0</v>
      </c>
      <c r="EF70" s="77" t="str">
        <f t="shared" si="106"/>
        <v>- - -</v>
      </c>
      <c r="EG70" s="48" t="s">
        <v>183</v>
      </c>
      <c r="EH70" s="49" t="s">
        <v>200</v>
      </c>
      <c r="EI70" s="362" t="s">
        <v>186</v>
      </c>
      <c r="EJ70" s="49" t="s">
        <v>200</v>
      </c>
      <c r="EK70" s="76">
        <v>2013</v>
      </c>
      <c r="EL70" s="35"/>
      <c r="EM70" s="55" t="e">
        <f t="shared" si="107"/>
        <v>#REF!</v>
      </c>
      <c r="EN70" s="78" t="str">
        <f t="shared" si="108"/>
        <v>---</v>
      </c>
      <c r="EO70" s="87"/>
      <c r="EP70" s="83"/>
      <c r="EQ70" s="83"/>
      <c r="ER70" s="83"/>
      <c r="ES70" s="83"/>
      <c r="ET70" s="83"/>
      <c r="EU70" s="83"/>
      <c r="EV70" s="83"/>
      <c r="EW70" s="83"/>
      <c r="EX70" s="83"/>
      <c r="EY70" s="83"/>
      <c r="EZ70" s="83"/>
      <c r="FA70" s="83"/>
      <c r="FB70" s="83"/>
      <c r="FC70" s="83"/>
      <c r="FD70" s="83"/>
      <c r="FE70" s="83"/>
      <c r="FF70" s="83"/>
      <c r="FG70" s="83"/>
      <c r="FH70" s="83"/>
      <c r="FI70" s="83"/>
      <c r="FJ70" s="83"/>
      <c r="FK70" s="83"/>
      <c r="FL70" s="83"/>
      <c r="FN70" s="92"/>
      <c r="FO70" s="92"/>
      <c r="FP70" s="92"/>
      <c r="FQ70" s="92"/>
      <c r="FR70" s="92"/>
    </row>
    <row r="71" spans="1:174" s="269" customFormat="1" ht="11.25" customHeight="1" x14ac:dyDescent="0.2">
      <c r="A71" s="98">
        <v>464</v>
      </c>
      <c r="B71" s="359">
        <v>8</v>
      </c>
      <c r="C71" s="35"/>
      <c r="D71" s="35" t="str">
        <f t="shared" si="71"/>
        <v>Ông</v>
      </c>
      <c r="E71" s="40" t="s">
        <v>33</v>
      </c>
      <c r="F71" s="35" t="s">
        <v>219</v>
      </c>
      <c r="G71" s="64" t="s">
        <v>5</v>
      </c>
      <c r="H71" s="1024" t="s">
        <v>200</v>
      </c>
      <c r="I71" s="64" t="s">
        <v>185</v>
      </c>
      <c r="J71" s="1024" t="s">
        <v>200</v>
      </c>
      <c r="K71" s="40">
        <v>1967</v>
      </c>
      <c r="L71" s="210" t="s">
        <v>264</v>
      </c>
      <c r="M71" s="1047" t="str">
        <f t="shared" si="72"/>
        <v>VC</v>
      </c>
      <c r="N71" s="223"/>
      <c r="O71" s="1025" t="e">
        <f t="shared" si="73"/>
        <v>#N/A</v>
      </c>
      <c r="P71" s="40"/>
      <c r="Q71" s="359" t="e">
        <f>VLOOKUP(P71,'[2]- DLiêu Gốc (Không sửa)'!$C$2:$H$116,2,0)</f>
        <v>#N/A</v>
      </c>
      <c r="R71" s="1032"/>
      <c r="S71" s="378" t="s">
        <v>328</v>
      </c>
      <c r="T71" s="38" t="e">
        <f>VLOOKUP(Y71,#REF!,5,0)</f>
        <v>#REF!</v>
      </c>
      <c r="U71" s="39" t="e">
        <f>VLOOKUP(Y71,#REF!,6,0)</f>
        <v>#REF!</v>
      </c>
      <c r="V71" s="1059" t="s">
        <v>248</v>
      </c>
      <c r="W71" s="358" t="str">
        <f t="shared" si="74"/>
        <v>Giảng viên chính (hạng II)</v>
      </c>
      <c r="X71" s="361" t="e">
        <f t="shared" si="75"/>
        <v>#REF!</v>
      </c>
      <c r="Y71" s="380" t="s">
        <v>255</v>
      </c>
      <c r="Z71" s="380" t="e">
        <f>VLOOKUP(Y71,#REF!,2,0)</f>
        <v>#REF!</v>
      </c>
      <c r="AA71" s="52" t="e">
        <f t="shared" si="76"/>
        <v>#REF!</v>
      </c>
      <c r="AB71" s="180">
        <v>6</v>
      </c>
      <c r="AC71" s="700" t="s">
        <v>200</v>
      </c>
      <c r="AD71" s="43">
        <v>8</v>
      </c>
      <c r="AE71" s="44">
        <v>6.1000000000000005</v>
      </c>
      <c r="AF71" s="435"/>
      <c r="AG71" s="100"/>
      <c r="AH71" s="673" t="s">
        <v>183</v>
      </c>
      <c r="AI71" s="694" t="s">
        <v>200</v>
      </c>
      <c r="AJ71" s="100" t="s">
        <v>186</v>
      </c>
      <c r="AK71" s="694" t="s">
        <v>200</v>
      </c>
      <c r="AL71" s="695">
        <v>2016</v>
      </c>
      <c r="AM71" s="178"/>
      <c r="AN71" s="53"/>
      <c r="AO71" s="353">
        <f t="shared" ref="AO71:AO85" si="110">AB71+1</f>
        <v>7</v>
      </c>
      <c r="AP71" s="275" t="str">
        <f t="shared" ref="AP71:AP84" si="111">IF(AD71=AB71,"%",IF(AD71&gt;AB71,"/"))</f>
        <v>/</v>
      </c>
      <c r="AQ71" s="84">
        <f t="shared" ref="AQ71:AQ85" si="112">IF(AND(AD71=AB71,AO71=4),5,IF(AND(AD71=AB71,AO71&gt;4),AO71+1,IF(AD71&gt;AB71,AD71)))</f>
        <v>8</v>
      </c>
      <c r="AR71" s="47" t="e">
        <f t="shared" ref="AR71:AR84" si="113">IF(AD71=AB71,"%",IF(AD71&gt;AB71,AE71+BE71))</f>
        <v>#REF!</v>
      </c>
      <c r="AS71" s="438"/>
      <c r="AT71" s="48" t="s">
        <v>183</v>
      </c>
      <c r="AU71" s="669" t="s">
        <v>200</v>
      </c>
      <c r="AV71" s="49">
        <v>6</v>
      </c>
      <c r="AW71" s="669" t="s">
        <v>200</v>
      </c>
      <c r="AX71" s="50">
        <v>2019</v>
      </c>
      <c r="AY71" s="87"/>
      <c r="AZ71" s="300"/>
      <c r="BA71" s="517"/>
      <c r="BB71" s="51" t="e">
        <f t="shared" si="77"/>
        <v>#REF!</v>
      </c>
      <c r="BC71" s="356">
        <f t="shared" si="78"/>
        <v>-24234</v>
      </c>
      <c r="BD71" s="310" t="e">
        <f>VLOOKUP(Y71,#REF!,3,0)</f>
        <v>#REF!</v>
      </c>
      <c r="BE71" s="310" t="e">
        <f>VLOOKUP(Y71,#REF!,4,0)</f>
        <v>#REF!</v>
      </c>
      <c r="BF71" s="57" t="str">
        <f t="shared" si="79"/>
        <v>PCTN</v>
      </c>
      <c r="BG71" s="58">
        <v>32</v>
      </c>
      <c r="BH71" s="450" t="s">
        <v>178</v>
      </c>
      <c r="BI71" s="60" t="s">
        <v>183</v>
      </c>
      <c r="BJ71" s="677" t="s">
        <v>200</v>
      </c>
      <c r="BK71" s="448">
        <v>10</v>
      </c>
      <c r="BL71" s="677" t="s">
        <v>200</v>
      </c>
      <c r="BM71" s="50">
        <v>2017</v>
      </c>
      <c r="BN71" s="178"/>
      <c r="BO71" s="62"/>
      <c r="BP71" s="59">
        <f>IF(BG71&gt;3,BG71+1,0)</f>
        <v>33</v>
      </c>
      <c r="BQ71" s="454" t="s">
        <v>178</v>
      </c>
      <c r="BR71" s="60" t="s">
        <v>183</v>
      </c>
      <c r="BS71" s="669" t="s">
        <v>200</v>
      </c>
      <c r="BT71" s="445">
        <v>10</v>
      </c>
      <c r="BU71" s="669" t="s">
        <v>200</v>
      </c>
      <c r="BV71" s="50">
        <v>2018</v>
      </c>
      <c r="BW71" s="61"/>
      <c r="BX71" s="177"/>
      <c r="BY71" s="357">
        <f t="shared" si="80"/>
        <v>-24226</v>
      </c>
      <c r="BZ71" s="57" t="str">
        <f t="shared" si="81"/>
        <v>- - -</v>
      </c>
      <c r="CA71" s="379" t="str">
        <f t="shared" si="82"/>
        <v>Chánh Văn phòng Học viện, Trưởng Ban Tổ chức - Cán bộ, Trưởng Trung tâm Ngoại ngữ - Tin học và Thông tin - Thư viện</v>
      </c>
      <c r="CB71" s="63" t="str">
        <f t="shared" si="83"/>
        <v>A</v>
      </c>
      <c r="CC71" s="41" t="e">
        <f t="shared" si="84"/>
        <v>#REF!</v>
      </c>
      <c r="CD71" s="52" t="e">
        <f t="shared" si="85"/>
        <v>#REF!</v>
      </c>
      <c r="CE71" s="35" t="str">
        <f t="shared" si="86"/>
        <v>S</v>
      </c>
      <c r="CF71" s="35">
        <v>2013</v>
      </c>
      <c r="CG71" s="367" t="s">
        <v>252</v>
      </c>
      <c r="CH71" s="35"/>
      <c r="CI71" s="102"/>
      <c r="CJ71" s="35" t="e">
        <f t="shared" si="87"/>
        <v>#REF!</v>
      </c>
      <c r="CK71" s="55" t="str">
        <f t="shared" si="88"/>
        <v>NN</v>
      </c>
      <c r="CL71" s="65">
        <v>1</v>
      </c>
      <c r="CM71" s="66">
        <v>2011</v>
      </c>
      <c r="CN71" s="65"/>
      <c r="CO71" s="80"/>
      <c r="CP71" s="55" t="str">
        <f t="shared" si="89"/>
        <v>- - -</v>
      </c>
      <c r="CQ71" s="65"/>
      <c r="CR71" s="66"/>
      <c r="CS71" s="65"/>
      <c r="CT71" s="80"/>
      <c r="CU71" s="69" t="e">
        <f t="shared" si="90"/>
        <v>#REF!</v>
      </c>
      <c r="CV71" s="70" t="str">
        <f t="shared" si="91"/>
        <v>/-/ /-/</v>
      </c>
      <c r="CW71" s="67">
        <f t="shared" si="92"/>
        <v>6</v>
      </c>
      <c r="CX71" s="68">
        <f t="shared" si="93"/>
        <v>2027</v>
      </c>
      <c r="CY71" s="67">
        <f t="shared" si="94"/>
        <v>3</v>
      </c>
      <c r="CZ71" s="68">
        <f t="shared" si="95"/>
        <v>2027</v>
      </c>
      <c r="DA71" s="67">
        <f t="shared" si="96"/>
        <v>12</v>
      </c>
      <c r="DB71" s="68">
        <f t="shared" si="97"/>
        <v>2026</v>
      </c>
      <c r="DC71" s="71" t="e">
        <f t="shared" si="98"/>
        <v>#REF!</v>
      </c>
      <c r="DD71" s="72" t="str">
        <f t="shared" si="99"/>
        <v>. .</v>
      </c>
      <c r="DE71" s="72"/>
      <c r="DF71" s="52">
        <f t="shared" si="100"/>
        <v>720</v>
      </c>
      <c r="DG71" s="52">
        <f t="shared" si="101"/>
        <v>-23597</v>
      </c>
      <c r="DH71" s="52">
        <f t="shared" si="102"/>
        <v>-1967</v>
      </c>
      <c r="DI71" s="52" t="str">
        <f t="shared" si="103"/>
        <v>Nam dưới 35</v>
      </c>
      <c r="DJ71" s="89"/>
      <c r="DK71" s="52"/>
      <c r="DL71" s="57" t="str">
        <f t="shared" si="104"/>
        <v>Đến 30</v>
      </c>
      <c r="DM71" s="65" t="str">
        <f t="shared" si="109"/>
        <v>--</v>
      </c>
      <c r="DN71" s="36"/>
      <c r="DO71" s="35"/>
      <c r="DP71" s="73"/>
      <c r="DQ71" s="36"/>
      <c r="DR71" s="80"/>
      <c r="DS71" s="81"/>
      <c r="DT71" s="82"/>
      <c r="DU71" s="75"/>
      <c r="DV71" s="87"/>
      <c r="DW71" s="37"/>
      <c r="DX71" s="378" t="s">
        <v>202</v>
      </c>
      <c r="DY71" s="37"/>
      <c r="DZ71" s="48" t="s">
        <v>183</v>
      </c>
      <c r="EA71" s="49" t="s">
        <v>200</v>
      </c>
      <c r="EB71" s="49">
        <v>6</v>
      </c>
      <c r="EC71" s="49" t="s">
        <v>200</v>
      </c>
      <c r="ED71" s="76">
        <v>2013</v>
      </c>
      <c r="EE71" s="49">
        <f t="shared" si="105"/>
        <v>0</v>
      </c>
      <c r="EF71" s="77" t="str">
        <f t="shared" si="106"/>
        <v>- - -</v>
      </c>
      <c r="EG71" s="48" t="s">
        <v>183</v>
      </c>
      <c r="EH71" s="49" t="s">
        <v>200</v>
      </c>
      <c r="EI71" s="49">
        <v>6</v>
      </c>
      <c r="EJ71" s="49" t="s">
        <v>200</v>
      </c>
      <c r="EK71" s="76">
        <v>2013</v>
      </c>
      <c r="EL71" s="35">
        <v>5.2788000000000004</v>
      </c>
      <c r="EM71" s="55" t="e">
        <f t="shared" si="107"/>
        <v>#REF!</v>
      </c>
      <c r="EN71" s="78" t="str">
        <f t="shared" si="108"/>
        <v>---</v>
      </c>
      <c r="EO71" s="87"/>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row>
    <row r="72" spans="1:174" s="253" customFormat="1" ht="11.25" customHeight="1" x14ac:dyDescent="0.2">
      <c r="A72" s="98">
        <v>471</v>
      </c>
      <c r="B72" s="937">
        <v>9</v>
      </c>
      <c r="C72" s="301" t="s">
        <v>227</v>
      </c>
      <c r="D72" s="301" t="str">
        <f t="shared" si="71"/>
        <v>Ông</v>
      </c>
      <c r="E72" s="348" t="s">
        <v>275</v>
      </c>
      <c r="F72" s="301" t="s">
        <v>219</v>
      </c>
      <c r="G72" s="1028" t="s">
        <v>5</v>
      </c>
      <c r="H72" s="1029" t="s">
        <v>200</v>
      </c>
      <c r="I72" s="1028" t="s">
        <v>216</v>
      </c>
      <c r="J72" s="1029" t="s">
        <v>200</v>
      </c>
      <c r="K72" s="302">
        <v>1988</v>
      </c>
      <c r="L72" s="313" t="s">
        <v>258</v>
      </c>
      <c r="M72" s="307" t="str">
        <f t="shared" si="72"/>
        <v>NLĐ</v>
      </c>
      <c r="N72" s="706"/>
      <c r="O72" s="1030" t="e">
        <f t="shared" si="73"/>
        <v>#N/A</v>
      </c>
      <c r="P72" s="302"/>
      <c r="Q72" s="381" t="e">
        <f>VLOOKUP(P72,'[2]- DLiêu Gốc (Không sửa)'!$C$2:$H$116,2,0)</f>
        <v>#N/A</v>
      </c>
      <c r="R72" s="1038"/>
      <c r="S72" s="378" t="s">
        <v>333</v>
      </c>
      <c r="T72" s="305" t="e">
        <f>VLOOKUP(Y72,#REF!,5,0)</f>
        <v>#REF!</v>
      </c>
      <c r="U72" s="306" t="e">
        <f>VLOOKUP(Y72,#REF!,6,0)</f>
        <v>#REF!</v>
      </c>
      <c r="V72" s="328" t="s">
        <v>249</v>
      </c>
      <c r="W72" s="383" t="str">
        <f t="shared" si="74"/>
        <v>Chuyên viên</v>
      </c>
      <c r="X72" s="328" t="e">
        <f t="shared" si="75"/>
        <v>#REF!</v>
      </c>
      <c r="Y72" s="388" t="s">
        <v>181</v>
      </c>
      <c r="Z72" s="384" t="e">
        <f>VLOOKUP(Y72,#REF!,2,0)</f>
        <v>#REF!</v>
      </c>
      <c r="AA72" s="307" t="e">
        <f t="shared" si="76"/>
        <v>#REF!</v>
      </c>
      <c r="AB72" s="308">
        <v>2</v>
      </c>
      <c r="AC72" s="701" t="s">
        <v>200</v>
      </c>
      <c r="AD72" s="309">
        <v>9</v>
      </c>
      <c r="AE72" s="310">
        <v>2.67</v>
      </c>
      <c r="AF72" s="507"/>
      <c r="AG72" s="311"/>
      <c r="AH72" s="707" t="s">
        <v>183</v>
      </c>
      <c r="AI72" s="694" t="s">
        <v>200</v>
      </c>
      <c r="AJ72" s="311" t="s">
        <v>186</v>
      </c>
      <c r="AK72" s="694" t="s">
        <v>200</v>
      </c>
      <c r="AL72" s="708">
        <v>2016</v>
      </c>
      <c r="AM72" s="319"/>
      <c r="AN72" s="320"/>
      <c r="AO72" s="1018">
        <f t="shared" si="110"/>
        <v>3</v>
      </c>
      <c r="AP72" s="1019" t="str">
        <f t="shared" si="111"/>
        <v>/</v>
      </c>
      <c r="AQ72" s="312">
        <f t="shared" si="112"/>
        <v>9</v>
      </c>
      <c r="AR72" s="313" t="e">
        <f t="shared" si="113"/>
        <v>#REF!</v>
      </c>
      <c r="AS72" s="439"/>
      <c r="AT72" s="314" t="s">
        <v>183</v>
      </c>
      <c r="AU72" s="676" t="s">
        <v>200</v>
      </c>
      <c r="AV72" s="315" t="s">
        <v>186</v>
      </c>
      <c r="AW72" s="676" t="s">
        <v>200</v>
      </c>
      <c r="AX72" s="50">
        <v>2019</v>
      </c>
      <c r="AY72" s="346"/>
      <c r="AZ72" s="515"/>
      <c r="BA72" s="518"/>
      <c r="BB72" s="318" t="e">
        <f t="shared" si="77"/>
        <v>#REF!</v>
      </c>
      <c r="BC72" s="385">
        <f t="shared" si="78"/>
        <v>-24234</v>
      </c>
      <c r="BD72" s="310" t="e">
        <f>VLOOKUP(Y72,#REF!,3,0)</f>
        <v>#REF!</v>
      </c>
      <c r="BE72" s="310" t="e">
        <f>VLOOKUP(Y72,#REF!,4,0)</f>
        <v>#REF!</v>
      </c>
      <c r="BF72" s="321" t="str">
        <f t="shared" si="79"/>
        <v>o-o-o</v>
      </c>
      <c r="BG72" s="322"/>
      <c r="BH72" s="451"/>
      <c r="BI72" s="709"/>
      <c r="BJ72" s="676"/>
      <c r="BK72" s="446"/>
      <c r="BL72" s="676"/>
      <c r="BM72" s="316"/>
      <c r="BN72" s="319"/>
      <c r="BO72" s="325"/>
      <c r="BP72" s="323"/>
      <c r="BQ72" s="710"/>
      <c r="BR72" s="709"/>
      <c r="BS72" s="676"/>
      <c r="BT72" s="446"/>
      <c r="BU72" s="676"/>
      <c r="BV72" s="316"/>
      <c r="BW72" s="324"/>
      <c r="BX72" s="317"/>
      <c r="BY72" s="386" t="str">
        <f t="shared" si="80"/>
        <v>- - -</v>
      </c>
      <c r="BZ72" s="321" t="str">
        <f t="shared" si="81"/>
        <v>- - -</v>
      </c>
      <c r="CA72" s="302" t="str">
        <f t="shared" si="82"/>
        <v>Chánh Văn phòng Học viện, Trưởng Ban Tổ chức - Cán bộ, Trưởng Văn phòng Đảng - Đoàn thể</v>
      </c>
      <c r="CB72" s="326" t="str">
        <f t="shared" si="83"/>
        <v>A</v>
      </c>
      <c r="CC72" s="327" t="e">
        <f t="shared" si="84"/>
        <v>#REF!</v>
      </c>
      <c r="CD72" s="307" t="e">
        <f t="shared" si="85"/>
        <v>#REF!</v>
      </c>
      <c r="CE72" s="301" t="str">
        <f t="shared" si="86"/>
        <v>---</v>
      </c>
      <c r="CF72" s="301"/>
      <c r="CG72" s="377"/>
      <c r="CH72" s="301"/>
      <c r="CI72" s="387"/>
      <c r="CJ72" s="301" t="e">
        <f t="shared" si="87"/>
        <v>#REF!</v>
      </c>
      <c r="CK72" s="329" t="str">
        <f t="shared" si="88"/>
        <v>- - -</v>
      </c>
      <c r="CL72" s="330"/>
      <c r="CM72" s="331"/>
      <c r="CN72" s="330"/>
      <c r="CO72" s="332"/>
      <c r="CP72" s="329" t="str">
        <f t="shared" si="89"/>
        <v>- - -</v>
      </c>
      <c r="CQ72" s="330"/>
      <c r="CR72" s="331"/>
      <c r="CS72" s="330"/>
      <c r="CT72" s="332"/>
      <c r="CU72" s="333" t="e">
        <f t="shared" si="90"/>
        <v>#REF!</v>
      </c>
      <c r="CV72" s="334" t="str">
        <f t="shared" si="91"/>
        <v>/-/ /-/</v>
      </c>
      <c r="CW72" s="335">
        <f t="shared" si="92"/>
        <v>5</v>
      </c>
      <c r="CX72" s="336">
        <f t="shared" si="93"/>
        <v>2048</v>
      </c>
      <c r="CY72" s="335">
        <f t="shared" si="94"/>
        <v>2</v>
      </c>
      <c r="CZ72" s="336">
        <f t="shared" si="95"/>
        <v>2048</v>
      </c>
      <c r="DA72" s="335">
        <f t="shared" si="96"/>
        <v>11</v>
      </c>
      <c r="DB72" s="336">
        <f t="shared" si="97"/>
        <v>2047</v>
      </c>
      <c r="DC72" s="337" t="e">
        <f t="shared" si="98"/>
        <v>#REF!</v>
      </c>
      <c r="DD72" s="338" t="str">
        <f t="shared" si="99"/>
        <v>. .</v>
      </c>
      <c r="DE72" s="338"/>
      <c r="DF72" s="307">
        <f t="shared" si="100"/>
        <v>720</v>
      </c>
      <c r="DG72" s="307">
        <f t="shared" si="101"/>
        <v>-23848</v>
      </c>
      <c r="DH72" s="307">
        <f t="shared" si="102"/>
        <v>-1988</v>
      </c>
      <c r="DI72" s="307" t="str">
        <f t="shared" si="103"/>
        <v>Nam dưới 35</v>
      </c>
      <c r="DJ72" s="307"/>
      <c r="DK72" s="307"/>
      <c r="DL72" s="321" t="str">
        <f t="shared" si="104"/>
        <v>Đến 30</v>
      </c>
      <c r="DM72" s="330" t="str">
        <f t="shared" si="109"/>
        <v>--</v>
      </c>
      <c r="DN72" s="303"/>
      <c r="DO72" s="301"/>
      <c r="DP72" s="339"/>
      <c r="DQ72" s="303"/>
      <c r="DR72" s="332"/>
      <c r="DS72" s="340"/>
      <c r="DT72" s="341"/>
      <c r="DU72" s="342"/>
      <c r="DV72" s="346"/>
      <c r="DW72" s="349"/>
      <c r="DX72" s="382" t="s">
        <v>247</v>
      </c>
      <c r="DY72" s="349"/>
      <c r="DZ72" s="314"/>
      <c r="EA72" s="315"/>
      <c r="EB72" s="315"/>
      <c r="EC72" s="315"/>
      <c r="ED72" s="343"/>
      <c r="EE72" s="315">
        <f t="shared" si="105"/>
        <v>0</v>
      </c>
      <c r="EF72" s="344" t="str">
        <f t="shared" si="106"/>
        <v>- - -</v>
      </c>
      <c r="EG72" s="314"/>
      <c r="EH72" s="315"/>
      <c r="EI72" s="315"/>
      <c r="EJ72" s="315"/>
      <c r="EK72" s="343"/>
      <c r="EL72" s="301"/>
      <c r="EM72" s="329" t="e">
        <f t="shared" si="107"/>
        <v>#REF!</v>
      </c>
      <c r="EN72" s="345" t="str">
        <f t="shared" si="108"/>
        <v>---</v>
      </c>
      <c r="EO72" s="346"/>
      <c r="EP72" s="347"/>
      <c r="EQ72" s="347"/>
      <c r="ER72" s="347"/>
      <c r="ES72" s="347"/>
      <c r="ET72" s="347"/>
      <c r="EU72" s="347"/>
      <c r="EV72" s="347"/>
      <c r="EW72" s="347"/>
      <c r="EX72" s="347"/>
      <c r="EY72" s="347"/>
      <c r="EZ72" s="347"/>
      <c r="FA72" s="347"/>
      <c r="FB72" s="347"/>
      <c r="FC72" s="347"/>
      <c r="FD72" s="347"/>
      <c r="FE72" s="347"/>
      <c r="FF72" s="347"/>
      <c r="FG72" s="347"/>
      <c r="FH72" s="347"/>
      <c r="FI72" s="347"/>
      <c r="FJ72" s="347"/>
      <c r="FK72" s="347"/>
      <c r="FL72" s="347"/>
      <c r="FM72" s="347"/>
      <c r="FN72" s="347"/>
      <c r="FO72" s="347"/>
      <c r="FP72" s="347"/>
      <c r="FQ72" s="347"/>
      <c r="FR72" s="347"/>
    </row>
    <row r="73" spans="1:174" s="253" customFormat="1" ht="12" customHeight="1" x14ac:dyDescent="0.2">
      <c r="A73" s="98">
        <v>479</v>
      </c>
      <c r="B73" s="359">
        <v>10</v>
      </c>
      <c r="C73" s="35"/>
      <c r="D73" s="1043" t="str">
        <f t="shared" si="71"/>
        <v>Ông</v>
      </c>
      <c r="E73" s="1044" t="s">
        <v>259</v>
      </c>
      <c r="F73" s="1043" t="s">
        <v>219</v>
      </c>
      <c r="G73" s="1026" t="s">
        <v>174</v>
      </c>
      <c r="H73" s="258" t="s">
        <v>200</v>
      </c>
      <c r="I73" s="1026" t="s">
        <v>184</v>
      </c>
      <c r="J73" s="258" t="s">
        <v>200</v>
      </c>
      <c r="K73" s="1044">
        <v>1982</v>
      </c>
      <c r="L73" s="210" t="s">
        <v>258</v>
      </c>
      <c r="M73" s="1047" t="str">
        <f t="shared" si="72"/>
        <v>NLĐ</v>
      </c>
      <c r="N73" s="223"/>
      <c r="O73" s="1025" t="e">
        <f t="shared" si="73"/>
        <v>#N/A</v>
      </c>
      <c r="P73" s="1044"/>
      <c r="Q73" s="359" t="e">
        <f>VLOOKUP(P73,'[2]- DLiêu Gốc (Không sửa)'!$C$2:$H$116,2,0)</f>
        <v>#N/A</v>
      </c>
      <c r="R73" s="1037" t="s">
        <v>215</v>
      </c>
      <c r="S73" s="378" t="s">
        <v>246</v>
      </c>
      <c r="T73" s="201" t="e">
        <f>VLOOKUP(Y73,#REF!,5,0)</f>
        <v>#REF!</v>
      </c>
      <c r="U73" s="202" t="e">
        <f>VLOOKUP(Y73,#REF!,6,0)</f>
        <v>#REF!</v>
      </c>
      <c r="V73" s="1059" t="s">
        <v>249</v>
      </c>
      <c r="W73" s="358" t="str">
        <f t="shared" si="74"/>
        <v>Nhân viên</v>
      </c>
      <c r="X73" s="1059" t="str">
        <f t="shared" si="75"/>
        <v>01.005</v>
      </c>
      <c r="Y73" s="380" t="s">
        <v>195</v>
      </c>
      <c r="Z73" s="380" t="e">
        <f>VLOOKUP(Y73,#REF!,2,0)</f>
        <v>#REF!</v>
      </c>
      <c r="AA73" s="52" t="e">
        <f t="shared" si="76"/>
        <v>#REF!</v>
      </c>
      <c r="AB73" s="204">
        <v>5</v>
      </c>
      <c r="AC73" s="702" t="s">
        <v>200</v>
      </c>
      <c r="AD73" s="205">
        <v>12</v>
      </c>
      <c r="AE73" s="1048">
        <v>2.77</v>
      </c>
      <c r="AF73" s="436"/>
      <c r="AG73" s="208"/>
      <c r="AH73" s="673" t="s">
        <v>183</v>
      </c>
      <c r="AI73" s="694" t="s">
        <v>200</v>
      </c>
      <c r="AJ73" s="100" t="s">
        <v>186</v>
      </c>
      <c r="AK73" s="694" t="s">
        <v>200</v>
      </c>
      <c r="AL73" s="695">
        <v>2017</v>
      </c>
      <c r="AM73" s="1052"/>
      <c r="AN73" s="216"/>
      <c r="AO73" s="1140">
        <f t="shared" si="110"/>
        <v>6</v>
      </c>
      <c r="AP73" s="1141" t="str">
        <f t="shared" si="111"/>
        <v>/</v>
      </c>
      <c r="AQ73" s="209">
        <f t="shared" si="112"/>
        <v>12</v>
      </c>
      <c r="AR73" s="210" t="e">
        <f t="shared" si="113"/>
        <v>#REF!</v>
      </c>
      <c r="AS73" s="440"/>
      <c r="AT73" s="1049" t="s">
        <v>183</v>
      </c>
      <c r="AU73" s="1087" t="s">
        <v>200</v>
      </c>
      <c r="AV73" s="1050" t="s">
        <v>186</v>
      </c>
      <c r="AW73" s="1087" t="s">
        <v>200</v>
      </c>
      <c r="AX73" s="50">
        <v>2019</v>
      </c>
      <c r="AY73" s="87"/>
      <c r="AZ73" s="514" t="s">
        <v>260</v>
      </c>
      <c r="BA73" s="517"/>
      <c r="BB73" s="1051" t="e">
        <f t="shared" si="77"/>
        <v>#REF!</v>
      </c>
      <c r="BC73" s="356">
        <f t="shared" si="78"/>
        <v>-24234</v>
      </c>
      <c r="BD73" s="310" t="e">
        <f>VLOOKUP(Y73,#REF!,3,0)</f>
        <v>#REF!</v>
      </c>
      <c r="BE73" s="310" t="e">
        <f>VLOOKUP(Y73,#REF!,4,0)</f>
        <v>#REF!</v>
      </c>
      <c r="BF73" s="1053" t="str">
        <f t="shared" si="79"/>
        <v>o-o-o</v>
      </c>
      <c r="BG73" s="1054"/>
      <c r="BH73" s="1085"/>
      <c r="BI73" s="449"/>
      <c r="BJ73" s="677"/>
      <c r="BK73" s="441"/>
      <c r="BL73" s="677"/>
      <c r="BM73" s="99"/>
      <c r="BN73" s="1052"/>
      <c r="BO73" s="222"/>
      <c r="BP73" s="1055"/>
      <c r="BQ73" s="456"/>
      <c r="BR73" s="60"/>
      <c r="BS73" s="1087"/>
      <c r="BT73" s="444"/>
      <c r="BU73" s="1087"/>
      <c r="BV73" s="1077"/>
      <c r="BW73" s="221"/>
      <c r="BX73" s="213"/>
      <c r="BY73" s="357" t="str">
        <f t="shared" si="80"/>
        <v>- - -</v>
      </c>
      <c r="BZ73" s="1053" t="str">
        <f t="shared" si="81"/>
        <v>- - -</v>
      </c>
      <c r="CA73" s="379" t="str">
        <f t="shared" si="82"/>
        <v>Chánh Văn phòng Học viện, Trưởng Ban Tổ chức - Cán bộ</v>
      </c>
      <c r="CB73" s="1057" t="str">
        <f t="shared" si="83"/>
        <v>A</v>
      </c>
      <c r="CC73" s="1058" t="e">
        <f t="shared" si="84"/>
        <v>#REF!</v>
      </c>
      <c r="CD73" s="1047" t="e">
        <f t="shared" si="85"/>
        <v>#REF!</v>
      </c>
      <c r="CE73" s="1043" t="str">
        <f t="shared" si="86"/>
        <v>---</v>
      </c>
      <c r="CF73" s="1043"/>
      <c r="CG73" s="371"/>
      <c r="CH73" s="1043"/>
      <c r="CI73" s="1059"/>
      <c r="CJ73" s="1043" t="str">
        <f t="shared" si="87"/>
        <v>- - -</v>
      </c>
      <c r="CK73" s="1060" t="str">
        <f t="shared" si="88"/>
        <v>- - -</v>
      </c>
      <c r="CL73" s="1061"/>
      <c r="CM73" s="1062"/>
      <c r="CN73" s="1061"/>
      <c r="CO73" s="1063"/>
      <c r="CP73" s="1060" t="str">
        <f t="shared" si="89"/>
        <v>- - -</v>
      </c>
      <c r="CQ73" s="1061"/>
      <c r="CR73" s="1062"/>
      <c r="CS73" s="1061"/>
      <c r="CT73" s="1063"/>
      <c r="CU73" s="1064" t="e">
        <f t="shared" si="90"/>
        <v>#REF!</v>
      </c>
      <c r="CV73" s="232" t="str">
        <f t="shared" si="91"/>
        <v>/-/ /-/</v>
      </c>
      <c r="CW73" s="1065">
        <f t="shared" si="92"/>
        <v>3</v>
      </c>
      <c r="CX73" s="1066">
        <f t="shared" si="93"/>
        <v>2042</v>
      </c>
      <c r="CY73" s="1065">
        <f t="shared" si="94"/>
        <v>12</v>
      </c>
      <c r="CZ73" s="1066">
        <f t="shared" si="95"/>
        <v>2041</v>
      </c>
      <c r="DA73" s="1065">
        <f t="shared" si="96"/>
        <v>9</v>
      </c>
      <c r="DB73" s="1066">
        <f t="shared" si="97"/>
        <v>2041</v>
      </c>
      <c r="DC73" s="1067" t="e">
        <f t="shared" si="98"/>
        <v>#REF!</v>
      </c>
      <c r="DD73" s="1068" t="str">
        <f t="shared" si="99"/>
        <v>. .</v>
      </c>
      <c r="DE73" s="1068"/>
      <c r="DF73" s="1047">
        <f t="shared" si="100"/>
        <v>720</v>
      </c>
      <c r="DG73" s="1047">
        <f t="shared" si="101"/>
        <v>-23774</v>
      </c>
      <c r="DH73" s="1047">
        <f t="shared" si="102"/>
        <v>-1982</v>
      </c>
      <c r="DI73" s="1047" t="str">
        <f t="shared" si="103"/>
        <v>Nam dưới 35</v>
      </c>
      <c r="DJ73" s="1047"/>
      <c r="DK73" s="1047"/>
      <c r="DL73" s="1053" t="str">
        <f t="shared" si="104"/>
        <v>Đến 30</v>
      </c>
      <c r="DM73" s="1061" t="str">
        <f t="shared" si="109"/>
        <v>--</v>
      </c>
      <c r="DN73" s="1045"/>
      <c r="DO73" s="237"/>
      <c r="DP73" s="1078"/>
      <c r="DQ73" s="1045"/>
      <c r="DR73" s="1063"/>
      <c r="DS73" s="1069"/>
      <c r="DT73" s="1070"/>
      <c r="DU73" s="1071"/>
      <c r="DV73" s="1072"/>
      <c r="DW73" s="250" t="s">
        <v>215</v>
      </c>
      <c r="DX73" s="378" t="s">
        <v>246</v>
      </c>
      <c r="DY73" s="250" t="s">
        <v>215</v>
      </c>
      <c r="DZ73" s="1049" t="s">
        <v>183</v>
      </c>
      <c r="EA73" s="1050" t="s">
        <v>200</v>
      </c>
      <c r="EB73" s="1050" t="s">
        <v>191</v>
      </c>
      <c r="EC73" s="1050" t="s">
        <v>200</v>
      </c>
      <c r="ED73" s="1073">
        <v>2013</v>
      </c>
      <c r="EE73" s="1050">
        <f t="shared" si="105"/>
        <v>0</v>
      </c>
      <c r="EF73" s="1074" t="str">
        <f t="shared" si="106"/>
        <v>- - -</v>
      </c>
      <c r="EG73" s="1049" t="s">
        <v>183</v>
      </c>
      <c r="EH73" s="1050" t="s">
        <v>200</v>
      </c>
      <c r="EI73" s="1050" t="s">
        <v>191</v>
      </c>
      <c r="EJ73" s="1050" t="s">
        <v>200</v>
      </c>
      <c r="EK73" s="1073">
        <v>2013</v>
      </c>
      <c r="EL73" s="1043"/>
      <c r="EM73" s="1060" t="e">
        <f t="shared" si="107"/>
        <v>#REF!</v>
      </c>
      <c r="EN73" s="1075" t="str">
        <f t="shared" si="108"/>
        <v>---</v>
      </c>
      <c r="EO73" s="1072"/>
      <c r="EP73" s="1076"/>
      <c r="EQ73" s="1076"/>
      <c r="ER73" s="1076"/>
      <c r="ES73" s="1076"/>
      <c r="ET73" s="1076"/>
      <c r="EU73" s="1076"/>
      <c r="EV73" s="1076"/>
      <c r="EW73" s="1076"/>
      <c r="EX73" s="1076"/>
      <c r="EY73" s="1076"/>
      <c r="EZ73" s="1076"/>
      <c r="FA73" s="1076"/>
      <c r="FB73" s="1076"/>
      <c r="FC73" s="1076"/>
      <c r="FD73" s="1076"/>
      <c r="FE73" s="1076"/>
      <c r="FF73" s="1076"/>
      <c r="FG73" s="1076"/>
      <c r="FH73" s="1076"/>
      <c r="FI73" s="1076"/>
      <c r="FJ73" s="1076"/>
      <c r="FK73" s="1076"/>
      <c r="FL73" s="1076"/>
      <c r="FM73" s="172"/>
      <c r="FN73" s="79"/>
      <c r="FO73" s="79"/>
      <c r="FP73" s="79"/>
      <c r="FQ73" s="79"/>
      <c r="FR73" s="79"/>
    </row>
    <row r="74" spans="1:174" s="253" customFormat="1" ht="12.75" customHeight="1" x14ac:dyDescent="0.2">
      <c r="A74" s="98">
        <v>485</v>
      </c>
      <c r="B74" s="937">
        <v>11</v>
      </c>
      <c r="C74" s="35"/>
      <c r="D74" s="35" t="str">
        <f t="shared" si="71"/>
        <v>Bà</v>
      </c>
      <c r="E74" s="40" t="s">
        <v>34</v>
      </c>
      <c r="F74" s="35" t="s">
        <v>221</v>
      </c>
      <c r="G74" s="64" t="s">
        <v>223</v>
      </c>
      <c r="H74" s="1024" t="s">
        <v>200</v>
      </c>
      <c r="I74" s="64" t="s">
        <v>186</v>
      </c>
      <c r="J74" s="1024" t="s">
        <v>200</v>
      </c>
      <c r="K74" s="40">
        <v>1984</v>
      </c>
      <c r="L74" s="210" t="s">
        <v>258</v>
      </c>
      <c r="M74" s="1047" t="str">
        <f t="shared" si="72"/>
        <v>NLĐ</v>
      </c>
      <c r="N74" s="223"/>
      <c r="O74" s="1025" t="e">
        <f t="shared" si="73"/>
        <v>#N/A</v>
      </c>
      <c r="P74" s="40"/>
      <c r="Q74" s="359" t="e">
        <f>VLOOKUP(P74,'[2]- DLiêu Gốc (Không sửa)'!$C$2:$H$116,2,0)</f>
        <v>#N/A</v>
      </c>
      <c r="R74" s="1032" t="s">
        <v>0</v>
      </c>
      <c r="S74" s="378" t="s">
        <v>246</v>
      </c>
      <c r="T74" s="38" t="e">
        <f>VLOOKUP(Y74,#REF!,5,0)</f>
        <v>#REF!</v>
      </c>
      <c r="U74" s="39" t="e">
        <f>VLOOKUP(Y74,#REF!,6,0)</f>
        <v>#REF!</v>
      </c>
      <c r="V74" s="1059" t="s">
        <v>249</v>
      </c>
      <c r="W74" s="358" t="str">
        <f t="shared" si="74"/>
        <v>Cán sự</v>
      </c>
      <c r="X74" s="361" t="e">
        <f t="shared" si="75"/>
        <v>#REF!</v>
      </c>
      <c r="Y74" s="380" t="s">
        <v>199</v>
      </c>
      <c r="Z74" s="380" t="e">
        <f>VLOOKUP(Y74,#REF!,2,0)</f>
        <v>#REF!</v>
      </c>
      <c r="AA74" s="52" t="e">
        <f t="shared" si="76"/>
        <v>#REF!</v>
      </c>
      <c r="AB74" s="180">
        <v>6</v>
      </c>
      <c r="AC74" s="700" t="s">
        <v>200</v>
      </c>
      <c r="AD74" s="43">
        <v>12</v>
      </c>
      <c r="AE74" s="44">
        <v>2.8600000000000003</v>
      </c>
      <c r="AF74" s="435"/>
      <c r="AG74" s="100"/>
      <c r="AH74" s="673" t="s">
        <v>183</v>
      </c>
      <c r="AI74" s="694" t="s">
        <v>200</v>
      </c>
      <c r="AJ74" s="100" t="s">
        <v>186</v>
      </c>
      <c r="AK74" s="694" t="s">
        <v>200</v>
      </c>
      <c r="AL74" s="695">
        <v>2017</v>
      </c>
      <c r="AM74" s="178"/>
      <c r="AN74" s="53"/>
      <c r="AO74" s="353">
        <f t="shared" si="110"/>
        <v>7</v>
      </c>
      <c r="AP74" s="275" t="str">
        <f t="shared" si="111"/>
        <v>/</v>
      </c>
      <c r="AQ74" s="84">
        <f t="shared" si="112"/>
        <v>12</v>
      </c>
      <c r="AR74" s="47" t="e">
        <f t="shared" si="113"/>
        <v>#REF!</v>
      </c>
      <c r="AS74" s="438"/>
      <c r="AT74" s="48" t="s">
        <v>183</v>
      </c>
      <c r="AU74" s="669" t="s">
        <v>200</v>
      </c>
      <c r="AV74" s="49" t="s">
        <v>186</v>
      </c>
      <c r="AW74" s="669" t="s">
        <v>200</v>
      </c>
      <c r="AX74" s="50">
        <v>2019</v>
      </c>
      <c r="AY74" s="87"/>
      <c r="AZ74" s="515" t="s">
        <v>346</v>
      </c>
      <c r="BA74" s="517"/>
      <c r="BB74" s="51" t="e">
        <f t="shared" si="77"/>
        <v>#REF!</v>
      </c>
      <c r="BC74" s="356">
        <f t="shared" si="78"/>
        <v>-24234</v>
      </c>
      <c r="BD74" s="310" t="e">
        <f>VLOOKUP(Y74,#REF!,3,0)</f>
        <v>#REF!</v>
      </c>
      <c r="BE74" s="310" t="e">
        <f>VLOOKUP(Y74,#REF!,4,0)</f>
        <v>#REF!</v>
      </c>
      <c r="BF74" s="57" t="str">
        <f t="shared" si="79"/>
        <v>o-o-o</v>
      </c>
      <c r="BG74" s="58"/>
      <c r="BH74" s="450"/>
      <c r="BI74" s="449"/>
      <c r="BJ74" s="677"/>
      <c r="BK74" s="441"/>
      <c r="BL74" s="677"/>
      <c r="BM74" s="99"/>
      <c r="BN74" s="178"/>
      <c r="BO74" s="62"/>
      <c r="BP74" s="59"/>
      <c r="BQ74" s="454"/>
      <c r="BR74" s="60"/>
      <c r="BS74" s="669"/>
      <c r="BT74" s="442"/>
      <c r="BU74" s="669"/>
      <c r="BV74" s="50"/>
      <c r="BW74" s="61"/>
      <c r="BX74" s="177"/>
      <c r="BY74" s="357" t="str">
        <f t="shared" si="80"/>
        <v>- - -</v>
      </c>
      <c r="BZ74" s="57" t="str">
        <f t="shared" si="81"/>
        <v>- - -</v>
      </c>
      <c r="CA74" s="379" t="str">
        <f t="shared" si="82"/>
        <v>Chánh Văn phòng Học viện, Trưởng Ban Tổ chức - Cán bộ</v>
      </c>
      <c r="CB74" s="63" t="str">
        <f t="shared" si="83"/>
        <v>A</v>
      </c>
      <c r="CC74" s="41" t="e">
        <f t="shared" si="84"/>
        <v>#REF!</v>
      </c>
      <c r="CD74" s="52" t="e">
        <f t="shared" si="85"/>
        <v>#REF!</v>
      </c>
      <c r="CE74" s="35" t="str">
        <f t="shared" si="86"/>
        <v>---</v>
      </c>
      <c r="CF74" s="35"/>
      <c r="CG74" s="367"/>
      <c r="CH74" s="35"/>
      <c r="CI74" s="94"/>
      <c r="CJ74" s="35" t="e">
        <f t="shared" si="87"/>
        <v>#REF!</v>
      </c>
      <c r="CK74" s="55" t="str">
        <f t="shared" si="88"/>
        <v>- - -</v>
      </c>
      <c r="CL74" s="65"/>
      <c r="CM74" s="66"/>
      <c r="CN74" s="65"/>
      <c r="CO74" s="80"/>
      <c r="CP74" s="55" t="str">
        <f t="shared" si="89"/>
        <v>- - -</v>
      </c>
      <c r="CQ74" s="65"/>
      <c r="CR74" s="66"/>
      <c r="CS74" s="65"/>
      <c r="CT74" s="80"/>
      <c r="CU74" s="69" t="e">
        <f t="shared" si="90"/>
        <v>#REF!</v>
      </c>
      <c r="CV74" s="70" t="str">
        <f t="shared" si="91"/>
        <v>/-/ /-/</v>
      </c>
      <c r="CW74" s="67">
        <f t="shared" si="92"/>
        <v>7</v>
      </c>
      <c r="CX74" s="68">
        <f t="shared" si="93"/>
        <v>2039</v>
      </c>
      <c r="CY74" s="67">
        <f t="shared" si="94"/>
        <v>4</v>
      </c>
      <c r="CZ74" s="68">
        <f t="shared" si="95"/>
        <v>2039</v>
      </c>
      <c r="DA74" s="67">
        <f t="shared" si="96"/>
        <v>1</v>
      </c>
      <c r="DB74" s="68">
        <f t="shared" si="97"/>
        <v>2039</v>
      </c>
      <c r="DC74" s="71" t="e">
        <f t="shared" si="98"/>
        <v>#REF!</v>
      </c>
      <c r="DD74" s="72" t="str">
        <f t="shared" si="99"/>
        <v>. .</v>
      </c>
      <c r="DE74" s="72"/>
      <c r="DF74" s="52">
        <f t="shared" si="100"/>
        <v>660</v>
      </c>
      <c r="DG74" s="52">
        <f t="shared" si="101"/>
        <v>-23802</v>
      </c>
      <c r="DH74" s="52">
        <f t="shared" si="102"/>
        <v>-1984</v>
      </c>
      <c r="DI74" s="52" t="str">
        <f t="shared" si="103"/>
        <v>Nữ dưới 30</v>
      </c>
      <c r="DJ74" s="52"/>
      <c r="DK74" s="52"/>
      <c r="DL74" s="57" t="str">
        <f t="shared" si="104"/>
        <v>Đến 30</v>
      </c>
      <c r="DM74" s="192" t="str">
        <f t="shared" si="109"/>
        <v>--</v>
      </c>
      <c r="DN74" s="191"/>
      <c r="DO74" s="86"/>
      <c r="DP74" s="192"/>
      <c r="DQ74" s="80"/>
      <c r="DR74" s="80"/>
      <c r="DS74" s="81"/>
      <c r="DT74" s="82"/>
      <c r="DU74" s="75"/>
      <c r="DV74" s="87"/>
      <c r="DW74" s="37" t="s">
        <v>0</v>
      </c>
      <c r="DX74" s="378" t="s">
        <v>246</v>
      </c>
      <c r="DY74" s="37" t="s">
        <v>0</v>
      </c>
      <c r="DZ74" s="48" t="s">
        <v>183</v>
      </c>
      <c r="EA74" s="49" t="s">
        <v>200</v>
      </c>
      <c r="EB74" s="49" t="s">
        <v>186</v>
      </c>
      <c r="EC74" s="49" t="s">
        <v>200</v>
      </c>
      <c r="ED74" s="76">
        <v>2013</v>
      </c>
      <c r="EE74" s="49">
        <f t="shared" si="105"/>
        <v>0</v>
      </c>
      <c r="EF74" s="77" t="str">
        <f t="shared" si="106"/>
        <v>- - -</v>
      </c>
      <c r="EG74" s="48" t="s">
        <v>183</v>
      </c>
      <c r="EH74" s="49" t="s">
        <v>200</v>
      </c>
      <c r="EI74" s="49" t="s">
        <v>186</v>
      </c>
      <c r="EJ74" s="49" t="s">
        <v>200</v>
      </c>
      <c r="EK74" s="76">
        <v>2013</v>
      </c>
      <c r="EL74" s="35"/>
      <c r="EM74" s="55" t="e">
        <f t="shared" si="107"/>
        <v>#REF!</v>
      </c>
      <c r="EN74" s="78" t="str">
        <f t="shared" si="108"/>
        <v>---</v>
      </c>
      <c r="EO74" s="87"/>
      <c r="EP74" s="79"/>
      <c r="EQ74" s="79"/>
      <c r="ER74" s="79"/>
      <c r="ES74" s="79"/>
      <c r="ET74" s="79"/>
      <c r="EU74" s="79"/>
      <c r="EV74" s="79"/>
      <c r="EW74" s="79"/>
      <c r="EX74" s="79"/>
      <c r="EY74" s="79"/>
      <c r="EZ74" s="79"/>
      <c r="FA74" s="79"/>
      <c r="FB74" s="79"/>
      <c r="FC74" s="79"/>
      <c r="FD74" s="79"/>
      <c r="FE74" s="79"/>
      <c r="FF74" s="79"/>
      <c r="FG74" s="79"/>
      <c r="FH74" s="79"/>
      <c r="FI74" s="79"/>
      <c r="FJ74" s="79"/>
      <c r="FK74" s="79"/>
      <c r="FL74" s="79"/>
      <c r="FM74" s="79"/>
      <c r="FN74" s="79"/>
      <c r="FO74" s="79"/>
      <c r="FP74" s="79"/>
      <c r="FQ74" s="79"/>
      <c r="FR74" s="79"/>
    </row>
    <row r="75" spans="1:174" s="79" customFormat="1" ht="11.25" customHeight="1" x14ac:dyDescent="0.25">
      <c r="A75" s="98">
        <v>506</v>
      </c>
      <c r="B75" s="359">
        <v>12</v>
      </c>
      <c r="C75" s="271"/>
      <c r="D75" s="35" t="str">
        <f t="shared" si="71"/>
        <v>Bà</v>
      </c>
      <c r="E75" s="40" t="s">
        <v>35</v>
      </c>
      <c r="F75" s="35" t="s">
        <v>221</v>
      </c>
      <c r="G75" s="64" t="s">
        <v>210</v>
      </c>
      <c r="H75" s="1024" t="s">
        <v>200</v>
      </c>
      <c r="I75" s="64" t="s">
        <v>211</v>
      </c>
      <c r="J75" s="1024" t="s">
        <v>200</v>
      </c>
      <c r="K75" s="40">
        <v>1981</v>
      </c>
      <c r="L75" s="210" t="s">
        <v>258</v>
      </c>
      <c r="M75" s="1047" t="str">
        <f t="shared" si="72"/>
        <v>NLĐ</v>
      </c>
      <c r="N75" s="223"/>
      <c r="O75" s="1025" t="e">
        <f t="shared" si="73"/>
        <v>#N/A</v>
      </c>
      <c r="P75" s="40"/>
      <c r="Q75" s="359" t="e">
        <f>VLOOKUP(P75,'[2]- DLiêu Gốc (Không sửa)'!$C$2:$H$116,2,0)</f>
        <v>#N/A</v>
      </c>
      <c r="R75" s="1032" t="s">
        <v>209</v>
      </c>
      <c r="S75" s="378" t="s">
        <v>246</v>
      </c>
      <c r="T75" s="38" t="e">
        <f>VLOOKUP(Y75,#REF!,5,0)</f>
        <v>#REF!</v>
      </c>
      <c r="U75" s="39" t="e">
        <f>VLOOKUP(Y75,#REF!,6,0)</f>
        <v>#REF!</v>
      </c>
      <c r="V75" s="1059" t="s">
        <v>249</v>
      </c>
      <c r="W75" s="358" t="str">
        <f t="shared" si="74"/>
        <v>Chuyên viên</v>
      </c>
      <c r="X75" s="361" t="e">
        <f t="shared" si="75"/>
        <v>#REF!</v>
      </c>
      <c r="Y75" s="380" t="s">
        <v>181</v>
      </c>
      <c r="Z75" s="380" t="e">
        <f>VLOOKUP(Y75,#REF!,2,0)</f>
        <v>#REF!</v>
      </c>
      <c r="AA75" s="52" t="e">
        <f t="shared" si="76"/>
        <v>#REF!</v>
      </c>
      <c r="AB75" s="180">
        <v>4</v>
      </c>
      <c r="AC75" s="700" t="s">
        <v>200</v>
      </c>
      <c r="AD75" s="43">
        <v>9</v>
      </c>
      <c r="AE75" s="44">
        <v>3.33</v>
      </c>
      <c r="AF75" s="435"/>
      <c r="AG75" s="100"/>
      <c r="AH75" s="673" t="s">
        <v>183</v>
      </c>
      <c r="AI75" s="694" t="s">
        <v>200</v>
      </c>
      <c r="AJ75" s="100" t="s">
        <v>186</v>
      </c>
      <c r="AK75" s="694" t="s">
        <v>200</v>
      </c>
      <c r="AL75" s="695">
        <v>2016</v>
      </c>
      <c r="AM75" s="178"/>
      <c r="AN75" s="53"/>
      <c r="AO75" s="353">
        <f t="shared" si="110"/>
        <v>5</v>
      </c>
      <c r="AP75" s="275" t="str">
        <f t="shared" si="111"/>
        <v>/</v>
      </c>
      <c r="AQ75" s="84">
        <f t="shared" si="112"/>
        <v>9</v>
      </c>
      <c r="AR75" s="47" t="e">
        <f t="shared" si="113"/>
        <v>#REF!</v>
      </c>
      <c r="AS75" s="438"/>
      <c r="AT75" s="48" t="s">
        <v>183</v>
      </c>
      <c r="AU75" s="692" t="s">
        <v>200</v>
      </c>
      <c r="AV75" s="49">
        <v>6</v>
      </c>
      <c r="AW75" s="1153" t="s">
        <v>200</v>
      </c>
      <c r="AX75" s="50">
        <v>2019</v>
      </c>
      <c r="AY75" s="87"/>
      <c r="AZ75" s="509"/>
      <c r="BA75" s="517"/>
      <c r="BB75" s="51" t="e">
        <f t="shared" si="77"/>
        <v>#REF!</v>
      </c>
      <c r="BC75" s="356">
        <f t="shared" si="78"/>
        <v>-24234</v>
      </c>
      <c r="BD75" s="310" t="e">
        <f>VLOOKUP(Y75,#REF!,3,0)</f>
        <v>#REF!</v>
      </c>
      <c r="BE75" s="310" t="e">
        <f>VLOOKUP(Y75,#REF!,4,0)</f>
        <v>#REF!</v>
      </c>
      <c r="BF75" s="57" t="str">
        <f t="shared" si="79"/>
        <v>o-o-o</v>
      </c>
      <c r="BG75" s="58"/>
      <c r="BH75" s="450"/>
      <c r="BI75" s="449"/>
      <c r="BJ75" s="677"/>
      <c r="BK75" s="441"/>
      <c r="BL75" s="677"/>
      <c r="BM75" s="99"/>
      <c r="BN75" s="178"/>
      <c r="BO75" s="62"/>
      <c r="BP75" s="59"/>
      <c r="BQ75" s="454"/>
      <c r="BR75" s="60"/>
      <c r="BS75" s="669"/>
      <c r="BT75" s="442"/>
      <c r="BU75" s="669"/>
      <c r="BV75" s="50"/>
      <c r="BW75" s="61"/>
      <c r="BX75" s="177"/>
      <c r="BY75" s="357" t="str">
        <f t="shared" si="80"/>
        <v>- - -</v>
      </c>
      <c r="BZ75" s="57" t="str">
        <f t="shared" si="81"/>
        <v>- - -</v>
      </c>
      <c r="CA75" s="379" t="str">
        <f t="shared" si="82"/>
        <v>Chánh Văn phòng Học viện, Trưởng Ban Tổ chức - Cán bộ</v>
      </c>
      <c r="CB75" s="63" t="str">
        <f t="shared" si="83"/>
        <v>A</v>
      </c>
      <c r="CC75" s="41" t="e">
        <f t="shared" si="84"/>
        <v>#REF!</v>
      </c>
      <c r="CD75" s="52" t="e">
        <f t="shared" si="85"/>
        <v>#REF!</v>
      </c>
      <c r="CE75" s="35" t="str">
        <f t="shared" si="86"/>
        <v>S</v>
      </c>
      <c r="CF75" s="35">
        <v>2013</v>
      </c>
      <c r="CG75" s="367" t="s">
        <v>87</v>
      </c>
      <c r="CH75" s="35"/>
      <c r="CI75" s="94"/>
      <c r="CJ75" s="35" t="e">
        <f t="shared" si="87"/>
        <v>#REF!</v>
      </c>
      <c r="CK75" s="55" t="str">
        <f t="shared" si="88"/>
        <v>- - -</v>
      </c>
      <c r="CL75" s="65"/>
      <c r="CM75" s="66"/>
      <c r="CN75" s="65"/>
      <c r="CO75" s="80"/>
      <c r="CP75" s="55" t="str">
        <f t="shared" si="89"/>
        <v>- - -</v>
      </c>
      <c r="CQ75" s="65"/>
      <c r="CR75" s="36"/>
      <c r="CS75" s="65"/>
      <c r="CT75" s="80"/>
      <c r="CU75" s="69" t="e">
        <f t="shared" si="90"/>
        <v>#REF!</v>
      </c>
      <c r="CV75" s="70" t="str">
        <f t="shared" si="91"/>
        <v>/-/ /-/</v>
      </c>
      <c r="CW75" s="67">
        <f t="shared" si="92"/>
        <v>12</v>
      </c>
      <c r="CX75" s="68">
        <f t="shared" si="93"/>
        <v>2036</v>
      </c>
      <c r="CY75" s="67">
        <f t="shared" si="94"/>
        <v>9</v>
      </c>
      <c r="CZ75" s="68">
        <f t="shared" si="95"/>
        <v>2036</v>
      </c>
      <c r="DA75" s="67">
        <f t="shared" si="96"/>
        <v>6</v>
      </c>
      <c r="DB75" s="68">
        <f t="shared" si="97"/>
        <v>2036</v>
      </c>
      <c r="DC75" s="71" t="e">
        <f t="shared" si="98"/>
        <v>#REF!</v>
      </c>
      <c r="DD75" s="72" t="str">
        <f t="shared" si="99"/>
        <v>. .</v>
      </c>
      <c r="DE75" s="72"/>
      <c r="DF75" s="52">
        <f t="shared" si="100"/>
        <v>660</v>
      </c>
      <c r="DG75" s="52">
        <f t="shared" si="101"/>
        <v>-23771</v>
      </c>
      <c r="DH75" s="52">
        <f t="shared" si="102"/>
        <v>-1981</v>
      </c>
      <c r="DI75" s="52" t="str">
        <f t="shared" si="103"/>
        <v>Nữ dưới 30</v>
      </c>
      <c r="DJ75" s="52"/>
      <c r="DK75" s="52"/>
      <c r="DL75" s="57" t="str">
        <f t="shared" si="104"/>
        <v>Đến 30</v>
      </c>
      <c r="DM75" s="375" t="str">
        <f t="shared" si="109"/>
        <v>--</v>
      </c>
      <c r="DN75" s="375"/>
      <c r="DO75" s="86"/>
      <c r="DP75" s="375"/>
      <c r="DQ75" s="80"/>
      <c r="DR75" s="80"/>
      <c r="DS75" s="81"/>
      <c r="DT75" s="82"/>
      <c r="DU75" s="75"/>
      <c r="DV75" s="87"/>
      <c r="DW75" s="37" t="s">
        <v>209</v>
      </c>
      <c r="DX75" s="378" t="s">
        <v>246</v>
      </c>
      <c r="DY75" s="37" t="s">
        <v>209</v>
      </c>
      <c r="DZ75" s="363" t="s">
        <v>183</v>
      </c>
      <c r="EA75" s="49" t="s">
        <v>200</v>
      </c>
      <c r="EB75" s="362">
        <v>6</v>
      </c>
      <c r="EC75" s="49" t="s">
        <v>200</v>
      </c>
      <c r="ED75" s="1154">
        <v>2013</v>
      </c>
      <c r="EE75" s="49">
        <f t="shared" si="105"/>
        <v>0</v>
      </c>
      <c r="EF75" s="77" t="str">
        <f t="shared" si="106"/>
        <v>- - -</v>
      </c>
      <c r="EG75" s="363" t="s">
        <v>183</v>
      </c>
      <c r="EH75" s="49" t="s">
        <v>200</v>
      </c>
      <c r="EI75" s="362">
        <v>6</v>
      </c>
      <c r="EJ75" s="49" t="s">
        <v>200</v>
      </c>
      <c r="EK75" s="1154">
        <v>2013</v>
      </c>
      <c r="EL75" s="35"/>
      <c r="EM75" s="55" t="e">
        <f t="shared" si="107"/>
        <v>#REF!</v>
      </c>
      <c r="EN75" s="78" t="str">
        <f t="shared" si="108"/>
        <v>---</v>
      </c>
      <c r="EO75" s="87"/>
    </row>
    <row r="76" spans="1:174" s="347" customFormat="1" ht="11.25" customHeight="1" x14ac:dyDescent="0.25">
      <c r="A76" s="98">
        <v>509</v>
      </c>
      <c r="B76" s="937">
        <v>13</v>
      </c>
      <c r="C76" s="35"/>
      <c r="D76" s="35" t="str">
        <f t="shared" si="71"/>
        <v>Ông</v>
      </c>
      <c r="E76" s="40" t="s">
        <v>36</v>
      </c>
      <c r="F76" s="35" t="s">
        <v>219</v>
      </c>
      <c r="G76" s="64" t="s">
        <v>5</v>
      </c>
      <c r="H76" s="1024" t="s">
        <v>200</v>
      </c>
      <c r="I76" s="64">
        <v>3</v>
      </c>
      <c r="J76" s="1024" t="s">
        <v>200</v>
      </c>
      <c r="K76" s="40">
        <v>1975</v>
      </c>
      <c r="L76" s="210" t="s">
        <v>264</v>
      </c>
      <c r="M76" s="1047" t="str">
        <f t="shared" si="72"/>
        <v>VC</v>
      </c>
      <c r="N76" s="223"/>
      <c r="O76" s="1025" t="e">
        <f t="shared" si="73"/>
        <v>#N/A</v>
      </c>
      <c r="P76" s="40"/>
      <c r="Q76" s="359" t="e">
        <f>VLOOKUP(P76,'[2]- DLiêu Gốc (Không sửa)'!$C$2:$H$116,2,0)</f>
        <v>#N/A</v>
      </c>
      <c r="R76" s="1032" t="s">
        <v>209</v>
      </c>
      <c r="S76" s="378" t="s">
        <v>246</v>
      </c>
      <c r="T76" s="38" t="e">
        <f>VLOOKUP(Y76,#REF!,5,0)</f>
        <v>#REF!</v>
      </c>
      <c r="U76" s="39" t="e">
        <f>VLOOKUP(Y76,#REF!,6,0)</f>
        <v>#REF!</v>
      </c>
      <c r="V76" s="1059" t="s">
        <v>249</v>
      </c>
      <c r="W76" s="358" t="str">
        <f t="shared" si="74"/>
        <v>Chuyên viên</v>
      </c>
      <c r="X76" s="361" t="e">
        <f t="shared" si="75"/>
        <v>#REF!</v>
      </c>
      <c r="Y76" s="380" t="s">
        <v>181</v>
      </c>
      <c r="Z76" s="380" t="e">
        <f>VLOOKUP(Y76,#REF!,2,0)</f>
        <v>#REF!</v>
      </c>
      <c r="AA76" s="52" t="e">
        <f t="shared" si="76"/>
        <v>#REF!</v>
      </c>
      <c r="AB76" s="180">
        <v>5</v>
      </c>
      <c r="AC76" s="700" t="s">
        <v>200</v>
      </c>
      <c r="AD76" s="43">
        <v>9</v>
      </c>
      <c r="AE76" s="44">
        <v>3.66</v>
      </c>
      <c r="AF76" s="435"/>
      <c r="AG76" s="100"/>
      <c r="AH76" s="673" t="s">
        <v>183</v>
      </c>
      <c r="AI76" s="694" t="s">
        <v>200</v>
      </c>
      <c r="AJ76" s="100" t="s">
        <v>186</v>
      </c>
      <c r="AK76" s="694" t="s">
        <v>200</v>
      </c>
      <c r="AL76" s="695">
        <v>2016</v>
      </c>
      <c r="AM76" s="178"/>
      <c r="AN76" s="53"/>
      <c r="AO76" s="353">
        <f t="shared" si="110"/>
        <v>6</v>
      </c>
      <c r="AP76" s="275" t="str">
        <f t="shared" si="111"/>
        <v>/</v>
      </c>
      <c r="AQ76" s="84">
        <f t="shared" si="112"/>
        <v>9</v>
      </c>
      <c r="AR76" s="47" t="e">
        <f t="shared" si="113"/>
        <v>#REF!</v>
      </c>
      <c r="AS76" s="438"/>
      <c r="AT76" s="48" t="s">
        <v>183</v>
      </c>
      <c r="AU76" s="669" t="s">
        <v>200</v>
      </c>
      <c r="AV76" s="49">
        <v>6</v>
      </c>
      <c r="AW76" s="669" t="s">
        <v>200</v>
      </c>
      <c r="AX76" s="50">
        <v>2019</v>
      </c>
      <c r="AY76" s="87"/>
      <c r="AZ76" s="300"/>
      <c r="BA76" s="517"/>
      <c r="BB76" s="51" t="e">
        <f t="shared" si="77"/>
        <v>#REF!</v>
      </c>
      <c r="BC76" s="356">
        <f t="shared" si="78"/>
        <v>-24234</v>
      </c>
      <c r="BD76" s="310" t="e">
        <f>VLOOKUP(Y76,#REF!,3,0)</f>
        <v>#REF!</v>
      </c>
      <c r="BE76" s="310" t="e">
        <f>VLOOKUP(Y76,#REF!,4,0)</f>
        <v>#REF!</v>
      </c>
      <c r="BF76" s="57" t="str">
        <f t="shared" si="79"/>
        <v>o-o-o</v>
      </c>
      <c r="BG76" s="58"/>
      <c r="BH76" s="450"/>
      <c r="BI76" s="449"/>
      <c r="BJ76" s="677"/>
      <c r="BK76" s="441"/>
      <c r="BL76" s="677"/>
      <c r="BM76" s="99"/>
      <c r="BN76" s="178"/>
      <c r="BO76" s="62"/>
      <c r="BP76" s="59"/>
      <c r="BQ76" s="454"/>
      <c r="BR76" s="60"/>
      <c r="BS76" s="669"/>
      <c r="BT76" s="442"/>
      <c r="BU76" s="669"/>
      <c r="BV76" s="50"/>
      <c r="BW76" s="61"/>
      <c r="BX76" s="177"/>
      <c r="BY76" s="357" t="str">
        <f t="shared" si="80"/>
        <v>- - -</v>
      </c>
      <c r="BZ76" s="57" t="str">
        <f t="shared" si="81"/>
        <v>- - -</v>
      </c>
      <c r="CA76" s="379" t="str">
        <f t="shared" si="82"/>
        <v>Chánh Văn phòng Học viện, Trưởng Ban Tổ chức - Cán bộ</v>
      </c>
      <c r="CB76" s="63" t="str">
        <f t="shared" si="83"/>
        <v>A</v>
      </c>
      <c r="CC76" s="41" t="e">
        <f t="shared" si="84"/>
        <v>#REF!</v>
      </c>
      <c r="CD76" s="52" t="e">
        <f t="shared" si="85"/>
        <v>#REF!</v>
      </c>
      <c r="CE76" s="35" t="str">
        <f t="shared" si="86"/>
        <v>S</v>
      </c>
      <c r="CF76" s="35">
        <v>2013</v>
      </c>
      <c r="CG76" s="367" t="s">
        <v>87</v>
      </c>
      <c r="CH76" s="35"/>
      <c r="CI76" s="94"/>
      <c r="CJ76" s="35" t="e">
        <f t="shared" si="87"/>
        <v>#REF!</v>
      </c>
      <c r="CK76" s="55" t="str">
        <f t="shared" si="88"/>
        <v>- - -</v>
      </c>
      <c r="CL76" s="65"/>
      <c r="CM76" s="66"/>
      <c r="CN76" s="65"/>
      <c r="CO76" s="80"/>
      <c r="CP76" s="55" t="str">
        <f t="shared" si="89"/>
        <v>- - -</v>
      </c>
      <c r="CQ76" s="65"/>
      <c r="CR76" s="66"/>
      <c r="CS76" s="65"/>
      <c r="CT76" s="80"/>
      <c r="CU76" s="69" t="e">
        <f t="shared" si="90"/>
        <v>#REF!</v>
      </c>
      <c r="CV76" s="70" t="str">
        <f t="shared" si="91"/>
        <v>/-/ /-/</v>
      </c>
      <c r="CW76" s="67">
        <f t="shared" si="92"/>
        <v>4</v>
      </c>
      <c r="CX76" s="68">
        <f t="shared" si="93"/>
        <v>2035</v>
      </c>
      <c r="CY76" s="67">
        <f t="shared" si="94"/>
        <v>1</v>
      </c>
      <c r="CZ76" s="68">
        <f t="shared" si="95"/>
        <v>2035</v>
      </c>
      <c r="DA76" s="67">
        <f t="shared" si="96"/>
        <v>10</v>
      </c>
      <c r="DB76" s="68">
        <f t="shared" si="97"/>
        <v>2034</v>
      </c>
      <c r="DC76" s="71" t="e">
        <f t="shared" si="98"/>
        <v>#REF!</v>
      </c>
      <c r="DD76" s="72" t="str">
        <f t="shared" si="99"/>
        <v>. .</v>
      </c>
      <c r="DE76" s="369"/>
      <c r="DF76" s="52">
        <f t="shared" si="100"/>
        <v>720</v>
      </c>
      <c r="DG76" s="52">
        <f t="shared" si="101"/>
        <v>-23691</v>
      </c>
      <c r="DH76" s="52">
        <f t="shared" si="102"/>
        <v>-1975</v>
      </c>
      <c r="DI76" s="52" t="str">
        <f t="shared" si="103"/>
        <v>Nam dưới 35</v>
      </c>
      <c r="DJ76" s="52"/>
      <c r="DK76" s="52"/>
      <c r="DL76" s="57" t="str">
        <f t="shared" si="104"/>
        <v>Đến 30</v>
      </c>
      <c r="DM76" s="65" t="str">
        <f t="shared" si="109"/>
        <v>TD</v>
      </c>
      <c r="DN76" s="36">
        <v>2009</v>
      </c>
      <c r="DO76" s="86"/>
      <c r="DP76" s="56"/>
      <c r="DQ76" s="80"/>
      <c r="DR76" s="80"/>
      <c r="DS76" s="81"/>
      <c r="DT76" s="82"/>
      <c r="DU76" s="75"/>
      <c r="DV76" s="87"/>
      <c r="DW76" s="37" t="s">
        <v>209</v>
      </c>
      <c r="DX76" s="378" t="s">
        <v>246</v>
      </c>
      <c r="DY76" s="37" t="s">
        <v>209</v>
      </c>
      <c r="DZ76" s="363" t="s">
        <v>183</v>
      </c>
      <c r="EA76" s="49" t="s">
        <v>200</v>
      </c>
      <c r="EB76" s="362">
        <v>6</v>
      </c>
      <c r="EC76" s="49" t="s">
        <v>200</v>
      </c>
      <c r="ED76" s="76">
        <v>2013</v>
      </c>
      <c r="EE76" s="49">
        <f t="shared" si="105"/>
        <v>0</v>
      </c>
      <c r="EF76" s="77" t="str">
        <f t="shared" si="106"/>
        <v>- - -</v>
      </c>
      <c r="EG76" s="363" t="s">
        <v>183</v>
      </c>
      <c r="EH76" s="49" t="s">
        <v>200</v>
      </c>
      <c r="EI76" s="362">
        <v>6</v>
      </c>
      <c r="EJ76" s="49" t="s">
        <v>200</v>
      </c>
      <c r="EK76" s="76">
        <v>2013</v>
      </c>
      <c r="EL76" s="35"/>
      <c r="EM76" s="55" t="e">
        <f t="shared" si="107"/>
        <v>#REF!</v>
      </c>
      <c r="EN76" s="78" t="str">
        <f t="shared" si="108"/>
        <v>---</v>
      </c>
      <c r="EO76" s="87"/>
      <c r="EP76" s="79"/>
      <c r="EQ76" s="79"/>
      <c r="ER76" s="79"/>
      <c r="ES76" s="79"/>
      <c r="ET76" s="79"/>
      <c r="EU76" s="79"/>
      <c r="EV76" s="79"/>
      <c r="EW76" s="79"/>
      <c r="EX76" s="79"/>
      <c r="EY76" s="79"/>
      <c r="EZ76" s="79"/>
      <c r="FA76" s="79"/>
      <c r="FB76" s="79"/>
      <c r="FC76" s="79"/>
      <c r="FD76" s="79"/>
      <c r="FE76" s="79"/>
      <c r="FF76" s="79"/>
      <c r="FG76" s="79"/>
      <c r="FH76" s="79"/>
      <c r="FI76" s="79"/>
      <c r="FJ76" s="79"/>
      <c r="FK76" s="79"/>
      <c r="FL76" s="79"/>
      <c r="FM76" s="79"/>
      <c r="FN76" s="83"/>
      <c r="FO76" s="83"/>
      <c r="FP76" s="83"/>
      <c r="FQ76" s="83"/>
      <c r="FR76" s="83"/>
    </row>
    <row r="77" spans="1:174" s="79" customFormat="1" ht="11.25" customHeight="1" x14ac:dyDescent="0.2">
      <c r="A77" s="98">
        <v>520</v>
      </c>
      <c r="B77" s="359">
        <v>14</v>
      </c>
      <c r="C77" s="271"/>
      <c r="D77" s="35" t="str">
        <f t="shared" si="71"/>
        <v>Ông</v>
      </c>
      <c r="E77" s="40" t="s">
        <v>147</v>
      </c>
      <c r="F77" s="35" t="s">
        <v>219</v>
      </c>
      <c r="G77" s="64" t="s">
        <v>192</v>
      </c>
      <c r="H77" s="1024" t="s">
        <v>200</v>
      </c>
      <c r="I77" s="64" t="s">
        <v>186</v>
      </c>
      <c r="J77" s="1024" t="s">
        <v>200</v>
      </c>
      <c r="K77" s="40">
        <v>1963</v>
      </c>
      <c r="L77" s="210" t="s">
        <v>258</v>
      </c>
      <c r="M77" s="1047" t="str">
        <f t="shared" si="72"/>
        <v>NLĐ</v>
      </c>
      <c r="N77" s="223" t="s">
        <v>176</v>
      </c>
      <c r="O77" s="1025" t="e">
        <f t="shared" si="73"/>
        <v>#N/A</v>
      </c>
      <c r="P77" s="40"/>
      <c r="Q77" s="359" t="e">
        <f>VLOOKUP(P77,'[2]- DLiêu Gốc (Không sửa)'!$C$2:$H$116,2,0)</f>
        <v>#N/A</v>
      </c>
      <c r="R77" s="1032" t="s">
        <v>209</v>
      </c>
      <c r="S77" s="378" t="s">
        <v>246</v>
      </c>
      <c r="T77" s="38" t="e">
        <f>VLOOKUP(Y77,#REF!,5,0)</f>
        <v>#REF!</v>
      </c>
      <c r="U77" s="39" t="e">
        <f>VLOOKUP(Y77,#REF!,6,0)</f>
        <v>#REF!</v>
      </c>
      <c r="V77" s="1059" t="s">
        <v>249</v>
      </c>
      <c r="W77" s="358" t="str">
        <f t="shared" si="74"/>
        <v>Nhân viên</v>
      </c>
      <c r="X77" s="361" t="str">
        <f t="shared" si="75"/>
        <v>01.005</v>
      </c>
      <c r="Y77" s="380" t="s">
        <v>197</v>
      </c>
      <c r="Z77" s="380" t="e">
        <f>VLOOKUP(Y77,#REF!,2,0)</f>
        <v>#REF!</v>
      </c>
      <c r="AA77" s="52" t="e">
        <f t="shared" si="76"/>
        <v>#REF!</v>
      </c>
      <c r="AB77" s="180">
        <v>9</v>
      </c>
      <c r="AC77" s="700" t="s">
        <v>200</v>
      </c>
      <c r="AD77" s="43">
        <v>12</v>
      </c>
      <c r="AE77" s="44">
        <v>2.94</v>
      </c>
      <c r="AF77" s="435"/>
      <c r="AG77" s="100"/>
      <c r="AH77" s="673" t="s">
        <v>183</v>
      </c>
      <c r="AI77" s="694" t="s">
        <v>200</v>
      </c>
      <c r="AJ77" s="100" t="s">
        <v>186</v>
      </c>
      <c r="AK77" s="694" t="s">
        <v>200</v>
      </c>
      <c r="AL77" s="695">
        <v>2017</v>
      </c>
      <c r="AM77" s="178"/>
      <c r="AN77" s="53"/>
      <c r="AO77" s="353">
        <f t="shared" si="110"/>
        <v>10</v>
      </c>
      <c r="AP77" s="275" t="str">
        <f t="shared" si="111"/>
        <v>/</v>
      </c>
      <c r="AQ77" s="84">
        <f t="shared" si="112"/>
        <v>12</v>
      </c>
      <c r="AR77" s="725" t="e">
        <f t="shared" si="113"/>
        <v>#REF!</v>
      </c>
      <c r="AS77" s="47"/>
      <c r="AT77" s="48" t="s">
        <v>183</v>
      </c>
      <c r="AU77" s="669" t="s">
        <v>200</v>
      </c>
      <c r="AV77" s="49">
        <v>6</v>
      </c>
      <c r="AW77" s="669" t="s">
        <v>200</v>
      </c>
      <c r="AX77" s="50">
        <v>2019</v>
      </c>
      <c r="AY77" s="87"/>
      <c r="AZ77" s="300"/>
      <c r="BA77" s="517"/>
      <c r="BB77" s="51" t="e">
        <f t="shared" si="77"/>
        <v>#REF!</v>
      </c>
      <c r="BC77" s="356">
        <f t="shared" si="78"/>
        <v>-24234</v>
      </c>
      <c r="BD77" s="310" t="e">
        <f>VLOOKUP(Y77,#REF!,3,0)</f>
        <v>#REF!</v>
      </c>
      <c r="BE77" s="310" t="e">
        <f>VLOOKUP(Y77,#REF!,4,0)</f>
        <v>#REF!</v>
      </c>
      <c r="BF77" s="57" t="str">
        <f t="shared" si="79"/>
        <v>o-o-o</v>
      </c>
      <c r="BG77" s="58"/>
      <c r="BH77" s="450"/>
      <c r="BI77" s="449"/>
      <c r="BJ77" s="677"/>
      <c r="BK77" s="441"/>
      <c r="BL77" s="677"/>
      <c r="BM77" s="99"/>
      <c r="BN77" s="178"/>
      <c r="BO77" s="62"/>
      <c r="BP77" s="59"/>
      <c r="BQ77" s="454"/>
      <c r="BR77" s="60"/>
      <c r="BS77" s="669"/>
      <c r="BT77" s="442"/>
      <c r="BU77" s="669"/>
      <c r="BV77" s="50"/>
      <c r="BW77" s="61"/>
      <c r="BX77" s="177"/>
      <c r="BY77" s="357" t="str">
        <f t="shared" si="80"/>
        <v>- - -</v>
      </c>
      <c r="BZ77" s="57" t="str">
        <f t="shared" si="81"/>
        <v>- - -</v>
      </c>
      <c r="CA77" s="379" t="str">
        <f t="shared" si="82"/>
        <v>Chánh Văn phòng Học viện, Trưởng Ban Tổ chức - Cán bộ</v>
      </c>
      <c r="CB77" s="63" t="str">
        <f t="shared" si="83"/>
        <v>A</v>
      </c>
      <c r="CC77" s="41" t="e">
        <f t="shared" si="84"/>
        <v>#REF!</v>
      </c>
      <c r="CD77" s="52" t="e">
        <f t="shared" si="85"/>
        <v>#REF!</v>
      </c>
      <c r="CE77" s="35" t="str">
        <f t="shared" si="86"/>
        <v>S</v>
      </c>
      <c r="CF77" s="35">
        <v>2013</v>
      </c>
      <c r="CG77" s="361" t="s">
        <v>89</v>
      </c>
      <c r="CH77" s="94"/>
      <c r="CI77" s="35"/>
      <c r="CJ77" s="35" t="str">
        <f t="shared" si="87"/>
        <v>Cùg Ng</v>
      </c>
      <c r="CK77" s="55" t="str">
        <f t="shared" si="88"/>
        <v>- - -</v>
      </c>
      <c r="CL77" s="65"/>
      <c r="CM77" s="66"/>
      <c r="CN77" s="65"/>
      <c r="CO77" s="80"/>
      <c r="CP77" s="55" t="str">
        <f t="shared" si="89"/>
        <v>- - -</v>
      </c>
      <c r="CQ77" s="65"/>
      <c r="CR77" s="191"/>
      <c r="CS77" s="65"/>
      <c r="CT77" s="80"/>
      <c r="CU77" s="69" t="e">
        <f t="shared" si="90"/>
        <v>#REF!</v>
      </c>
      <c r="CV77" s="70" t="str">
        <f t="shared" si="91"/>
        <v>/-/ /-/</v>
      </c>
      <c r="CW77" s="67">
        <f t="shared" si="92"/>
        <v>7</v>
      </c>
      <c r="CX77" s="68">
        <f t="shared" si="93"/>
        <v>2023</v>
      </c>
      <c r="CY77" s="67">
        <f t="shared" si="94"/>
        <v>4</v>
      </c>
      <c r="CZ77" s="68">
        <f t="shared" si="95"/>
        <v>2023</v>
      </c>
      <c r="DA77" s="67">
        <f t="shared" si="96"/>
        <v>1</v>
      </c>
      <c r="DB77" s="68">
        <f t="shared" si="97"/>
        <v>2023</v>
      </c>
      <c r="DC77" s="71" t="e">
        <f t="shared" si="98"/>
        <v>#REF!</v>
      </c>
      <c r="DD77" s="72" t="str">
        <f t="shared" si="99"/>
        <v>. .</v>
      </c>
      <c r="DE77" s="72"/>
      <c r="DF77" s="52">
        <f t="shared" si="100"/>
        <v>720</v>
      </c>
      <c r="DG77" s="52">
        <f t="shared" si="101"/>
        <v>-23550</v>
      </c>
      <c r="DH77" s="52">
        <f t="shared" si="102"/>
        <v>-1963</v>
      </c>
      <c r="DI77" s="52" t="str">
        <f t="shared" si="103"/>
        <v>Nam dưới 35</v>
      </c>
      <c r="DJ77" s="52"/>
      <c r="DK77" s="52"/>
      <c r="DL77" s="57" t="str">
        <f t="shared" si="104"/>
        <v>Đến 30</v>
      </c>
      <c r="DM77" s="65" t="str">
        <f t="shared" si="109"/>
        <v>--</v>
      </c>
      <c r="DN77" s="36"/>
      <c r="DO77" s="86"/>
      <c r="DP77" s="56"/>
      <c r="DQ77" s="80"/>
      <c r="DR77" s="80"/>
      <c r="DS77" s="81"/>
      <c r="DT77" s="82"/>
      <c r="DU77" s="75"/>
      <c r="DV77" s="40"/>
      <c r="DW77" s="106" t="s">
        <v>209</v>
      </c>
      <c r="DX77" s="378" t="s">
        <v>246</v>
      </c>
      <c r="DY77" s="37" t="s">
        <v>209</v>
      </c>
      <c r="DZ77" s="48" t="s">
        <v>183</v>
      </c>
      <c r="EA77" s="49" t="s">
        <v>200</v>
      </c>
      <c r="EB77" s="42">
        <v>6</v>
      </c>
      <c r="EC77" s="49" t="s">
        <v>200</v>
      </c>
      <c r="ED77" s="76">
        <v>2013</v>
      </c>
      <c r="EE77" s="49">
        <f t="shared" si="105"/>
        <v>0</v>
      </c>
      <c r="EF77" s="77" t="str">
        <f t="shared" si="106"/>
        <v>- - -</v>
      </c>
      <c r="EG77" s="48" t="s">
        <v>183</v>
      </c>
      <c r="EH77" s="49" t="s">
        <v>200</v>
      </c>
      <c r="EI77" s="42">
        <v>6</v>
      </c>
      <c r="EJ77" s="49" t="s">
        <v>200</v>
      </c>
      <c r="EK77" s="76">
        <v>2013</v>
      </c>
      <c r="EL77" s="35"/>
      <c r="EM77" s="55" t="e">
        <f t="shared" si="107"/>
        <v>#REF!</v>
      </c>
      <c r="EN77" s="78" t="str">
        <f t="shared" si="108"/>
        <v>---</v>
      </c>
      <c r="EO77" s="87"/>
    </row>
    <row r="78" spans="1:174" s="79" customFormat="1" ht="11.25" customHeight="1" x14ac:dyDescent="0.25">
      <c r="A78" s="98">
        <v>522</v>
      </c>
      <c r="B78" s="937">
        <v>15</v>
      </c>
      <c r="C78" s="271"/>
      <c r="D78" s="35" t="str">
        <f t="shared" si="71"/>
        <v>Ông</v>
      </c>
      <c r="E78" s="40" t="s">
        <v>144</v>
      </c>
      <c r="F78" s="35" t="s">
        <v>219</v>
      </c>
      <c r="G78" s="64" t="s">
        <v>140</v>
      </c>
      <c r="H78" s="1024" t="s">
        <v>200</v>
      </c>
      <c r="I78" s="64" t="s">
        <v>188</v>
      </c>
      <c r="J78" s="1024" t="s">
        <v>200</v>
      </c>
      <c r="K78" s="40">
        <v>1972</v>
      </c>
      <c r="L78" s="210" t="s">
        <v>258</v>
      </c>
      <c r="M78" s="1047" t="str">
        <f t="shared" si="72"/>
        <v>NLĐ</v>
      </c>
      <c r="N78" s="223" t="s">
        <v>176</v>
      </c>
      <c r="O78" s="1025" t="e">
        <f t="shared" si="73"/>
        <v>#N/A</v>
      </c>
      <c r="P78" s="40"/>
      <c r="Q78" s="359" t="e">
        <f>VLOOKUP(P78,'[2]- DLiêu Gốc (Không sửa)'!$C$2:$H$116,2,0)</f>
        <v>#N/A</v>
      </c>
      <c r="R78" s="1032" t="s">
        <v>209</v>
      </c>
      <c r="S78" s="378" t="s">
        <v>246</v>
      </c>
      <c r="T78" s="38" t="e">
        <f>VLOOKUP(Y78,#REF!,5,0)</f>
        <v>#REF!</v>
      </c>
      <c r="U78" s="39" t="e">
        <f>VLOOKUP(Y78,#REF!,6,0)</f>
        <v>#REF!</v>
      </c>
      <c r="V78" s="1059" t="s">
        <v>249</v>
      </c>
      <c r="W78" s="358" t="str">
        <f t="shared" si="74"/>
        <v>Nhân viên</v>
      </c>
      <c r="X78" s="361" t="str">
        <f t="shared" si="75"/>
        <v>01.005</v>
      </c>
      <c r="Y78" s="380" t="s">
        <v>197</v>
      </c>
      <c r="Z78" s="380" t="e">
        <f>VLOOKUP(Y78,#REF!,2,0)</f>
        <v>#REF!</v>
      </c>
      <c r="AA78" s="52" t="e">
        <f t="shared" si="76"/>
        <v>#REF!</v>
      </c>
      <c r="AB78" s="1040">
        <v>10</v>
      </c>
      <c r="AC78" s="700" t="s">
        <v>200</v>
      </c>
      <c r="AD78" s="43">
        <v>12</v>
      </c>
      <c r="AE78" s="44">
        <v>3.12</v>
      </c>
      <c r="AF78" s="435"/>
      <c r="AG78" s="100"/>
      <c r="AH78" s="673" t="s">
        <v>183</v>
      </c>
      <c r="AI78" s="694" t="s">
        <v>200</v>
      </c>
      <c r="AJ78" s="100" t="s">
        <v>186</v>
      </c>
      <c r="AK78" s="694" t="s">
        <v>200</v>
      </c>
      <c r="AL78" s="695">
        <v>2017</v>
      </c>
      <c r="AM78" s="178"/>
      <c r="AN78" s="53"/>
      <c r="AO78" s="353">
        <f t="shared" si="110"/>
        <v>11</v>
      </c>
      <c r="AP78" s="275" t="str">
        <f t="shared" si="111"/>
        <v>/</v>
      </c>
      <c r="AQ78" s="84">
        <f t="shared" si="112"/>
        <v>12</v>
      </c>
      <c r="AR78" s="275" t="e">
        <f t="shared" si="113"/>
        <v>#REF!</v>
      </c>
      <c r="AS78" s="438"/>
      <c r="AT78" s="48" t="s">
        <v>183</v>
      </c>
      <c r="AU78" s="669" t="s">
        <v>200</v>
      </c>
      <c r="AV78" s="49">
        <v>6</v>
      </c>
      <c r="AW78" s="669" t="s">
        <v>200</v>
      </c>
      <c r="AX78" s="50">
        <v>2019</v>
      </c>
      <c r="AY78" s="87"/>
      <c r="AZ78" s="300"/>
      <c r="BA78" s="517"/>
      <c r="BB78" s="51" t="e">
        <f t="shared" si="77"/>
        <v>#REF!</v>
      </c>
      <c r="BC78" s="356">
        <f t="shared" si="78"/>
        <v>-24234</v>
      </c>
      <c r="BD78" s="310" t="e">
        <f>VLOOKUP(Y78,#REF!,3,0)</f>
        <v>#REF!</v>
      </c>
      <c r="BE78" s="310" t="e">
        <f>VLOOKUP(Y78,#REF!,4,0)</f>
        <v>#REF!</v>
      </c>
      <c r="BF78" s="57" t="str">
        <f t="shared" si="79"/>
        <v>o-o-o</v>
      </c>
      <c r="BG78" s="58"/>
      <c r="BH78" s="450"/>
      <c r="BI78" s="449"/>
      <c r="BJ78" s="677"/>
      <c r="BK78" s="441"/>
      <c r="BL78" s="677"/>
      <c r="BM78" s="99"/>
      <c r="BN78" s="178"/>
      <c r="BO78" s="62"/>
      <c r="BP78" s="59"/>
      <c r="BQ78" s="454"/>
      <c r="BR78" s="60"/>
      <c r="BS78" s="669"/>
      <c r="BT78" s="442"/>
      <c r="BU78" s="669"/>
      <c r="BV78" s="50"/>
      <c r="BW78" s="61"/>
      <c r="BX78" s="177"/>
      <c r="BY78" s="357" t="str">
        <f t="shared" si="80"/>
        <v>- - -</v>
      </c>
      <c r="BZ78" s="57" t="str">
        <f t="shared" si="81"/>
        <v>- - -</v>
      </c>
      <c r="CA78" s="379" t="str">
        <f t="shared" si="82"/>
        <v>Chánh Văn phòng Học viện, Trưởng Ban Tổ chức - Cán bộ</v>
      </c>
      <c r="CB78" s="63" t="str">
        <f t="shared" si="83"/>
        <v>A</v>
      </c>
      <c r="CC78" s="41" t="e">
        <f t="shared" si="84"/>
        <v>#REF!</v>
      </c>
      <c r="CD78" s="52" t="e">
        <f t="shared" si="85"/>
        <v>#REF!</v>
      </c>
      <c r="CE78" s="35" t="str">
        <f t="shared" si="86"/>
        <v>S</v>
      </c>
      <c r="CF78" s="35">
        <v>2013</v>
      </c>
      <c r="CG78" s="367" t="s">
        <v>89</v>
      </c>
      <c r="CH78" s="57">
        <v>2010</v>
      </c>
      <c r="CI78" s="35" t="s">
        <v>88</v>
      </c>
      <c r="CJ78" s="35" t="str">
        <f t="shared" si="87"/>
        <v>Cùg Ng</v>
      </c>
      <c r="CK78" s="55" t="str">
        <f t="shared" si="88"/>
        <v>- - -</v>
      </c>
      <c r="CL78" s="65"/>
      <c r="CM78" s="66"/>
      <c r="CN78" s="65"/>
      <c r="CO78" s="80"/>
      <c r="CP78" s="55" t="str">
        <f t="shared" si="89"/>
        <v>- - -</v>
      </c>
      <c r="CQ78" s="65"/>
      <c r="CR78" s="191"/>
      <c r="CS78" s="65"/>
      <c r="CT78" s="80"/>
      <c r="CU78" s="69" t="e">
        <f t="shared" si="90"/>
        <v>#REF!</v>
      </c>
      <c r="CV78" s="70" t="str">
        <f t="shared" si="91"/>
        <v>/-/ /-/</v>
      </c>
      <c r="CW78" s="67">
        <f t="shared" si="92"/>
        <v>4</v>
      </c>
      <c r="CX78" s="68">
        <f t="shared" si="93"/>
        <v>2032</v>
      </c>
      <c r="CY78" s="67">
        <f t="shared" si="94"/>
        <v>1</v>
      </c>
      <c r="CZ78" s="68">
        <f t="shared" si="95"/>
        <v>2032</v>
      </c>
      <c r="DA78" s="67">
        <f t="shared" si="96"/>
        <v>10</v>
      </c>
      <c r="DB78" s="68">
        <f t="shared" si="97"/>
        <v>2031</v>
      </c>
      <c r="DC78" s="71" t="e">
        <f t="shared" si="98"/>
        <v>#REF!</v>
      </c>
      <c r="DD78" s="72" t="str">
        <f t="shared" si="99"/>
        <v>. .</v>
      </c>
      <c r="DE78" s="72"/>
      <c r="DF78" s="52">
        <f t="shared" si="100"/>
        <v>720</v>
      </c>
      <c r="DG78" s="52">
        <f t="shared" si="101"/>
        <v>-23655</v>
      </c>
      <c r="DH78" s="52">
        <f t="shared" si="102"/>
        <v>-1972</v>
      </c>
      <c r="DI78" s="52" t="str">
        <f t="shared" si="103"/>
        <v>Nam dưới 35</v>
      </c>
      <c r="DJ78" s="52"/>
      <c r="DK78" s="52"/>
      <c r="DL78" s="57" t="str">
        <f t="shared" si="104"/>
        <v>Đến 30</v>
      </c>
      <c r="DM78" s="65" t="str">
        <f t="shared" si="109"/>
        <v>--</v>
      </c>
      <c r="DN78" s="36"/>
      <c r="DO78" s="86"/>
      <c r="DP78" s="56"/>
      <c r="DQ78" s="80"/>
      <c r="DR78" s="80"/>
      <c r="DS78" s="81"/>
      <c r="DT78" s="82"/>
      <c r="DU78" s="75"/>
      <c r="DV78" s="87"/>
      <c r="DW78" s="1032" t="s">
        <v>209</v>
      </c>
      <c r="DX78" s="378" t="s">
        <v>246</v>
      </c>
      <c r="DY78" s="37" t="s">
        <v>209</v>
      </c>
      <c r="DZ78" s="363" t="s">
        <v>183</v>
      </c>
      <c r="EA78" s="49" t="s">
        <v>200</v>
      </c>
      <c r="EB78" s="362">
        <v>6</v>
      </c>
      <c r="EC78" s="49" t="s">
        <v>200</v>
      </c>
      <c r="ED78" s="76">
        <v>2013</v>
      </c>
      <c r="EE78" s="49">
        <f t="shared" si="105"/>
        <v>0</v>
      </c>
      <c r="EF78" s="77" t="str">
        <f t="shared" si="106"/>
        <v>- - -</v>
      </c>
      <c r="EG78" s="363" t="s">
        <v>183</v>
      </c>
      <c r="EH78" s="49" t="s">
        <v>200</v>
      </c>
      <c r="EI78" s="362">
        <v>6</v>
      </c>
      <c r="EJ78" s="49" t="s">
        <v>200</v>
      </c>
      <c r="EK78" s="76">
        <v>2013</v>
      </c>
      <c r="EL78" s="35"/>
      <c r="EM78" s="55" t="e">
        <f t="shared" si="107"/>
        <v>#REF!</v>
      </c>
      <c r="EN78" s="78" t="str">
        <f t="shared" si="108"/>
        <v>---</v>
      </c>
      <c r="EO78" s="87"/>
      <c r="EP78" s="95"/>
      <c r="EQ78" s="95"/>
      <c r="ER78" s="95"/>
      <c r="ES78" s="95"/>
      <c r="ET78" s="95"/>
      <c r="EU78" s="95"/>
      <c r="EV78" s="95"/>
      <c r="EW78" s="95"/>
      <c r="EX78" s="95"/>
      <c r="EY78" s="95"/>
      <c r="EZ78" s="95"/>
      <c r="FA78" s="95"/>
      <c r="FB78" s="95"/>
      <c r="FC78" s="95"/>
      <c r="FD78" s="95"/>
      <c r="FE78" s="95"/>
      <c r="FF78" s="95"/>
      <c r="FG78" s="95"/>
      <c r="FH78" s="95"/>
      <c r="FI78" s="95"/>
      <c r="FJ78" s="95"/>
      <c r="FK78" s="95"/>
      <c r="FL78" s="95"/>
    </row>
    <row r="79" spans="1:174" s="350" customFormat="1" ht="11.25" customHeight="1" x14ac:dyDescent="0.25">
      <c r="A79" s="98">
        <v>524</v>
      </c>
      <c r="B79" s="359">
        <v>16</v>
      </c>
      <c r="C79" s="35"/>
      <c r="D79" s="35" t="str">
        <f t="shared" si="71"/>
        <v>Ông</v>
      </c>
      <c r="E79" s="40" t="s">
        <v>148</v>
      </c>
      <c r="F79" s="35" t="s">
        <v>219</v>
      </c>
      <c r="G79" s="64" t="s">
        <v>138</v>
      </c>
      <c r="H79" s="1024" t="s">
        <v>200</v>
      </c>
      <c r="I79" s="64" t="s">
        <v>190</v>
      </c>
      <c r="J79" s="1024" t="s">
        <v>200</v>
      </c>
      <c r="K79" s="40">
        <v>1981</v>
      </c>
      <c r="L79" s="210" t="s">
        <v>258</v>
      </c>
      <c r="M79" s="1047" t="str">
        <f t="shared" si="72"/>
        <v>NLĐ</v>
      </c>
      <c r="N79" s="223" t="s">
        <v>176</v>
      </c>
      <c r="O79" s="1025" t="e">
        <f t="shared" si="73"/>
        <v>#N/A</v>
      </c>
      <c r="P79" s="40"/>
      <c r="Q79" s="359" t="e">
        <f>VLOOKUP(P79,'[2]- DLiêu Gốc (Không sửa)'!$C$2:$H$116,2,0)</f>
        <v>#N/A</v>
      </c>
      <c r="R79" s="1032" t="s">
        <v>209</v>
      </c>
      <c r="S79" s="378" t="s">
        <v>246</v>
      </c>
      <c r="T79" s="38" t="e">
        <f>VLOOKUP(Y79,#REF!,5,0)</f>
        <v>#REF!</v>
      </c>
      <c r="U79" s="39" t="e">
        <f>VLOOKUP(Y79,#REF!,6,0)</f>
        <v>#REF!</v>
      </c>
      <c r="V79" s="1059" t="s">
        <v>249</v>
      </c>
      <c r="W79" s="358" t="str">
        <f t="shared" si="74"/>
        <v>Nhân viên</v>
      </c>
      <c r="X79" s="361" t="str">
        <f t="shared" si="75"/>
        <v>01.005</v>
      </c>
      <c r="Y79" s="380" t="s">
        <v>198</v>
      </c>
      <c r="Z79" s="380" t="e">
        <f>VLOOKUP(Y79,#REF!,2,0)</f>
        <v>#REF!</v>
      </c>
      <c r="AA79" s="52" t="e">
        <f t="shared" si="76"/>
        <v>#REF!</v>
      </c>
      <c r="AB79" s="108">
        <v>9</v>
      </c>
      <c r="AC79" s="700" t="s">
        <v>200</v>
      </c>
      <c r="AD79" s="43">
        <v>12</v>
      </c>
      <c r="AE79" s="44">
        <v>3.0900000000000003</v>
      </c>
      <c r="AF79" s="435"/>
      <c r="AG79" s="100"/>
      <c r="AH79" s="673" t="s">
        <v>183</v>
      </c>
      <c r="AI79" s="694" t="s">
        <v>200</v>
      </c>
      <c r="AJ79" s="100" t="s">
        <v>186</v>
      </c>
      <c r="AK79" s="694" t="s">
        <v>200</v>
      </c>
      <c r="AL79" s="695">
        <v>2017</v>
      </c>
      <c r="AM79" s="178"/>
      <c r="AN79" s="53"/>
      <c r="AO79" s="353">
        <f t="shared" si="110"/>
        <v>10</v>
      </c>
      <c r="AP79" s="275" t="str">
        <f t="shared" si="111"/>
        <v>/</v>
      </c>
      <c r="AQ79" s="84">
        <f t="shared" si="112"/>
        <v>12</v>
      </c>
      <c r="AR79" s="47" t="e">
        <f t="shared" si="113"/>
        <v>#REF!</v>
      </c>
      <c r="AS79" s="438"/>
      <c r="AT79" s="48" t="s">
        <v>183</v>
      </c>
      <c r="AU79" s="669" t="s">
        <v>200</v>
      </c>
      <c r="AV79" s="49">
        <v>6</v>
      </c>
      <c r="AW79" s="669" t="s">
        <v>200</v>
      </c>
      <c r="AX79" s="50">
        <v>2019</v>
      </c>
      <c r="AY79" s="87"/>
      <c r="AZ79" s="300"/>
      <c r="BA79" s="517"/>
      <c r="BB79" s="51" t="e">
        <f t="shared" si="77"/>
        <v>#REF!</v>
      </c>
      <c r="BC79" s="356">
        <f t="shared" si="78"/>
        <v>-24234</v>
      </c>
      <c r="BD79" s="310" t="e">
        <f>VLOOKUP(Y79,#REF!,3,0)</f>
        <v>#REF!</v>
      </c>
      <c r="BE79" s="310" t="e">
        <f>VLOOKUP(Y79,#REF!,4,0)</f>
        <v>#REF!</v>
      </c>
      <c r="BF79" s="57" t="str">
        <f t="shared" si="79"/>
        <v>o-o-o</v>
      </c>
      <c r="BG79" s="59"/>
      <c r="BH79" s="450"/>
      <c r="BI79" s="449"/>
      <c r="BJ79" s="677"/>
      <c r="BK79" s="441"/>
      <c r="BL79" s="677"/>
      <c r="BM79" s="99"/>
      <c r="BN79" s="178"/>
      <c r="BO79" s="62"/>
      <c r="BP79" s="59"/>
      <c r="BQ79" s="454"/>
      <c r="BR79" s="60"/>
      <c r="BS79" s="669"/>
      <c r="BT79" s="442"/>
      <c r="BU79" s="669"/>
      <c r="BV79" s="50"/>
      <c r="BW79" s="61"/>
      <c r="BX79" s="177"/>
      <c r="BY79" s="357" t="str">
        <f t="shared" si="80"/>
        <v>- - -</v>
      </c>
      <c r="BZ79" s="57" t="str">
        <f t="shared" si="81"/>
        <v>- - -</v>
      </c>
      <c r="CA79" s="379" t="str">
        <f t="shared" si="82"/>
        <v>Chánh Văn phòng Học viện, Trưởng Ban Tổ chức - Cán bộ</v>
      </c>
      <c r="CB79" s="63" t="str">
        <f t="shared" si="83"/>
        <v>A</v>
      </c>
      <c r="CC79" s="41" t="e">
        <f t="shared" si="84"/>
        <v>#REF!</v>
      </c>
      <c r="CD79" s="52" t="e">
        <f t="shared" si="85"/>
        <v>#REF!</v>
      </c>
      <c r="CE79" s="35" t="str">
        <f t="shared" si="86"/>
        <v>S</v>
      </c>
      <c r="CF79" s="35">
        <v>2013</v>
      </c>
      <c r="CG79" s="367" t="s">
        <v>89</v>
      </c>
      <c r="CH79" s="35"/>
      <c r="CI79" s="94"/>
      <c r="CJ79" s="35" t="str">
        <f t="shared" si="87"/>
        <v>Cùg Ng</v>
      </c>
      <c r="CK79" s="55" t="str">
        <f t="shared" si="88"/>
        <v>- - -</v>
      </c>
      <c r="CL79" s="65"/>
      <c r="CM79" s="66"/>
      <c r="CN79" s="65"/>
      <c r="CO79" s="80"/>
      <c r="CP79" s="55" t="str">
        <f t="shared" si="89"/>
        <v>- - -</v>
      </c>
      <c r="CQ79" s="65"/>
      <c r="CR79" s="36"/>
      <c r="CS79" s="65"/>
      <c r="CT79" s="80"/>
      <c r="CU79" s="69" t="e">
        <f t="shared" si="90"/>
        <v>#REF!</v>
      </c>
      <c r="CV79" s="70" t="str">
        <f t="shared" si="91"/>
        <v>/-/ /-/</v>
      </c>
      <c r="CW79" s="67">
        <f t="shared" si="92"/>
        <v>10</v>
      </c>
      <c r="CX79" s="68">
        <f t="shared" si="93"/>
        <v>2041</v>
      </c>
      <c r="CY79" s="67">
        <f t="shared" si="94"/>
        <v>7</v>
      </c>
      <c r="CZ79" s="68">
        <f t="shared" si="95"/>
        <v>2041</v>
      </c>
      <c r="DA79" s="67">
        <f t="shared" si="96"/>
        <v>4</v>
      </c>
      <c r="DB79" s="68">
        <f t="shared" si="97"/>
        <v>2041</v>
      </c>
      <c r="DC79" s="71" t="e">
        <f t="shared" si="98"/>
        <v>#REF!</v>
      </c>
      <c r="DD79" s="72" t="str">
        <f t="shared" si="99"/>
        <v>. .</v>
      </c>
      <c r="DE79" s="72"/>
      <c r="DF79" s="52">
        <f t="shared" si="100"/>
        <v>720</v>
      </c>
      <c r="DG79" s="52">
        <f t="shared" si="101"/>
        <v>-23769</v>
      </c>
      <c r="DH79" s="52">
        <f t="shared" si="102"/>
        <v>-1981</v>
      </c>
      <c r="DI79" s="52" t="str">
        <f t="shared" si="103"/>
        <v>Nam dưới 35</v>
      </c>
      <c r="DJ79" s="52"/>
      <c r="DK79" s="52"/>
      <c r="DL79" s="57" t="str">
        <f t="shared" si="104"/>
        <v>Đến 30</v>
      </c>
      <c r="DM79" s="364" t="str">
        <f t="shared" si="109"/>
        <v>--</v>
      </c>
      <c r="DN79" s="365"/>
      <c r="DO79" s="86"/>
      <c r="DP79" s="175"/>
      <c r="DQ79" s="80"/>
      <c r="DR79" s="80"/>
      <c r="DS79" s="81"/>
      <c r="DT79" s="361"/>
      <c r="DU79" s="75"/>
      <c r="DV79" s="87"/>
      <c r="DW79" s="37" t="s">
        <v>209</v>
      </c>
      <c r="DX79" s="378" t="s">
        <v>246</v>
      </c>
      <c r="DY79" s="37" t="s">
        <v>209</v>
      </c>
      <c r="DZ79" s="48" t="s">
        <v>183</v>
      </c>
      <c r="EA79" s="49" t="s">
        <v>200</v>
      </c>
      <c r="EB79" s="42">
        <v>6</v>
      </c>
      <c r="EC79" s="49" t="s">
        <v>200</v>
      </c>
      <c r="ED79" s="76">
        <v>2013</v>
      </c>
      <c r="EE79" s="49">
        <f t="shared" si="105"/>
        <v>0</v>
      </c>
      <c r="EF79" s="77" t="str">
        <f t="shared" si="106"/>
        <v>- - -</v>
      </c>
      <c r="EG79" s="48" t="s">
        <v>183</v>
      </c>
      <c r="EH79" s="49" t="s">
        <v>200</v>
      </c>
      <c r="EI79" s="42">
        <v>6</v>
      </c>
      <c r="EJ79" s="49" t="s">
        <v>200</v>
      </c>
      <c r="EK79" s="76">
        <v>2013</v>
      </c>
      <c r="EL79" s="35"/>
      <c r="EM79" s="55" t="e">
        <f t="shared" si="107"/>
        <v>#REF!</v>
      </c>
      <c r="EN79" s="78" t="str">
        <f t="shared" si="108"/>
        <v>---</v>
      </c>
      <c r="EO79" s="87"/>
      <c r="EP79" s="79"/>
      <c r="EQ79" s="79"/>
      <c r="ER79" s="79"/>
      <c r="ES79" s="79"/>
      <c r="ET79" s="79"/>
      <c r="EU79" s="79"/>
      <c r="EV79" s="79"/>
      <c r="EW79" s="79"/>
      <c r="EX79" s="79"/>
      <c r="EY79" s="79"/>
      <c r="EZ79" s="79"/>
      <c r="FA79" s="79"/>
      <c r="FB79" s="79"/>
      <c r="FC79" s="79"/>
      <c r="FD79" s="79"/>
      <c r="FE79" s="79"/>
      <c r="FF79" s="79"/>
      <c r="FG79" s="79"/>
      <c r="FH79" s="79"/>
      <c r="FI79" s="79"/>
      <c r="FJ79" s="79"/>
      <c r="FK79" s="79"/>
      <c r="FL79" s="79"/>
      <c r="FM79" s="96"/>
      <c r="FN79" s="79"/>
      <c r="FO79" s="79"/>
      <c r="FP79" s="79"/>
      <c r="FQ79" s="79"/>
      <c r="FR79" s="79"/>
    </row>
    <row r="80" spans="1:174" s="105" customFormat="1" ht="11.25" customHeight="1" x14ac:dyDescent="0.2">
      <c r="A80" s="98">
        <v>604</v>
      </c>
      <c r="B80" s="937">
        <v>17</v>
      </c>
      <c r="C80" s="35"/>
      <c r="D80" s="35" t="str">
        <f t="shared" si="71"/>
        <v>Ông</v>
      </c>
      <c r="E80" s="40" t="s">
        <v>145</v>
      </c>
      <c r="F80" s="35" t="s">
        <v>219</v>
      </c>
      <c r="G80" s="64" t="s">
        <v>134</v>
      </c>
      <c r="H80" s="1024" t="s">
        <v>200</v>
      </c>
      <c r="I80" s="64" t="s">
        <v>188</v>
      </c>
      <c r="J80" s="1024" t="s">
        <v>200</v>
      </c>
      <c r="K80" s="40">
        <v>1978</v>
      </c>
      <c r="L80" s="210" t="s">
        <v>258</v>
      </c>
      <c r="M80" s="1047" t="str">
        <f t="shared" si="72"/>
        <v>NLĐ</v>
      </c>
      <c r="N80" s="223"/>
      <c r="O80" s="1025" t="str">
        <f t="shared" si="73"/>
        <v>- -</v>
      </c>
      <c r="P80" s="40"/>
      <c r="Q80" s="359">
        <f>VLOOKUP(P80,'[1]- DLiêu Gốc -'!$B$2:$G$120,2,0)</f>
        <v>0</v>
      </c>
      <c r="R80" s="1035" t="s">
        <v>209</v>
      </c>
      <c r="S80" s="942" t="s">
        <v>329</v>
      </c>
      <c r="T80" s="38" t="str">
        <f>VLOOKUP(Y80,'[1]- DLiêu Gốc -'!$B$2:$G$54,5,0)</f>
        <v>C</v>
      </c>
      <c r="U80" s="39" t="str">
        <f>VLOOKUP(Y80,'[1]- DLiêu Gốc -'!$B$2:$G$54,6,0)</f>
        <v>Nhân viên</v>
      </c>
      <c r="V80" s="1059" t="s">
        <v>249</v>
      </c>
      <c r="W80" s="358" t="str">
        <f t="shared" si="74"/>
        <v>Nhân viên</v>
      </c>
      <c r="X80" s="361" t="str">
        <f t="shared" si="75"/>
        <v>01.005</v>
      </c>
      <c r="Y80" s="380" t="s">
        <v>198</v>
      </c>
      <c r="Z80" s="380" t="e">
        <f>VLOOKUP(Y80,#REF!,2,0)</f>
        <v>#REF!</v>
      </c>
      <c r="AA80" s="52" t="str">
        <f t="shared" si="76"/>
        <v>Lương</v>
      </c>
      <c r="AB80" s="180">
        <v>7</v>
      </c>
      <c r="AC80" s="700" t="s">
        <v>200</v>
      </c>
      <c r="AD80" s="43">
        <v>12</v>
      </c>
      <c r="AE80" s="54">
        <v>2.73</v>
      </c>
      <c r="AF80" s="437"/>
      <c r="AG80" s="46"/>
      <c r="AH80" s="722" t="s">
        <v>183</v>
      </c>
      <c r="AI80" s="694" t="s">
        <v>200</v>
      </c>
      <c r="AJ80" s="100" t="s">
        <v>186</v>
      </c>
      <c r="AK80" s="694" t="s">
        <v>200</v>
      </c>
      <c r="AL80" s="695">
        <v>2017</v>
      </c>
      <c r="AM80" s="178"/>
      <c r="AN80" s="53"/>
      <c r="AO80" s="353">
        <f t="shared" si="110"/>
        <v>8</v>
      </c>
      <c r="AP80" s="275" t="str">
        <f t="shared" si="111"/>
        <v>/</v>
      </c>
      <c r="AQ80" s="84">
        <f t="shared" si="112"/>
        <v>12</v>
      </c>
      <c r="AR80" s="47">
        <f t="shared" si="113"/>
        <v>2.91</v>
      </c>
      <c r="AS80" s="438"/>
      <c r="AT80" s="48" t="s">
        <v>183</v>
      </c>
      <c r="AU80" s="669" t="s">
        <v>200</v>
      </c>
      <c r="AV80" s="49">
        <v>6</v>
      </c>
      <c r="AW80" s="669" t="s">
        <v>200</v>
      </c>
      <c r="AX80" s="50">
        <v>2019</v>
      </c>
      <c r="AY80" s="87"/>
      <c r="AZ80" s="509"/>
      <c r="BA80" s="517"/>
      <c r="BB80" s="51">
        <f t="shared" si="77"/>
        <v>2</v>
      </c>
      <c r="BC80" s="356">
        <f t="shared" si="78"/>
        <v>-24234</v>
      </c>
      <c r="BD80" s="310">
        <f>VLOOKUP(Y80,'[1]- DLiêu Gốc -'!$B$1:$E$54,3,0)</f>
        <v>1.65</v>
      </c>
      <c r="BE80" s="310">
        <f>VLOOKUP(Y80,'[1]- DLiêu Gốc -'!$B$1:$E$54,4,0)</f>
        <v>0.18</v>
      </c>
      <c r="BF80" s="57" t="str">
        <f t="shared" si="79"/>
        <v>o-o-o</v>
      </c>
      <c r="BG80" s="58"/>
      <c r="BH80" s="450"/>
      <c r="BI80" s="449"/>
      <c r="BJ80" s="677"/>
      <c r="BK80" s="441"/>
      <c r="BL80" s="677"/>
      <c r="BM80" s="99"/>
      <c r="BN80" s="178"/>
      <c r="BO80" s="62"/>
      <c r="BP80" s="59"/>
      <c r="BQ80" s="454"/>
      <c r="BR80" s="60"/>
      <c r="BS80" s="669"/>
      <c r="BT80" s="442"/>
      <c r="BU80" s="669"/>
      <c r="BV80" s="50"/>
      <c r="BW80" s="90" t="s">
        <v>138</v>
      </c>
      <c r="BX80" s="177"/>
      <c r="BY80" s="357" t="str">
        <f t="shared" si="80"/>
        <v>- - -</v>
      </c>
      <c r="BZ80" s="57" t="str">
        <f t="shared" si="81"/>
        <v>- - -</v>
      </c>
      <c r="CA80" s="379" t="str">
        <f t="shared" si="82"/>
        <v>Chánh Văn phòng Học viện, Trưởng Ban Tổ chức - Cán bộ, Trưởng Phân viện Học viện Hành chính Quốc gia tại thành phố Huế</v>
      </c>
      <c r="CB80" s="63" t="str">
        <f t="shared" si="83"/>
        <v>A</v>
      </c>
      <c r="CC80" s="41" t="str">
        <f t="shared" si="84"/>
        <v>=&gt; s</v>
      </c>
      <c r="CD80" s="52">
        <f t="shared" si="85"/>
        <v>24246</v>
      </c>
      <c r="CE80" s="35" t="str">
        <f t="shared" si="86"/>
        <v>S</v>
      </c>
      <c r="CF80" s="35">
        <v>2013</v>
      </c>
      <c r="CG80" s="367" t="s">
        <v>89</v>
      </c>
      <c r="CH80" s="35"/>
      <c r="CI80" s="35"/>
      <c r="CJ80" s="35" t="str">
        <f t="shared" si="87"/>
        <v>Cùg Ng</v>
      </c>
      <c r="CK80" s="55" t="str">
        <f t="shared" si="88"/>
        <v>- - -</v>
      </c>
      <c r="CL80" s="65"/>
      <c r="CM80" s="66"/>
      <c r="CN80" s="65"/>
      <c r="CO80" s="80"/>
      <c r="CP80" s="55" t="str">
        <f t="shared" si="89"/>
        <v>- - -</v>
      </c>
      <c r="CQ80" s="65"/>
      <c r="CR80" s="66"/>
      <c r="CS80" s="65"/>
      <c r="CT80" s="80"/>
      <c r="CU80" s="69" t="str">
        <f>IF(AND(CV80="Hưu",AB80&lt;(AD80-1),DC80&gt;0,DC80&lt;18,OR(BG80&lt;4,AND(BG80&gt;3,OR(BZ80&lt;3,BZ80&gt;5)))),"Lg Sớm",IF(AND(CV80="Hưu",AB80&gt;(AD80-2),OR(BE80=0.33,BE80=0.34),OR(BG80&lt;4,AND(BG80&gt;3,OR(BZ80&lt;3,BZ80&gt;5)))),"Nâng Ngạch??",IF(AND(CV80="Hưu",BB80=1,DC80&gt;2,DC80&lt;6,OR(BG80&lt;4,AND(BG80&gt;3,OR(BZ80&lt;3,BZ80&gt;5)))),"Nâng PcVK cùng QĐ",IF(AND(CV80="Hưu",BG80&gt;3,BZ80&gt;2,BZ80&lt;6,AB80&lt;(AD80-1),DC80&gt;17,OR(BB80&gt;1,AND(BB80=1,OR(DC80&lt;3,DC80&gt;5)))),"Nâng PcNG cùng QĐ",IF(AND(CV80="Hưu",AB80&lt;(AD80-1),DC80&gt;0,DC80&lt;18,BG80&gt;3,BZ80&gt;2,BZ80&lt;6),"Nâng Lg Sớm +(PcNG cùng QĐ)",IF(AND(CV80="Hưu",AB80&gt;(AD80-2),OR(BE80=0.33,BE80=0.34),BG80&gt;3,BZ80&gt;2,BZ80&lt;6),"Nâng Ngạch?? +(PcNG cùng QĐ)",IF(AND(CV80="Hưu",BB80=1,DC80&gt;2,DC80&lt;6,BG80&gt;3,BZ80&gt;2,BZ80&lt;6),"Nâng (PcVK +PcNG) cùng QĐ",("---"))))))))</f>
        <v>---</v>
      </c>
      <c r="CV80" s="70" t="str">
        <f t="shared" si="91"/>
        <v>/-/ /-/</v>
      </c>
      <c r="CW80" s="67">
        <f t="shared" si="92"/>
        <v>4</v>
      </c>
      <c r="CX80" s="68">
        <f t="shared" si="93"/>
        <v>2038</v>
      </c>
      <c r="CY80" s="67">
        <f t="shared" si="94"/>
        <v>1</v>
      </c>
      <c r="CZ80" s="68">
        <f t="shared" si="95"/>
        <v>2038</v>
      </c>
      <c r="DA80" s="67">
        <f t="shared" si="96"/>
        <v>10</v>
      </c>
      <c r="DB80" s="68">
        <f t="shared" si="97"/>
        <v>2037</v>
      </c>
      <c r="DC80" s="71" t="str">
        <f t="shared" si="98"/>
        <v>- - -</v>
      </c>
      <c r="DD80" s="72" t="str">
        <f t="shared" si="99"/>
        <v>. .</v>
      </c>
      <c r="DE80" s="72"/>
      <c r="DF80" s="52">
        <f t="shared" si="100"/>
        <v>720</v>
      </c>
      <c r="DG80" s="52">
        <f t="shared" si="101"/>
        <v>-23727</v>
      </c>
      <c r="DH80" s="52">
        <f t="shared" si="102"/>
        <v>-1978</v>
      </c>
      <c r="DI80" s="52" t="str">
        <f t="shared" si="103"/>
        <v>Nam dưới 35</v>
      </c>
      <c r="DJ80" s="52"/>
      <c r="DK80" s="52"/>
      <c r="DL80" s="57" t="str">
        <f t="shared" si="104"/>
        <v>Đến 30</v>
      </c>
      <c r="DM80" s="65" t="str">
        <f t="shared" si="109"/>
        <v>--</v>
      </c>
      <c r="DN80" s="36"/>
      <c r="DO80" s="91"/>
      <c r="DP80" s="73"/>
      <c r="DQ80" s="36"/>
      <c r="DR80" s="80"/>
      <c r="DS80" s="81"/>
      <c r="DT80" s="82"/>
      <c r="DU80" s="75"/>
      <c r="DV80" s="87"/>
      <c r="DW80" s="176" t="s">
        <v>209</v>
      </c>
      <c r="DX80" s="378" t="s">
        <v>244</v>
      </c>
      <c r="DY80" s="176" t="s">
        <v>209</v>
      </c>
      <c r="DZ80" s="48" t="s">
        <v>183</v>
      </c>
      <c r="EA80" s="49" t="s">
        <v>200</v>
      </c>
      <c r="EB80" s="192">
        <v>6</v>
      </c>
      <c r="EC80" s="49" t="s">
        <v>200</v>
      </c>
      <c r="ED80" s="76">
        <v>2013</v>
      </c>
      <c r="EE80" s="49">
        <f t="shared" si="105"/>
        <v>0</v>
      </c>
      <c r="EF80" s="77" t="str">
        <f t="shared" si="106"/>
        <v>- - -</v>
      </c>
      <c r="EG80" s="48" t="s">
        <v>183</v>
      </c>
      <c r="EH80" s="49" t="s">
        <v>200</v>
      </c>
      <c r="EI80" s="42">
        <v>6</v>
      </c>
      <c r="EJ80" s="49" t="s">
        <v>200</v>
      </c>
      <c r="EK80" s="76">
        <v>2013</v>
      </c>
      <c r="EL80" s="35"/>
      <c r="EM80" s="55" t="str">
        <f t="shared" si="107"/>
        <v>- - -</v>
      </c>
      <c r="EN80" s="78" t="str">
        <f t="shared" si="108"/>
        <v>---</v>
      </c>
      <c r="EO80" s="87"/>
      <c r="EP80" s="94"/>
      <c r="EQ80" s="94"/>
      <c r="ER80" s="94"/>
      <c r="ES80" s="94"/>
      <c r="ET80" s="94"/>
      <c r="EU80" s="94"/>
      <c r="EV80" s="94"/>
      <c r="EW80" s="94"/>
      <c r="EX80" s="94"/>
      <c r="EY80" s="94"/>
      <c r="EZ80" s="94"/>
      <c r="FA80" s="94"/>
      <c r="FB80" s="94"/>
      <c r="FC80" s="94"/>
      <c r="FD80" s="94"/>
      <c r="FE80" s="94"/>
      <c r="FF80" s="94"/>
      <c r="FG80" s="94"/>
      <c r="FH80" s="94"/>
      <c r="FI80" s="94"/>
      <c r="FJ80" s="94"/>
      <c r="FK80" s="94"/>
      <c r="FL80" s="94"/>
      <c r="FM80" s="94"/>
      <c r="FN80" s="94"/>
      <c r="FO80" s="94"/>
      <c r="FP80" s="94"/>
      <c r="FQ80" s="94"/>
      <c r="FR80" s="94"/>
    </row>
    <row r="81" spans="1:174" s="172" customFormat="1" ht="11.25" customHeight="1" x14ac:dyDescent="0.25">
      <c r="A81" s="98">
        <v>720</v>
      </c>
      <c r="B81" s="359">
        <v>18</v>
      </c>
      <c r="C81" s="35"/>
      <c r="D81" s="35" t="str">
        <f t="shared" si="71"/>
        <v>Ông</v>
      </c>
      <c r="E81" s="40" t="s">
        <v>47</v>
      </c>
      <c r="F81" s="35" t="s">
        <v>219</v>
      </c>
      <c r="G81" s="64" t="s">
        <v>223</v>
      </c>
      <c r="H81" s="1024" t="s">
        <v>200</v>
      </c>
      <c r="I81" s="64" t="s">
        <v>185</v>
      </c>
      <c r="J81" s="1024" t="s">
        <v>200</v>
      </c>
      <c r="K81" s="40" t="s">
        <v>162</v>
      </c>
      <c r="L81" s="210" t="s">
        <v>258</v>
      </c>
      <c r="M81" s="1047" t="str">
        <f t="shared" si="72"/>
        <v>NLĐ</v>
      </c>
      <c r="N81" s="223"/>
      <c r="O81" s="1025" t="e">
        <f t="shared" si="73"/>
        <v>#N/A</v>
      </c>
      <c r="P81" s="40"/>
      <c r="Q81" s="359" t="e">
        <f>VLOOKUP(P81,'[2]- DLiêu Gốc (Không sửa)'!$C$2:$H$116,2,0)</f>
        <v>#N/A</v>
      </c>
      <c r="R81" s="1036" t="s">
        <v>167</v>
      </c>
      <c r="S81" s="943" t="s">
        <v>326</v>
      </c>
      <c r="T81" s="38" t="e">
        <f>VLOOKUP(Y81,#REF!,5,0)</f>
        <v>#REF!</v>
      </c>
      <c r="U81" s="39" t="e">
        <f>VLOOKUP(Y81,#REF!,6,0)</f>
        <v>#REF!</v>
      </c>
      <c r="V81" s="1059" t="s">
        <v>249</v>
      </c>
      <c r="W81" s="358" t="str">
        <f t="shared" si="74"/>
        <v>Chuyên viên</v>
      </c>
      <c r="X81" s="361" t="e">
        <f t="shared" si="75"/>
        <v>#REF!</v>
      </c>
      <c r="Y81" s="380" t="s">
        <v>181</v>
      </c>
      <c r="Z81" s="380" t="e">
        <f>VLOOKUP(Y81,#REF!,2,0)</f>
        <v>#REF!</v>
      </c>
      <c r="AA81" s="52" t="e">
        <f t="shared" si="76"/>
        <v>#REF!</v>
      </c>
      <c r="AB81" s="180">
        <v>4</v>
      </c>
      <c r="AC81" s="700" t="s">
        <v>200</v>
      </c>
      <c r="AD81" s="43">
        <v>9</v>
      </c>
      <c r="AE81" s="44">
        <v>3.33</v>
      </c>
      <c r="AF81" s="435"/>
      <c r="AG81" s="100"/>
      <c r="AH81" s="673" t="s">
        <v>183</v>
      </c>
      <c r="AI81" s="1022" t="s">
        <v>200</v>
      </c>
      <c r="AJ81" s="100" t="s">
        <v>186</v>
      </c>
      <c r="AK81" s="694" t="s">
        <v>200</v>
      </c>
      <c r="AL81" s="50">
        <v>2016</v>
      </c>
      <c r="AM81" s="178"/>
      <c r="AN81" s="53"/>
      <c r="AO81" s="353">
        <f t="shared" si="110"/>
        <v>5</v>
      </c>
      <c r="AP81" s="275" t="str">
        <f t="shared" si="111"/>
        <v>/</v>
      </c>
      <c r="AQ81" s="84">
        <f t="shared" si="112"/>
        <v>9</v>
      </c>
      <c r="AR81" s="47" t="e">
        <f t="shared" si="113"/>
        <v>#REF!</v>
      </c>
      <c r="AS81" s="438"/>
      <c r="AT81" s="48" t="s">
        <v>183</v>
      </c>
      <c r="AU81" s="693" t="s">
        <v>200</v>
      </c>
      <c r="AV81" s="49" t="s">
        <v>186</v>
      </c>
      <c r="AW81" s="669" t="s">
        <v>200</v>
      </c>
      <c r="AX81" s="50">
        <v>2019</v>
      </c>
      <c r="AY81" s="87"/>
      <c r="AZ81" s="300"/>
      <c r="BA81" s="517"/>
      <c r="BB81" s="51" t="e">
        <f t="shared" si="77"/>
        <v>#REF!</v>
      </c>
      <c r="BC81" s="356">
        <f t="shared" si="78"/>
        <v>-24234</v>
      </c>
      <c r="BD81" s="310" t="e">
        <f>VLOOKUP(Y81,#REF!,3,0)</f>
        <v>#REF!</v>
      </c>
      <c r="BE81" s="310" t="e">
        <f>VLOOKUP(Y81,#REF!,4,0)</f>
        <v>#REF!</v>
      </c>
      <c r="BF81" s="57" t="str">
        <f t="shared" si="79"/>
        <v>o-o-o</v>
      </c>
      <c r="BG81" s="58"/>
      <c r="BH81" s="450"/>
      <c r="BI81" s="449"/>
      <c r="BJ81" s="677"/>
      <c r="BK81" s="441"/>
      <c r="BL81" s="677"/>
      <c r="BM81" s="99"/>
      <c r="BN81" s="178"/>
      <c r="BO81" s="62"/>
      <c r="BP81" s="59"/>
      <c r="BQ81" s="454"/>
      <c r="BR81" s="60"/>
      <c r="BS81" s="669"/>
      <c r="BT81" s="442"/>
      <c r="BU81" s="669"/>
      <c r="BV81" s="50"/>
      <c r="BW81" s="61"/>
      <c r="BX81" s="177"/>
      <c r="BY81" s="357" t="str">
        <f t="shared" si="80"/>
        <v>- - -</v>
      </c>
      <c r="BZ81" s="57" t="str">
        <f t="shared" si="81"/>
        <v>- - -</v>
      </c>
      <c r="CA81" s="379" t="str">
        <f t="shared" si="82"/>
        <v>Chánh Văn phòng Học viện, Trưởng Ban Tổ chức - Cán bộ, Trưởng Phân viện Học viện Hành chính Quốc gia tại Thành phố Hồ Chí Minh</v>
      </c>
      <c r="CB81" s="63" t="str">
        <f t="shared" si="83"/>
        <v>A</v>
      </c>
      <c r="CC81" s="41" t="e">
        <f t="shared" si="84"/>
        <v>#REF!</v>
      </c>
      <c r="CD81" s="52" t="e">
        <f t="shared" si="85"/>
        <v>#REF!</v>
      </c>
      <c r="CE81" s="35" t="str">
        <f t="shared" si="86"/>
        <v>---</v>
      </c>
      <c r="CF81" s="35"/>
      <c r="CG81" s="367"/>
      <c r="CH81" s="35"/>
      <c r="CI81" s="35"/>
      <c r="CJ81" s="35" t="e">
        <f t="shared" si="87"/>
        <v>#REF!</v>
      </c>
      <c r="CK81" s="55" t="str">
        <f t="shared" si="88"/>
        <v>- - -</v>
      </c>
      <c r="CL81" s="65"/>
      <c r="CM81" s="66"/>
      <c r="CN81" s="65"/>
      <c r="CO81" s="80"/>
      <c r="CP81" s="55" t="str">
        <f t="shared" si="89"/>
        <v>- - -</v>
      </c>
      <c r="CQ81" s="65"/>
      <c r="CR81" s="66"/>
      <c r="CS81" s="65"/>
      <c r="CT81" s="80"/>
      <c r="CU81" s="69" t="e">
        <f>IF(AND(CV81="Hưu",AB81&lt;(AD81-1),DC81&gt;0,DC81&lt;18,OR(BG81&lt;4,AND(BG81&gt;3,OR(BZ81&lt;3,BZ81&gt;5)))),"Lg Sớm",IF(AND(CV81="Hưu",AB81&gt;(AD81-2),OR(BE81=0.33,BE81=0.34),OR(BG81&lt;4,AND(BG81&gt;3,OR(BZ81&lt;3,BZ81&gt;5)))),"Nâng Ngạch",IF(AND(CV81="Hưu",BB81=1,DC81&gt;2,DC81&lt;6,OR(BG81&lt;4,AND(BG81&gt;3,OR(BZ81&lt;3,BZ81&gt;5)))),"Nâng PcVK cùng QĐ",IF(AND(CV81="Hưu",BG81&gt;3,BZ81&gt;2,BZ81&lt;6,AB81&lt;(AD81-1),DC81&gt;17,OR(BB81&gt;1,AND(BB81=1,OR(DC81&lt;3,DC81&gt;5)))),"Nâng PcNG cùng QĐ",IF(AND(CV81="Hưu",AB81&lt;(AD81-1),DC81&gt;0,DC81&lt;18,BG81&gt;3,BZ81&gt;2,BZ81&lt;6),"Nâng Lg Sớm +(PcNG cùng QĐ)",IF(AND(CV81="Hưu",AB81&gt;(AD81-2),OR(BE81=0.33,BE81=0.34),BG81&gt;3,BZ81&gt;2,BZ81&lt;6),"Nâng Ngạch +(PcNG cùng QĐ)",IF(AND(CV81="Hưu",BB81=1,DC81&gt;2,DC81&lt;6,BG81&gt;3,BZ81&gt;2,BZ81&lt;6),"Nâng (PcVK +PcNG) cùng QĐ",("---"))))))))</f>
        <v>#REF!</v>
      </c>
      <c r="CV81" s="70" t="str">
        <f t="shared" si="91"/>
        <v>/-/ /-/</v>
      </c>
      <c r="CW81" s="67">
        <f t="shared" si="92"/>
        <v>6</v>
      </c>
      <c r="CX81" s="68">
        <f t="shared" si="93"/>
        <v>2037</v>
      </c>
      <c r="CY81" s="67">
        <f t="shared" si="94"/>
        <v>3</v>
      </c>
      <c r="CZ81" s="68">
        <f t="shared" si="95"/>
        <v>2037</v>
      </c>
      <c r="DA81" s="67">
        <f t="shared" si="96"/>
        <v>12</v>
      </c>
      <c r="DB81" s="68">
        <f t="shared" si="97"/>
        <v>2036</v>
      </c>
      <c r="DC81" s="71" t="e">
        <f t="shared" si="98"/>
        <v>#REF!</v>
      </c>
      <c r="DD81" s="72" t="str">
        <f t="shared" si="99"/>
        <v>. .</v>
      </c>
      <c r="DE81" s="72"/>
      <c r="DF81" s="52">
        <f t="shared" si="100"/>
        <v>720</v>
      </c>
      <c r="DG81" s="52">
        <f t="shared" si="101"/>
        <v>-23717</v>
      </c>
      <c r="DH81" s="52">
        <f t="shared" si="102"/>
        <v>-1977</v>
      </c>
      <c r="DI81" s="52" t="str">
        <f t="shared" si="103"/>
        <v>Nam dưới 35</v>
      </c>
      <c r="DJ81" s="52"/>
      <c r="DK81" s="52"/>
      <c r="DL81" s="57" t="str">
        <f t="shared" si="104"/>
        <v>Đến 30</v>
      </c>
      <c r="DM81" s="65" t="str">
        <f t="shared" si="109"/>
        <v>--</v>
      </c>
      <c r="DN81" s="36"/>
      <c r="DO81" s="35"/>
      <c r="DP81" s="56"/>
      <c r="DQ81" s="80"/>
      <c r="DR81" s="80"/>
      <c r="DS81" s="81"/>
      <c r="DT81" s="82"/>
      <c r="DU81" s="75"/>
      <c r="DV81" s="87"/>
      <c r="DW81" s="88" t="s">
        <v>167</v>
      </c>
      <c r="DX81" s="378" t="s">
        <v>243</v>
      </c>
      <c r="DY81" s="88" t="s">
        <v>167</v>
      </c>
      <c r="DZ81" s="363" t="s">
        <v>183</v>
      </c>
      <c r="EA81" s="49" t="s">
        <v>200</v>
      </c>
      <c r="EB81" s="184" t="s">
        <v>186</v>
      </c>
      <c r="EC81" s="49" t="s">
        <v>200</v>
      </c>
      <c r="ED81" s="76">
        <v>2013</v>
      </c>
      <c r="EE81" s="49">
        <f t="shared" si="105"/>
        <v>0</v>
      </c>
      <c r="EF81" s="77" t="str">
        <f t="shared" si="106"/>
        <v>- - -</v>
      </c>
      <c r="EG81" s="363" t="s">
        <v>183</v>
      </c>
      <c r="EH81" s="49" t="s">
        <v>200</v>
      </c>
      <c r="EI81" s="184" t="s">
        <v>186</v>
      </c>
      <c r="EJ81" s="49" t="s">
        <v>200</v>
      </c>
      <c r="EK81" s="76">
        <v>2013</v>
      </c>
      <c r="EL81" s="35"/>
      <c r="EM81" s="55" t="e">
        <f t="shared" si="107"/>
        <v>#REF!</v>
      </c>
      <c r="EN81" s="78" t="str">
        <f t="shared" si="108"/>
        <v>---</v>
      </c>
      <c r="EO81" s="87"/>
      <c r="EP81" s="79"/>
      <c r="EQ81" s="79"/>
      <c r="ER81" s="79"/>
      <c r="ES81" s="79"/>
      <c r="ET81" s="79"/>
      <c r="EU81" s="79"/>
      <c r="EV81" s="79"/>
      <c r="EW81" s="79"/>
      <c r="EX81" s="79"/>
      <c r="EY81" s="79"/>
      <c r="EZ81" s="79"/>
      <c r="FA81" s="79"/>
      <c r="FB81" s="79"/>
      <c r="FC81" s="79"/>
      <c r="FD81" s="79"/>
      <c r="FE81" s="79"/>
      <c r="FF81" s="79"/>
      <c r="FG81" s="79"/>
      <c r="FH81" s="79"/>
      <c r="FI81" s="79"/>
      <c r="FJ81" s="79"/>
      <c r="FK81" s="79"/>
      <c r="FL81" s="79"/>
      <c r="FM81" s="79"/>
      <c r="FN81" s="253"/>
      <c r="FO81" s="253"/>
      <c r="FP81" s="253"/>
      <c r="FQ81" s="253"/>
      <c r="FR81" s="253"/>
    </row>
    <row r="82" spans="1:174" s="172" customFormat="1" ht="11.25" customHeight="1" x14ac:dyDescent="0.2">
      <c r="A82" s="98">
        <v>774</v>
      </c>
      <c r="B82" s="937">
        <v>19</v>
      </c>
      <c r="C82" s="35"/>
      <c r="D82" s="35" t="str">
        <f t="shared" si="71"/>
        <v>Bà</v>
      </c>
      <c r="E82" s="40" t="s">
        <v>49</v>
      </c>
      <c r="F82" s="35" t="s">
        <v>221</v>
      </c>
      <c r="G82" s="64" t="s">
        <v>135</v>
      </c>
      <c r="H82" s="1024" t="s">
        <v>200</v>
      </c>
      <c r="I82" s="64" t="s">
        <v>188</v>
      </c>
      <c r="J82" s="1024" t="s">
        <v>200</v>
      </c>
      <c r="K82" s="40" t="s">
        <v>179</v>
      </c>
      <c r="L82" s="210" t="s">
        <v>258</v>
      </c>
      <c r="M82" s="1047" t="str">
        <f t="shared" si="72"/>
        <v>NLĐ</v>
      </c>
      <c r="N82" s="223"/>
      <c r="O82" s="1025" t="e">
        <f t="shared" si="73"/>
        <v>#N/A</v>
      </c>
      <c r="P82" s="40"/>
      <c r="Q82" s="359" t="e">
        <f>VLOOKUP(P82,'[2]- DLiêu Gốc (Không sửa)'!$C$2:$H$116,2,0)</f>
        <v>#N/A</v>
      </c>
      <c r="R82" s="1032" t="s">
        <v>209</v>
      </c>
      <c r="S82" s="943" t="s">
        <v>326</v>
      </c>
      <c r="T82" s="38" t="e">
        <f>VLOOKUP(Y82,#REF!,5,0)</f>
        <v>#REF!</v>
      </c>
      <c r="U82" s="39" t="e">
        <f>VLOOKUP(Y82,#REF!,6,0)</f>
        <v>#REF!</v>
      </c>
      <c r="V82" s="1059" t="s">
        <v>248</v>
      </c>
      <c r="W82" s="358" t="str">
        <f t="shared" si="74"/>
        <v>Kỹ thuật viên (hạng IV)</v>
      </c>
      <c r="X82" s="361" t="e">
        <f t="shared" si="75"/>
        <v>#REF!</v>
      </c>
      <c r="Y82" s="380" t="s">
        <v>262</v>
      </c>
      <c r="Z82" s="380" t="e">
        <f>VLOOKUP(Y82,#REF!,2,0)</f>
        <v>#REF!</v>
      </c>
      <c r="AA82" s="52" t="e">
        <f t="shared" si="76"/>
        <v>#REF!</v>
      </c>
      <c r="AB82" s="180">
        <v>6</v>
      </c>
      <c r="AC82" s="700" t="s">
        <v>200</v>
      </c>
      <c r="AD82" s="43">
        <v>12</v>
      </c>
      <c r="AE82" s="44">
        <v>2.8600000000000003</v>
      </c>
      <c r="AF82" s="435"/>
      <c r="AG82" s="100"/>
      <c r="AH82" s="673" t="s">
        <v>183</v>
      </c>
      <c r="AI82" s="1022" t="s">
        <v>200</v>
      </c>
      <c r="AJ82" s="100" t="s">
        <v>186</v>
      </c>
      <c r="AK82" s="694" t="s">
        <v>200</v>
      </c>
      <c r="AL82" s="695">
        <v>2017</v>
      </c>
      <c r="AM82" s="178"/>
      <c r="AN82" s="53"/>
      <c r="AO82" s="353">
        <f t="shared" si="110"/>
        <v>7</v>
      </c>
      <c r="AP82" s="275" t="str">
        <f t="shared" si="111"/>
        <v>/</v>
      </c>
      <c r="AQ82" s="84">
        <f t="shared" si="112"/>
        <v>12</v>
      </c>
      <c r="AR82" s="47" t="e">
        <f t="shared" si="113"/>
        <v>#REF!</v>
      </c>
      <c r="AS82" s="438"/>
      <c r="AT82" s="48" t="s">
        <v>183</v>
      </c>
      <c r="AU82" s="693" t="s">
        <v>200</v>
      </c>
      <c r="AV82" s="49" t="s">
        <v>186</v>
      </c>
      <c r="AW82" s="669" t="s">
        <v>200</v>
      </c>
      <c r="AX82" s="50">
        <v>2019</v>
      </c>
      <c r="AY82" s="87"/>
      <c r="AZ82" s="300"/>
      <c r="BA82" s="517"/>
      <c r="BB82" s="51" t="e">
        <f t="shared" si="77"/>
        <v>#REF!</v>
      </c>
      <c r="BC82" s="356">
        <f t="shared" si="78"/>
        <v>-24234</v>
      </c>
      <c r="BD82" s="310" t="e">
        <f>VLOOKUP(Y82,#REF!,3,0)</f>
        <v>#REF!</v>
      </c>
      <c r="BE82" s="310" t="e">
        <f>VLOOKUP(Y82,#REF!,4,0)</f>
        <v>#REF!</v>
      </c>
      <c r="BF82" s="57" t="str">
        <f t="shared" si="79"/>
        <v>o-o-o</v>
      </c>
      <c r="BG82" s="58"/>
      <c r="BH82" s="450"/>
      <c r="BI82" s="449"/>
      <c r="BJ82" s="677"/>
      <c r="BK82" s="441"/>
      <c r="BL82" s="677"/>
      <c r="BM82" s="99"/>
      <c r="BN82" s="178"/>
      <c r="BO82" s="62"/>
      <c r="BP82" s="59"/>
      <c r="BQ82" s="454"/>
      <c r="BR82" s="60"/>
      <c r="BS82" s="669"/>
      <c r="BT82" s="442"/>
      <c r="BU82" s="669"/>
      <c r="BV82" s="50"/>
      <c r="BW82" s="61"/>
      <c r="BX82" s="177"/>
      <c r="BY82" s="357" t="str">
        <f t="shared" si="80"/>
        <v>- - -</v>
      </c>
      <c r="BZ82" s="57" t="str">
        <f t="shared" si="81"/>
        <v>- - -</v>
      </c>
      <c r="CA82" s="379" t="str">
        <f t="shared" si="82"/>
        <v>Chánh Văn phòng Học viện, Trưởng Ban Tổ chức - Cán bộ, Trưởng Phân viện Học viện Hành chính Quốc gia tại Thành phố Hồ Chí Minh</v>
      </c>
      <c r="CB82" s="63" t="str">
        <f t="shared" si="83"/>
        <v>A</v>
      </c>
      <c r="CC82" s="41" t="e">
        <f t="shared" si="84"/>
        <v>#REF!</v>
      </c>
      <c r="CD82" s="52" t="e">
        <f t="shared" si="85"/>
        <v>#REF!</v>
      </c>
      <c r="CE82" s="35" t="str">
        <f t="shared" si="86"/>
        <v>---</v>
      </c>
      <c r="CF82" s="35"/>
      <c r="CG82" s="370"/>
      <c r="CH82" s="35"/>
      <c r="CI82" s="35"/>
      <c r="CJ82" s="35" t="e">
        <f t="shared" si="87"/>
        <v>#REF!</v>
      </c>
      <c r="CK82" s="55" t="str">
        <f t="shared" si="88"/>
        <v>- - -</v>
      </c>
      <c r="CL82" s="65"/>
      <c r="CM82" s="66"/>
      <c r="CN82" s="65"/>
      <c r="CO82" s="80"/>
      <c r="CP82" s="55" t="str">
        <f t="shared" si="89"/>
        <v>- - -</v>
      </c>
      <c r="CQ82" s="65"/>
      <c r="CR82" s="66"/>
      <c r="CS82" s="65"/>
      <c r="CT82" s="80"/>
      <c r="CU82" s="69" t="e">
        <f>IF(AND(CV82="Hưu",AB82&lt;(AD82-1),DC82&gt;0,DC82&lt;18,OR(BG82&lt;4,AND(BG82&gt;3,OR(BZ82&lt;3,BZ82&gt;5)))),"Lg Sớm",IF(AND(CV82="Hưu",AB82&gt;(AD82-2),OR(BE82=0.33,BE82=0.34),OR(BG82&lt;4,AND(BG82&gt;3,OR(BZ82&lt;3,BZ82&gt;5)))),"Nâng Ngạch",IF(AND(CV82="Hưu",BB82=1,DC82&gt;2,DC82&lt;6,OR(BG82&lt;4,AND(BG82&gt;3,OR(BZ82&lt;3,BZ82&gt;5)))),"Nâng PcVK cùng QĐ",IF(AND(CV82="Hưu",BG82&gt;3,BZ82&gt;2,BZ82&lt;6,AB82&lt;(AD82-1),DC82&gt;17,OR(BB82&gt;1,AND(BB82=1,OR(DC82&lt;3,DC82&gt;5)))),"Nâng PcNG cùng QĐ",IF(AND(CV82="Hưu",AB82&lt;(AD82-1),DC82&gt;0,DC82&lt;18,BG82&gt;3,BZ82&gt;2,BZ82&lt;6),"Nâng Lg Sớm +(PcNG cùng QĐ)",IF(AND(CV82="Hưu",AB82&gt;(AD82-2),OR(BE82=0.33,BE82=0.34),BG82&gt;3,BZ82&gt;2,BZ82&lt;6),"Nâng Ngạch +(PcNG cùng QĐ)",IF(AND(CV82="Hưu",BB82=1,DC82&gt;2,DC82&lt;6,BG82&gt;3,BZ82&gt;2,BZ82&lt;6),"Nâng (PcVK +PcNG) cùng QĐ",("---"))))))))</f>
        <v>#REF!</v>
      </c>
      <c r="CV82" s="70" t="str">
        <f t="shared" si="91"/>
        <v>/-/ /-/</v>
      </c>
      <c r="CW82" s="67">
        <f t="shared" si="92"/>
        <v>4</v>
      </c>
      <c r="CX82" s="68">
        <f t="shared" si="93"/>
        <v>2038</v>
      </c>
      <c r="CY82" s="67">
        <f t="shared" si="94"/>
        <v>1</v>
      </c>
      <c r="CZ82" s="68">
        <f t="shared" si="95"/>
        <v>2038</v>
      </c>
      <c r="DA82" s="67">
        <f t="shared" si="96"/>
        <v>10</v>
      </c>
      <c r="DB82" s="68">
        <f t="shared" si="97"/>
        <v>2037</v>
      </c>
      <c r="DC82" s="71" t="e">
        <f t="shared" si="98"/>
        <v>#REF!</v>
      </c>
      <c r="DD82" s="72" t="str">
        <f t="shared" si="99"/>
        <v>. .</v>
      </c>
      <c r="DE82" s="72"/>
      <c r="DF82" s="52">
        <f t="shared" si="100"/>
        <v>660</v>
      </c>
      <c r="DG82" s="52">
        <f t="shared" si="101"/>
        <v>-23787</v>
      </c>
      <c r="DH82" s="52">
        <f t="shared" si="102"/>
        <v>-1983</v>
      </c>
      <c r="DI82" s="52" t="str">
        <f t="shared" si="103"/>
        <v>Nữ dưới 30</v>
      </c>
      <c r="DJ82" s="52"/>
      <c r="DK82" s="52"/>
      <c r="DL82" s="57" t="str">
        <f t="shared" si="104"/>
        <v>Đến 30</v>
      </c>
      <c r="DM82" s="65" t="str">
        <f t="shared" si="109"/>
        <v>--</v>
      </c>
      <c r="DN82" s="36"/>
      <c r="DO82" s="86"/>
      <c r="DP82" s="56"/>
      <c r="DQ82" s="80"/>
      <c r="DR82" s="80"/>
      <c r="DS82" s="81"/>
      <c r="DT82" s="82"/>
      <c r="DU82" s="75"/>
      <c r="DV82" s="87"/>
      <c r="DW82" s="37" t="s">
        <v>209</v>
      </c>
      <c r="DX82" s="378" t="s">
        <v>243</v>
      </c>
      <c r="DY82" s="37" t="s">
        <v>207</v>
      </c>
      <c r="DZ82" s="48" t="s">
        <v>183</v>
      </c>
      <c r="EA82" s="49" t="s">
        <v>200</v>
      </c>
      <c r="EB82" s="184" t="s">
        <v>186</v>
      </c>
      <c r="EC82" s="49" t="s">
        <v>200</v>
      </c>
      <c r="ED82" s="76">
        <v>2013</v>
      </c>
      <c r="EE82" s="49">
        <f t="shared" si="105"/>
        <v>0</v>
      </c>
      <c r="EF82" s="77" t="str">
        <f t="shared" si="106"/>
        <v>- - -</v>
      </c>
      <c r="EG82" s="48" t="s">
        <v>183</v>
      </c>
      <c r="EH82" s="49" t="s">
        <v>200</v>
      </c>
      <c r="EI82" s="184" t="s">
        <v>186</v>
      </c>
      <c r="EJ82" s="49" t="s">
        <v>200</v>
      </c>
      <c r="EK82" s="76">
        <v>2013</v>
      </c>
      <c r="EL82" s="35"/>
      <c r="EM82" s="55" t="e">
        <f t="shared" si="107"/>
        <v>#REF!</v>
      </c>
      <c r="EN82" s="78" t="str">
        <f t="shared" si="108"/>
        <v>---</v>
      </c>
      <c r="EO82" s="87"/>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row>
    <row r="83" spans="1:174" s="79" customFormat="1" ht="11.25" customHeight="1" x14ac:dyDescent="0.2">
      <c r="A83" s="98">
        <v>775</v>
      </c>
      <c r="B83" s="359">
        <v>20</v>
      </c>
      <c r="C83" s="35"/>
      <c r="D83" s="35" t="str">
        <f t="shared" si="71"/>
        <v>Bà</v>
      </c>
      <c r="E83" s="40" t="s">
        <v>50</v>
      </c>
      <c r="F83" s="35" t="s">
        <v>221</v>
      </c>
      <c r="G83" s="64" t="s">
        <v>130</v>
      </c>
      <c r="H83" s="1024" t="s">
        <v>200</v>
      </c>
      <c r="I83" s="64" t="s">
        <v>186</v>
      </c>
      <c r="J83" s="1024" t="s">
        <v>200</v>
      </c>
      <c r="K83" s="40" t="s">
        <v>4</v>
      </c>
      <c r="L83" s="210" t="s">
        <v>258</v>
      </c>
      <c r="M83" s="1047" t="str">
        <f t="shared" si="72"/>
        <v>NLĐ</v>
      </c>
      <c r="N83" s="223"/>
      <c r="O83" s="1025" t="e">
        <f t="shared" si="73"/>
        <v>#N/A</v>
      </c>
      <c r="P83" s="40"/>
      <c r="Q83" s="359" t="e">
        <f>VLOOKUP(P83,'[2]- DLiêu Gốc (Không sửa)'!$C$2:$H$116,2,0)</f>
        <v>#N/A</v>
      </c>
      <c r="R83" s="1032" t="s">
        <v>209</v>
      </c>
      <c r="S83" s="943" t="s">
        <v>326</v>
      </c>
      <c r="T83" s="38" t="e">
        <f>VLOOKUP(Y83,#REF!,5,0)</f>
        <v>#REF!</v>
      </c>
      <c r="U83" s="39" t="e">
        <f>VLOOKUP(Y83,#REF!,6,0)</f>
        <v>#REF!</v>
      </c>
      <c r="V83" s="1059" t="s">
        <v>248</v>
      </c>
      <c r="W83" s="358" t="str">
        <f t="shared" si="74"/>
        <v>Kỹ thuật viên (hạng IV)</v>
      </c>
      <c r="X83" s="361" t="e">
        <f t="shared" si="75"/>
        <v>#REF!</v>
      </c>
      <c r="Y83" s="380" t="s">
        <v>262</v>
      </c>
      <c r="Z83" s="380" t="e">
        <f>VLOOKUP(Y83,#REF!,2,0)</f>
        <v>#REF!</v>
      </c>
      <c r="AA83" s="52" t="e">
        <f t="shared" si="76"/>
        <v>#REF!</v>
      </c>
      <c r="AB83" s="180">
        <v>5</v>
      </c>
      <c r="AC83" s="700" t="s">
        <v>200</v>
      </c>
      <c r="AD83" s="43">
        <v>12</v>
      </c>
      <c r="AE83" s="44">
        <v>2.66</v>
      </c>
      <c r="AF83" s="435"/>
      <c r="AG83" s="100"/>
      <c r="AH83" s="673" t="s">
        <v>183</v>
      </c>
      <c r="AI83" s="694" t="s">
        <v>200</v>
      </c>
      <c r="AJ83" s="100" t="s">
        <v>186</v>
      </c>
      <c r="AK83" s="694" t="s">
        <v>200</v>
      </c>
      <c r="AL83" s="695">
        <v>2017</v>
      </c>
      <c r="AM83" s="178"/>
      <c r="AN83" s="53"/>
      <c r="AO83" s="353">
        <f t="shared" si="110"/>
        <v>6</v>
      </c>
      <c r="AP83" s="275" t="str">
        <f t="shared" si="111"/>
        <v>/</v>
      </c>
      <c r="AQ83" s="84">
        <f t="shared" si="112"/>
        <v>12</v>
      </c>
      <c r="AR83" s="47" t="e">
        <f t="shared" si="113"/>
        <v>#REF!</v>
      </c>
      <c r="AS83" s="438"/>
      <c r="AT83" s="48" t="s">
        <v>183</v>
      </c>
      <c r="AU83" s="669" t="s">
        <v>200</v>
      </c>
      <c r="AV83" s="49" t="s">
        <v>186</v>
      </c>
      <c r="AW83" s="669" t="s">
        <v>200</v>
      </c>
      <c r="AX83" s="50">
        <v>2019</v>
      </c>
      <c r="AY83" s="87"/>
      <c r="AZ83" s="509"/>
      <c r="BA83" s="517"/>
      <c r="BB83" s="51" t="e">
        <f t="shared" si="77"/>
        <v>#REF!</v>
      </c>
      <c r="BC83" s="356">
        <f t="shared" si="78"/>
        <v>-24234</v>
      </c>
      <c r="BD83" s="310" t="e">
        <f>VLOOKUP(Y83,#REF!,3,0)</f>
        <v>#REF!</v>
      </c>
      <c r="BE83" s="310" t="e">
        <f>VLOOKUP(Y83,#REF!,4,0)</f>
        <v>#REF!</v>
      </c>
      <c r="BF83" s="57" t="str">
        <f t="shared" si="79"/>
        <v>o-o-o</v>
      </c>
      <c r="BG83" s="58"/>
      <c r="BH83" s="450"/>
      <c r="BI83" s="449"/>
      <c r="BJ83" s="677"/>
      <c r="BK83" s="441"/>
      <c r="BL83" s="677"/>
      <c r="BM83" s="99"/>
      <c r="BN83" s="178"/>
      <c r="BO83" s="62"/>
      <c r="BP83" s="59"/>
      <c r="BQ83" s="454"/>
      <c r="BR83" s="60"/>
      <c r="BS83" s="669"/>
      <c r="BT83" s="442"/>
      <c r="BU83" s="669"/>
      <c r="BV83" s="50"/>
      <c r="BW83" s="61"/>
      <c r="BX83" s="177"/>
      <c r="BY83" s="357" t="str">
        <f t="shared" si="80"/>
        <v>- - -</v>
      </c>
      <c r="BZ83" s="57" t="str">
        <f t="shared" si="81"/>
        <v>- - -</v>
      </c>
      <c r="CA83" s="379" t="str">
        <f t="shared" si="82"/>
        <v>Chánh Văn phòng Học viện, Trưởng Ban Tổ chức - Cán bộ, Trưởng Phân viện Học viện Hành chính Quốc gia tại Thành phố Hồ Chí Minh</v>
      </c>
      <c r="CB83" s="63" t="str">
        <f t="shared" si="83"/>
        <v>A</v>
      </c>
      <c r="CC83" s="41" t="e">
        <f t="shared" si="84"/>
        <v>#REF!</v>
      </c>
      <c r="CD83" s="52" t="e">
        <f t="shared" si="85"/>
        <v>#REF!</v>
      </c>
      <c r="CE83" s="35" t="str">
        <f t="shared" si="86"/>
        <v>---</v>
      </c>
      <c r="CF83" s="35"/>
      <c r="CG83" s="367"/>
      <c r="CH83" s="35"/>
      <c r="CI83" s="35"/>
      <c r="CJ83" s="35" t="e">
        <f t="shared" si="87"/>
        <v>#REF!</v>
      </c>
      <c r="CK83" s="55" t="str">
        <f t="shared" si="88"/>
        <v>- - -</v>
      </c>
      <c r="CL83" s="65"/>
      <c r="CM83" s="66"/>
      <c r="CN83" s="65"/>
      <c r="CO83" s="80"/>
      <c r="CP83" s="55" t="str">
        <f t="shared" si="89"/>
        <v>- - -</v>
      </c>
      <c r="CQ83" s="65"/>
      <c r="CR83" s="66"/>
      <c r="CS83" s="65"/>
      <c r="CT83" s="80"/>
      <c r="CU83" s="69" t="e">
        <f>IF(AND(CV83="Hưu",AB83&lt;(AD83-1),DC83&gt;0,DC83&lt;18,OR(BG83&lt;4,AND(BG83&gt;3,OR(BZ83&lt;3,BZ83&gt;5)))),"Lg Sớm",IF(AND(CV83="Hưu",AB83&gt;(AD83-2),OR(BE83=0.33,BE83=0.34),OR(BG83&lt;4,AND(BG83&gt;3,OR(BZ83&lt;3,BZ83&gt;5)))),"Nâng Ngạch",IF(AND(CV83="Hưu",BB83=1,DC83&gt;2,DC83&lt;6,OR(BG83&lt;4,AND(BG83&gt;3,OR(BZ83&lt;3,BZ83&gt;5)))),"Nâng PcVK cùng QĐ",IF(AND(CV83="Hưu",BG83&gt;3,BZ83&gt;2,BZ83&lt;6,AB83&lt;(AD83-1),DC83&gt;17,OR(BB83&gt;1,AND(BB83=1,OR(DC83&lt;3,DC83&gt;5)))),"Nâng PcNG cùng QĐ",IF(AND(CV83="Hưu",AB83&lt;(AD83-1),DC83&gt;0,DC83&lt;18,BG83&gt;3,BZ83&gt;2,BZ83&lt;6),"Nâng Lg Sớm +(PcNG cùng QĐ)",IF(AND(CV83="Hưu",AB83&gt;(AD83-2),OR(BE83=0.33,BE83=0.34),BG83&gt;3,BZ83&gt;2,BZ83&lt;6),"Nâng Ngạch +(PcNG cùng QĐ)",IF(AND(CV83="Hưu",BB83=1,DC83&gt;2,DC83&lt;6,BG83&gt;3,BZ83&gt;2,BZ83&lt;6),"Nâng (PcVK +PcNG) cùng QĐ",("---"))))))))</f>
        <v>#REF!</v>
      </c>
      <c r="CV83" s="70" t="str">
        <f t="shared" si="91"/>
        <v>/-/ /-/</v>
      </c>
      <c r="CW83" s="67">
        <f t="shared" si="92"/>
        <v>7</v>
      </c>
      <c r="CX83" s="68">
        <f t="shared" si="93"/>
        <v>2041</v>
      </c>
      <c r="CY83" s="67">
        <f t="shared" si="94"/>
        <v>4</v>
      </c>
      <c r="CZ83" s="68">
        <f t="shared" si="95"/>
        <v>2041</v>
      </c>
      <c r="DA83" s="67">
        <f t="shared" si="96"/>
        <v>1</v>
      </c>
      <c r="DB83" s="68">
        <f t="shared" si="97"/>
        <v>2041</v>
      </c>
      <c r="DC83" s="71" t="e">
        <f t="shared" si="98"/>
        <v>#REF!</v>
      </c>
      <c r="DD83" s="72" t="str">
        <f t="shared" si="99"/>
        <v>. .</v>
      </c>
      <c r="DE83" s="72"/>
      <c r="DF83" s="52">
        <f t="shared" si="100"/>
        <v>660</v>
      </c>
      <c r="DG83" s="52">
        <f t="shared" si="101"/>
        <v>-23826</v>
      </c>
      <c r="DH83" s="52">
        <f t="shared" si="102"/>
        <v>-1986</v>
      </c>
      <c r="DI83" s="52" t="str">
        <f t="shared" si="103"/>
        <v>Nữ dưới 30</v>
      </c>
      <c r="DJ83" s="52"/>
      <c r="DK83" s="52"/>
      <c r="DL83" s="57" t="str">
        <f t="shared" si="104"/>
        <v>Đến 30</v>
      </c>
      <c r="DM83" s="65" t="str">
        <f t="shared" si="109"/>
        <v>--</v>
      </c>
      <c r="DN83" s="36"/>
      <c r="DO83" s="35"/>
      <c r="DP83" s="56"/>
      <c r="DQ83" s="80"/>
      <c r="DR83" s="80"/>
      <c r="DS83" s="81"/>
      <c r="DT83" s="82"/>
      <c r="DU83" s="75"/>
      <c r="DV83" s="87"/>
      <c r="DW83" s="37" t="s">
        <v>209</v>
      </c>
      <c r="DX83" s="378" t="s">
        <v>243</v>
      </c>
      <c r="DY83" s="37" t="s">
        <v>207</v>
      </c>
      <c r="DZ83" s="48" t="s">
        <v>183</v>
      </c>
      <c r="EA83" s="49" t="s">
        <v>200</v>
      </c>
      <c r="EB83" s="49" t="s">
        <v>186</v>
      </c>
      <c r="EC83" s="49" t="s">
        <v>200</v>
      </c>
      <c r="ED83" s="76">
        <v>2013</v>
      </c>
      <c r="EE83" s="49">
        <f t="shared" si="105"/>
        <v>0</v>
      </c>
      <c r="EF83" s="77" t="str">
        <f t="shared" si="106"/>
        <v>- - -</v>
      </c>
      <c r="EG83" s="48" t="s">
        <v>183</v>
      </c>
      <c r="EH83" s="49" t="s">
        <v>200</v>
      </c>
      <c r="EI83" s="49" t="s">
        <v>186</v>
      </c>
      <c r="EJ83" s="49" t="s">
        <v>200</v>
      </c>
      <c r="EK83" s="76">
        <v>2013</v>
      </c>
      <c r="EL83" s="35"/>
      <c r="EM83" s="55" t="e">
        <f t="shared" si="107"/>
        <v>#REF!</v>
      </c>
      <c r="EN83" s="78" t="str">
        <f t="shared" si="108"/>
        <v>---</v>
      </c>
      <c r="EO83" s="87"/>
    </row>
    <row r="84" spans="1:174" s="79" customFormat="1" ht="11.25" customHeight="1" x14ac:dyDescent="0.25">
      <c r="A84" s="98">
        <v>800</v>
      </c>
      <c r="B84" s="937">
        <v>21</v>
      </c>
      <c r="C84" s="35"/>
      <c r="D84" s="35" t="str">
        <f t="shared" si="71"/>
        <v>Ông</v>
      </c>
      <c r="E84" s="40" t="s">
        <v>48</v>
      </c>
      <c r="F84" s="35" t="s">
        <v>219</v>
      </c>
      <c r="G84" s="64" t="s">
        <v>184</v>
      </c>
      <c r="H84" s="1024" t="s">
        <v>200</v>
      </c>
      <c r="I84" s="64" t="s">
        <v>187</v>
      </c>
      <c r="J84" s="1024" t="s">
        <v>200</v>
      </c>
      <c r="K84" s="40" t="s">
        <v>43</v>
      </c>
      <c r="L84" s="210" t="s">
        <v>258</v>
      </c>
      <c r="M84" s="1047" t="str">
        <f t="shared" si="72"/>
        <v>NLĐ</v>
      </c>
      <c r="N84" s="223"/>
      <c r="O84" s="1025" t="e">
        <f t="shared" si="73"/>
        <v>#N/A</v>
      </c>
      <c r="P84" s="40"/>
      <c r="Q84" s="359" t="e">
        <f>VLOOKUP(P84,'[2]- DLiêu Gốc (Không sửa)'!$C$2:$H$116,2,0)</f>
        <v>#N/A</v>
      </c>
      <c r="R84" s="1032" t="s">
        <v>209</v>
      </c>
      <c r="S84" s="943" t="s">
        <v>326</v>
      </c>
      <c r="T84" s="38" t="e">
        <f>VLOOKUP(Y84,#REF!,5,0)</f>
        <v>#REF!</v>
      </c>
      <c r="U84" s="39" t="e">
        <f>VLOOKUP(Y84,#REF!,6,0)</f>
        <v>#REF!</v>
      </c>
      <c r="V84" s="1059" t="s">
        <v>249</v>
      </c>
      <c r="W84" s="358" t="str">
        <f t="shared" si="74"/>
        <v>Nhân viên</v>
      </c>
      <c r="X84" s="361" t="str">
        <f t="shared" si="75"/>
        <v>01.005</v>
      </c>
      <c r="Y84" s="380" t="s">
        <v>196</v>
      </c>
      <c r="Z84" s="380" t="e">
        <f>VLOOKUP(Y84,#REF!,2,0)</f>
        <v>#REF!</v>
      </c>
      <c r="AA84" s="52" t="e">
        <f t="shared" si="76"/>
        <v>#REF!</v>
      </c>
      <c r="AB84" s="180">
        <v>7</v>
      </c>
      <c r="AC84" s="700" t="s">
        <v>200</v>
      </c>
      <c r="AD84" s="43">
        <v>12</v>
      </c>
      <c r="AE84" s="44">
        <v>2.08</v>
      </c>
      <c r="AF84" s="435"/>
      <c r="AG84" s="100"/>
      <c r="AH84" s="673" t="s">
        <v>183</v>
      </c>
      <c r="AI84" s="1022" t="s">
        <v>200</v>
      </c>
      <c r="AJ84" s="100" t="s">
        <v>186</v>
      </c>
      <c r="AK84" s="694" t="s">
        <v>200</v>
      </c>
      <c r="AL84" s="695">
        <v>2017</v>
      </c>
      <c r="AM84" s="178"/>
      <c r="AN84" s="53"/>
      <c r="AO84" s="353">
        <f t="shared" si="110"/>
        <v>8</v>
      </c>
      <c r="AP84" s="275" t="str">
        <f t="shared" si="111"/>
        <v>/</v>
      </c>
      <c r="AQ84" s="84">
        <f t="shared" si="112"/>
        <v>12</v>
      </c>
      <c r="AR84" s="47" t="e">
        <f t="shared" si="113"/>
        <v>#REF!</v>
      </c>
      <c r="AS84" s="438"/>
      <c r="AT84" s="48" t="s">
        <v>183</v>
      </c>
      <c r="AU84" s="693" t="s">
        <v>200</v>
      </c>
      <c r="AV84" s="49" t="s">
        <v>186</v>
      </c>
      <c r="AW84" s="669" t="s">
        <v>200</v>
      </c>
      <c r="AX84" s="50">
        <v>2019</v>
      </c>
      <c r="AY84" s="87"/>
      <c r="AZ84" s="509"/>
      <c r="BA84" s="517"/>
      <c r="BB84" s="51" t="e">
        <f t="shared" si="77"/>
        <v>#REF!</v>
      </c>
      <c r="BC84" s="356">
        <f t="shared" si="78"/>
        <v>-24234</v>
      </c>
      <c r="BD84" s="310" t="e">
        <f>VLOOKUP(Y84,#REF!,3,0)</f>
        <v>#REF!</v>
      </c>
      <c r="BE84" s="310" t="e">
        <f>VLOOKUP(Y84,#REF!,4,0)</f>
        <v>#REF!</v>
      </c>
      <c r="BF84" s="57" t="str">
        <f t="shared" si="79"/>
        <v>o-o-o</v>
      </c>
      <c r="BG84" s="58"/>
      <c r="BH84" s="450"/>
      <c r="BI84" s="449"/>
      <c r="BJ84" s="677"/>
      <c r="BK84" s="441"/>
      <c r="BL84" s="677"/>
      <c r="BM84" s="99"/>
      <c r="BN84" s="178"/>
      <c r="BO84" s="62"/>
      <c r="BP84" s="59"/>
      <c r="BQ84" s="454"/>
      <c r="BR84" s="60"/>
      <c r="BS84" s="669"/>
      <c r="BT84" s="442"/>
      <c r="BU84" s="669"/>
      <c r="BV84" s="50"/>
      <c r="BW84" s="61"/>
      <c r="BX84" s="177"/>
      <c r="BY84" s="357" t="str">
        <f t="shared" si="80"/>
        <v>- - -</v>
      </c>
      <c r="BZ84" s="57" t="str">
        <f t="shared" si="81"/>
        <v>- - -</v>
      </c>
      <c r="CA84" s="379" t="str">
        <f t="shared" si="82"/>
        <v>Chánh Văn phòng Học viện, Trưởng Ban Tổ chức - Cán bộ, Trưởng Phân viện Học viện Hành chính Quốc gia tại Thành phố Hồ Chí Minh</v>
      </c>
      <c r="CB84" s="63" t="str">
        <f t="shared" si="83"/>
        <v>A</v>
      </c>
      <c r="CC84" s="41" t="e">
        <f t="shared" si="84"/>
        <v>#REF!</v>
      </c>
      <c r="CD84" s="52" t="e">
        <f t="shared" si="85"/>
        <v>#REF!</v>
      </c>
      <c r="CE84" s="35" t="str">
        <f t="shared" si="86"/>
        <v>---</v>
      </c>
      <c r="CF84" s="35"/>
      <c r="CG84" s="367"/>
      <c r="CH84" s="35"/>
      <c r="CI84" s="35"/>
      <c r="CJ84" s="35" t="str">
        <f t="shared" si="87"/>
        <v>- - -</v>
      </c>
      <c r="CK84" s="55" t="str">
        <f t="shared" si="88"/>
        <v>- - -</v>
      </c>
      <c r="CL84" s="65"/>
      <c r="CM84" s="66"/>
      <c r="CN84" s="65"/>
      <c r="CO84" s="80"/>
      <c r="CP84" s="55" t="str">
        <f t="shared" si="89"/>
        <v>- - -</v>
      </c>
      <c r="CQ84" s="65"/>
      <c r="CR84" s="66"/>
      <c r="CS84" s="65"/>
      <c r="CT84" s="80"/>
      <c r="CU84" s="69" t="e">
        <f>IF(AND(CV84="Hưu",AB84&lt;(AD84-1),DC84&gt;0,DC84&lt;18,OR(BG84&lt;4,AND(BG84&gt;3,OR(BZ84&lt;3,BZ84&gt;5)))),"Lg Sớm",IF(AND(CV84="Hưu",AB84&gt;(AD84-2),OR(BE84=0.33,BE84=0.34),OR(BG84&lt;4,AND(BG84&gt;3,OR(BZ84&lt;3,BZ84&gt;5)))),"Nâng Ngạch",IF(AND(CV84="Hưu",BB84=1,DC84&gt;2,DC84&lt;6,OR(BG84&lt;4,AND(BG84&gt;3,OR(BZ84&lt;3,BZ84&gt;5)))),"Nâng PcVK cùng QĐ",IF(AND(CV84="Hưu",BG84&gt;3,BZ84&gt;2,BZ84&lt;6,AB84&lt;(AD84-1),DC84&gt;17,OR(BB84&gt;1,AND(BB84=1,OR(DC84&lt;3,DC84&gt;5)))),"Nâng PcNG cùng QĐ",IF(AND(CV84="Hưu",AB84&lt;(AD84-1),DC84&gt;0,DC84&lt;18,BG84&gt;3,BZ84&gt;2,BZ84&lt;6),"Nâng Lg Sớm +(PcNG cùng QĐ)",IF(AND(CV84="Hưu",AB84&gt;(AD84-2),OR(BE84=0.33,BE84=0.34),BG84&gt;3,BZ84&gt;2,BZ84&lt;6),"Nâng Ngạch +(PcNG cùng QĐ)",IF(AND(CV84="Hưu",BB84=1,DC84&gt;2,DC84&lt;6,BG84&gt;3,BZ84&gt;2,BZ84&lt;6),"Nâng (PcVK +PcNG) cùng QĐ",("---"))))))))</f>
        <v>#REF!</v>
      </c>
      <c r="CV84" s="70" t="str">
        <f t="shared" si="91"/>
        <v>/-/ /-/</v>
      </c>
      <c r="CW84" s="67">
        <f t="shared" si="92"/>
        <v>9</v>
      </c>
      <c r="CX84" s="68">
        <f t="shared" si="93"/>
        <v>2045</v>
      </c>
      <c r="CY84" s="67">
        <f t="shared" si="94"/>
        <v>6</v>
      </c>
      <c r="CZ84" s="68">
        <f t="shared" si="95"/>
        <v>2045</v>
      </c>
      <c r="DA84" s="67">
        <f t="shared" si="96"/>
        <v>3</v>
      </c>
      <c r="DB84" s="68">
        <f t="shared" si="97"/>
        <v>2045</v>
      </c>
      <c r="DC84" s="71" t="e">
        <f t="shared" si="98"/>
        <v>#REF!</v>
      </c>
      <c r="DD84" s="72" t="str">
        <f t="shared" si="99"/>
        <v>. .</v>
      </c>
      <c r="DE84" s="72"/>
      <c r="DF84" s="52">
        <f t="shared" si="100"/>
        <v>720</v>
      </c>
      <c r="DG84" s="52">
        <f t="shared" si="101"/>
        <v>-23816</v>
      </c>
      <c r="DH84" s="52">
        <f t="shared" si="102"/>
        <v>-1985</v>
      </c>
      <c r="DI84" s="52" t="str">
        <f t="shared" si="103"/>
        <v>Nam dưới 35</v>
      </c>
      <c r="DJ84" s="52"/>
      <c r="DK84" s="52"/>
      <c r="DL84" s="57" t="str">
        <f t="shared" si="104"/>
        <v>Đến 30</v>
      </c>
      <c r="DM84" s="65" t="str">
        <f t="shared" si="109"/>
        <v>--</v>
      </c>
      <c r="DN84" s="36"/>
      <c r="DO84" s="86"/>
      <c r="DP84" s="175"/>
      <c r="DQ84" s="80"/>
      <c r="DR84" s="80"/>
      <c r="DS84" s="366"/>
      <c r="DT84" s="360"/>
      <c r="DU84" s="75"/>
      <c r="DV84" s="87"/>
      <c r="DW84" s="37" t="s">
        <v>209</v>
      </c>
      <c r="DX84" s="378" t="s">
        <v>243</v>
      </c>
      <c r="DY84" s="37" t="s">
        <v>207</v>
      </c>
      <c r="DZ84" s="193" t="s">
        <v>183</v>
      </c>
      <c r="EA84" s="49" t="s">
        <v>200</v>
      </c>
      <c r="EB84" s="184" t="s">
        <v>186</v>
      </c>
      <c r="EC84" s="49" t="s">
        <v>200</v>
      </c>
      <c r="ED84" s="76">
        <v>2013</v>
      </c>
      <c r="EE84" s="49">
        <f t="shared" si="105"/>
        <v>0</v>
      </c>
      <c r="EF84" s="77" t="str">
        <f t="shared" si="106"/>
        <v>- - -</v>
      </c>
      <c r="EG84" s="193" t="s">
        <v>183</v>
      </c>
      <c r="EH84" s="49" t="s">
        <v>200</v>
      </c>
      <c r="EI84" s="184" t="s">
        <v>186</v>
      </c>
      <c r="EJ84" s="49" t="s">
        <v>200</v>
      </c>
      <c r="EK84" s="76">
        <v>2013</v>
      </c>
      <c r="EL84" s="360"/>
      <c r="EM84" s="55" t="e">
        <f t="shared" si="107"/>
        <v>#REF!</v>
      </c>
      <c r="EN84" s="78" t="str">
        <f t="shared" si="108"/>
        <v>---</v>
      </c>
      <c r="EO84" s="87"/>
      <c r="EP84" s="107"/>
      <c r="EQ84" s="107"/>
      <c r="ER84" s="107"/>
      <c r="ES84" s="107"/>
      <c r="ET84" s="107"/>
      <c r="EU84" s="107"/>
      <c r="EV84" s="107"/>
      <c r="EW84" s="107"/>
      <c r="EX84" s="107"/>
      <c r="EY84" s="107"/>
      <c r="EZ84" s="107"/>
      <c r="FA84" s="107"/>
      <c r="FB84" s="107"/>
      <c r="FC84" s="107"/>
      <c r="FD84" s="107"/>
      <c r="FE84" s="107"/>
      <c r="FF84" s="107"/>
      <c r="FG84" s="107"/>
      <c r="FH84" s="107"/>
      <c r="FI84" s="107"/>
      <c r="FJ84" s="107"/>
      <c r="FK84" s="107"/>
      <c r="FL84" s="107"/>
    </row>
    <row r="85" spans="1:174" s="253" customFormat="1" ht="11.25" customHeight="1" x14ac:dyDescent="0.2">
      <c r="A85" s="98"/>
      <c r="B85" s="359">
        <v>22</v>
      </c>
      <c r="C85" s="35"/>
      <c r="D85" s="35" t="s">
        <v>84</v>
      </c>
      <c r="E85" s="40" t="s">
        <v>146</v>
      </c>
      <c r="F85" s="35" t="s">
        <v>221</v>
      </c>
      <c r="G85" s="64" t="s">
        <v>133</v>
      </c>
      <c r="H85" s="1024" t="s">
        <v>200</v>
      </c>
      <c r="I85" s="64" t="s">
        <v>190</v>
      </c>
      <c r="J85" s="1024"/>
      <c r="K85" s="40">
        <v>1982</v>
      </c>
      <c r="L85" s="210" t="s">
        <v>258</v>
      </c>
      <c r="M85" s="1047" t="str">
        <f t="shared" si="72"/>
        <v>NLĐ</v>
      </c>
      <c r="N85" s="223"/>
      <c r="O85" s="1025"/>
      <c r="P85" s="40"/>
      <c r="Q85" s="359"/>
      <c r="R85" s="1035" t="s">
        <v>208</v>
      </c>
      <c r="S85" s="942" t="s">
        <v>329</v>
      </c>
      <c r="T85" s="38" t="str">
        <f>VLOOKUP(Y85,'[1]- DLiêu Gốc -'!$B$2:$G$54,5,0)</f>
        <v>A1</v>
      </c>
      <c r="U85" s="39" t="str">
        <f>VLOOKUP(Y85,'[1]- DLiêu Gốc -'!$B$2:$G$54,6,0)</f>
        <v>- - -</v>
      </c>
      <c r="V85" s="1059" t="s">
        <v>249</v>
      </c>
      <c r="W85" s="358" t="str">
        <f t="shared" si="74"/>
        <v>Chuyên viên</v>
      </c>
      <c r="X85" s="361" t="e">
        <f t="shared" si="75"/>
        <v>#REF!</v>
      </c>
      <c r="Y85" s="380" t="s">
        <v>181</v>
      </c>
      <c r="Z85" s="380" t="e">
        <f>VLOOKUP(Y85,#REF!,2,0)</f>
        <v>#REF!</v>
      </c>
      <c r="AA85" s="52" t="e">
        <f t="shared" si="76"/>
        <v>#REF!</v>
      </c>
      <c r="AB85" s="108">
        <v>3</v>
      </c>
      <c r="AC85" s="700"/>
      <c r="AD85" s="43">
        <v>9</v>
      </c>
      <c r="AE85" s="54">
        <v>3</v>
      </c>
      <c r="AF85" s="437"/>
      <c r="AG85" s="46"/>
      <c r="AH85" s="48" t="s">
        <v>183</v>
      </c>
      <c r="AI85" s="669" t="s">
        <v>200</v>
      </c>
      <c r="AJ85" s="49" t="s">
        <v>186</v>
      </c>
      <c r="AK85" s="669"/>
      <c r="AL85" s="50">
        <v>2016</v>
      </c>
      <c r="AM85" s="178"/>
      <c r="AN85" s="53"/>
      <c r="AO85" s="353">
        <f t="shared" si="110"/>
        <v>4</v>
      </c>
      <c r="AP85" s="275"/>
      <c r="AQ85" s="84">
        <f t="shared" si="112"/>
        <v>9</v>
      </c>
      <c r="AR85" s="54">
        <v>3</v>
      </c>
      <c r="AS85" s="438"/>
      <c r="AT85" s="48" t="s">
        <v>183</v>
      </c>
      <c r="AU85" s="669" t="s">
        <v>200</v>
      </c>
      <c r="AV85" s="49" t="s">
        <v>186</v>
      </c>
      <c r="AW85" s="669"/>
      <c r="AX85" s="50">
        <v>2019</v>
      </c>
      <c r="AY85" s="87"/>
      <c r="AZ85" s="300"/>
      <c r="BA85" s="517"/>
      <c r="BB85" s="51" t="e">
        <f t="shared" si="77"/>
        <v>#REF!</v>
      </c>
      <c r="BC85" s="356">
        <f t="shared" si="78"/>
        <v>-24234</v>
      </c>
      <c r="BD85" s="310" t="e">
        <f>VLOOKUP(Y85,#REF!,3,0)</f>
        <v>#REF!</v>
      </c>
      <c r="BE85" s="310" t="e">
        <f>VLOOKUP(Y85,#REF!,4,0)</f>
        <v>#REF!</v>
      </c>
      <c r="BF85" s="57" t="str">
        <f t="shared" si="79"/>
        <v>o-o-o</v>
      </c>
      <c r="BG85" s="58"/>
      <c r="BH85" s="450"/>
      <c r="BI85" s="449"/>
      <c r="BJ85" s="677"/>
      <c r="BK85" s="441"/>
      <c r="BL85" s="677"/>
      <c r="BM85" s="99"/>
      <c r="BN85" s="178"/>
      <c r="BO85" s="62"/>
      <c r="BP85" s="59"/>
      <c r="BQ85" s="454"/>
      <c r="BR85" s="60"/>
      <c r="BS85" s="669"/>
      <c r="BT85" s="442"/>
      <c r="BU85" s="669"/>
      <c r="BV85" s="50"/>
      <c r="BW85" s="90"/>
      <c r="BX85" s="177"/>
      <c r="BY85" s="357"/>
      <c r="BZ85" s="57"/>
      <c r="CA85" s="379"/>
      <c r="CB85" s="63"/>
      <c r="CC85" s="41"/>
      <c r="CD85" s="52"/>
      <c r="CE85" s="35"/>
      <c r="CF85" s="35"/>
      <c r="CG85" s="367"/>
      <c r="CH85" s="35"/>
      <c r="CI85" s="35"/>
      <c r="CJ85" s="35"/>
      <c r="CK85" s="55"/>
      <c r="CL85" s="65"/>
      <c r="CM85" s="66"/>
      <c r="CN85" s="65"/>
      <c r="CO85" s="80"/>
      <c r="CP85" s="55"/>
      <c r="CQ85" s="65"/>
      <c r="CR85" s="66"/>
      <c r="CS85" s="65"/>
      <c r="CT85" s="80"/>
      <c r="CU85" s="69"/>
      <c r="CV85" s="70"/>
      <c r="CW85" s="67"/>
      <c r="CX85" s="68"/>
      <c r="CY85" s="67"/>
      <c r="CZ85" s="68"/>
      <c r="DA85" s="67"/>
      <c r="DB85" s="68"/>
      <c r="DC85" s="71"/>
      <c r="DD85" s="72"/>
      <c r="DE85" s="72"/>
      <c r="DF85" s="52"/>
      <c r="DG85" s="52"/>
      <c r="DH85" s="52"/>
      <c r="DI85" s="52"/>
      <c r="DJ85" s="89"/>
      <c r="DK85" s="52"/>
      <c r="DL85" s="57"/>
      <c r="DM85" s="65"/>
      <c r="DN85" s="36"/>
      <c r="DO85" s="91"/>
      <c r="DP85" s="73"/>
      <c r="DQ85" s="36"/>
      <c r="DR85" s="36"/>
      <c r="DS85" s="74"/>
      <c r="DT85" s="40"/>
      <c r="DU85" s="75"/>
      <c r="DV85" s="87"/>
      <c r="DW85" s="176"/>
      <c r="DX85" s="378"/>
      <c r="DY85" s="176"/>
      <c r="DZ85" s="48"/>
      <c r="EA85" s="49"/>
      <c r="EB85" s="49"/>
      <c r="EC85" s="49"/>
      <c r="ED85" s="76"/>
      <c r="EE85" s="49"/>
      <c r="EF85" s="77"/>
      <c r="EG85" s="48"/>
      <c r="EH85" s="49"/>
      <c r="EI85" s="49"/>
      <c r="EJ85" s="49"/>
      <c r="EK85" s="76"/>
      <c r="EL85" s="35"/>
      <c r="EM85" s="55"/>
      <c r="EN85" s="78"/>
      <c r="EO85" s="87"/>
      <c r="EP85" s="79"/>
      <c r="EQ85" s="79"/>
      <c r="ER85" s="79"/>
      <c r="ES85" s="79"/>
      <c r="ET85" s="79"/>
      <c r="EU85" s="79"/>
      <c r="EV85" s="79"/>
      <c r="EW85" s="79"/>
      <c r="EX85" s="79"/>
      <c r="EY85" s="79"/>
      <c r="EZ85" s="79"/>
      <c r="FA85" s="79"/>
      <c r="FB85" s="79"/>
      <c r="FC85" s="79"/>
      <c r="FD85" s="79"/>
      <c r="FE85" s="79"/>
      <c r="FF85" s="79"/>
      <c r="FG85" s="79"/>
      <c r="FH85" s="79"/>
      <c r="FI85" s="79"/>
      <c r="FJ85" s="79"/>
      <c r="FK85" s="79"/>
      <c r="FL85" s="79"/>
      <c r="FM85" s="79"/>
      <c r="FN85" s="79"/>
      <c r="FO85" s="79"/>
      <c r="FP85" s="79"/>
      <c r="FQ85" s="79"/>
      <c r="FR85" s="79"/>
    </row>
  </sheetData>
  <autoFilter ref="A16:ED54"/>
  <mergeCells count="41">
    <mergeCell ref="AK14:AL14"/>
    <mergeCell ref="AR14:AV14"/>
    <mergeCell ref="AH12:AJ13"/>
    <mergeCell ref="M11:M13"/>
    <mergeCell ref="BS11:BS13"/>
    <mergeCell ref="AB11:AJ11"/>
    <mergeCell ref="AM11:AV11"/>
    <mergeCell ref="AE12:AE13"/>
    <mergeCell ref="AF12:AG13"/>
    <mergeCell ref="AM12:AO13"/>
    <mergeCell ref="AP12:AQ13"/>
    <mergeCell ref="AT12:AV13"/>
    <mergeCell ref="AW11:AW13"/>
    <mergeCell ref="BH11:BH13"/>
    <mergeCell ref="BR11:BR13"/>
    <mergeCell ref="V1:AO1"/>
    <mergeCell ref="B2:R2"/>
    <mergeCell ref="V2:AO2"/>
    <mergeCell ref="V3:AO3"/>
    <mergeCell ref="AB47:AV47"/>
    <mergeCell ref="AB45:AV45"/>
    <mergeCell ref="AB44:AV44"/>
    <mergeCell ref="AB43:AV43"/>
    <mergeCell ref="AA14:AD14"/>
    <mergeCell ref="AH14:AJ14"/>
    <mergeCell ref="AM14:AO14"/>
    <mergeCell ref="AF14:AG14"/>
    <mergeCell ref="AP14:AQ14"/>
    <mergeCell ref="E40:S40"/>
    <mergeCell ref="R14:S14"/>
    <mergeCell ref="V14:W14"/>
    <mergeCell ref="B11:B13"/>
    <mergeCell ref="D11:D13"/>
    <mergeCell ref="B4:AW4"/>
    <mergeCell ref="E11:E13"/>
    <mergeCell ref="F11:F13"/>
    <mergeCell ref="AK11:AL12"/>
    <mergeCell ref="AA12:AD13"/>
    <mergeCell ref="R11:S13"/>
    <mergeCell ref="V11:X13"/>
    <mergeCell ref="Y11:Y13"/>
  </mergeCells>
  <conditionalFormatting sqref="DB56">
    <cfRule type="expression" dxfId="533" priority="7755" stopIfTrue="1">
      <formula>IF(DC56&gt;0,1,0)</formula>
    </cfRule>
    <cfRule type="expression" dxfId="532" priority="7756" stopIfTrue="1">
      <formula>IF(DC56=0,1,0)</formula>
    </cfRule>
  </conditionalFormatting>
  <conditionalFormatting sqref="DH56 DI40 BH40 DI17:DI38 BH17:BH38">
    <cfRule type="cellIs" dxfId="531" priority="7752" stopIfTrue="1" operator="between">
      <formula>"Hưu"</formula>
      <formula>"Hưu"</formula>
    </cfRule>
    <cfRule type="cellIs" dxfId="530" priority="7753" stopIfTrue="1" operator="between">
      <formula>"---"</formula>
      <formula>"---"</formula>
    </cfRule>
    <cfRule type="cellIs" dxfId="529" priority="7754" stopIfTrue="1" operator="between">
      <formula>"Quá"</formula>
      <formula>"Quá"</formula>
    </cfRule>
  </conditionalFormatting>
  <conditionalFormatting sqref="CY56">
    <cfRule type="cellIs" dxfId="528" priority="7749" stopIfTrue="1" operator="between">
      <formula>"Đến"</formula>
      <formula>"Đến"</formula>
    </cfRule>
    <cfRule type="cellIs" dxfId="527" priority="7750" stopIfTrue="1" operator="between">
      <formula>"Quá"</formula>
      <formula>"Quá"</formula>
    </cfRule>
    <cfRule type="expression" dxfId="526" priority="7751" stopIfTrue="1">
      <formula>IF(OR(CY56="Lương Sớm Hưu",CY56="Nâng Ngạch Hưu"),1,0)</formula>
    </cfRule>
  </conditionalFormatting>
  <conditionalFormatting sqref="DG56">
    <cfRule type="expression" dxfId="525" priority="7746" stopIfTrue="1">
      <formula>IF(DG56="Nâg Ngạch sau TB",1,0)</formula>
    </cfRule>
    <cfRule type="expression" dxfId="524" priority="7747" stopIfTrue="1">
      <formula>IF(DG56="Nâg Lươg Sớm sau TB",1,0)</formula>
    </cfRule>
    <cfRule type="expression" dxfId="523" priority="7748" stopIfTrue="1">
      <formula>IF(DG56="Nâg PC TNVK cùng QĐ",1,0)</formula>
    </cfRule>
  </conditionalFormatting>
  <conditionalFormatting sqref="A56">
    <cfRule type="expression" dxfId="522" priority="7622" stopIfTrue="1">
      <formula>IF(#REF!="Hưu",1,0)</formula>
    </cfRule>
    <cfRule type="expression" dxfId="521" priority="7623" stopIfTrue="1">
      <formula>IF(#REF!="Quá",1,0)</formula>
    </cfRule>
  </conditionalFormatting>
  <conditionalFormatting sqref="BB16 AZ40 CZ40 AZ17:AZ38 CZ17:CZ38">
    <cfRule type="cellIs" dxfId="520" priority="7608" stopIfTrue="1" operator="between">
      <formula>"Đến"</formula>
      <formula>"Đến"</formula>
    </cfRule>
    <cfRule type="cellIs" dxfId="519" priority="7609" stopIfTrue="1" operator="between">
      <formula>"Quá"</formula>
      <formula>"Quá"</formula>
    </cfRule>
  </conditionalFormatting>
  <conditionalFormatting sqref="BJ16">
    <cfRule type="cellIs" dxfId="518" priority="7605" stopIfTrue="1" operator="between">
      <formula>"Hưu"</formula>
      <formula>"Hưu"</formula>
    </cfRule>
    <cfRule type="cellIs" dxfId="517" priority="7606" stopIfTrue="1" operator="between">
      <formula>"---"</formula>
      <formula>"---"</formula>
    </cfRule>
    <cfRule type="cellIs" dxfId="516" priority="7607" stopIfTrue="1" operator="between">
      <formula>"Quá"</formula>
      <formula>"Quá"</formula>
    </cfRule>
  </conditionalFormatting>
  <conditionalFormatting sqref="DB15">
    <cfRule type="expression" dxfId="515" priority="7559" stopIfTrue="1">
      <formula>IF(DC15&gt;0,1,0)</formula>
    </cfRule>
    <cfRule type="expression" dxfId="514" priority="7560" stopIfTrue="1">
      <formula>IF(DC15=0,1,0)</formula>
    </cfRule>
  </conditionalFormatting>
  <conditionalFormatting sqref="DH15 BJ15">
    <cfRule type="cellIs" dxfId="513" priority="7556" stopIfTrue="1" operator="between">
      <formula>"Hưu"</formula>
      <formula>"Hưu"</formula>
    </cfRule>
    <cfRule type="cellIs" dxfId="512" priority="7557" stopIfTrue="1" operator="between">
      <formula>"---"</formula>
      <formula>"---"</formula>
    </cfRule>
    <cfRule type="cellIs" dxfId="511" priority="7558" stopIfTrue="1" operator="between">
      <formula>"Quá"</formula>
      <formula>"Quá"</formula>
    </cfRule>
  </conditionalFormatting>
  <conditionalFormatting sqref="BB15 CY15">
    <cfRule type="cellIs" dxfId="510" priority="7553" stopIfTrue="1" operator="between">
      <formula>"Đến"</formula>
      <formula>"Đến"</formula>
    </cfRule>
    <cfRule type="cellIs" dxfId="509" priority="7554" stopIfTrue="1" operator="between">
      <formula>"Quá"</formula>
      <formula>"Quá"</formula>
    </cfRule>
    <cfRule type="expression" dxfId="508" priority="7555" stopIfTrue="1">
      <formula>IF(OR(BB15="Lương Sớm Hưu",BB15="Nâng Ngạch Hưu"),1,0)</formula>
    </cfRule>
  </conditionalFormatting>
  <conditionalFormatting sqref="BI15 DG15">
    <cfRule type="expression" dxfId="507" priority="7550" stopIfTrue="1">
      <formula>IF(BI15="Nâg Ngạch sau TB",1,0)</formula>
    </cfRule>
    <cfRule type="expression" dxfId="506" priority="7551" stopIfTrue="1">
      <formula>IF(BI15="Nâg Lươg Sớm sau TB",1,0)</formula>
    </cfRule>
    <cfRule type="expression" dxfId="505" priority="7552" stopIfTrue="1">
      <formula>IF(BI15="Nâg PC TNVK cùng QĐ",1,0)</formula>
    </cfRule>
  </conditionalFormatting>
  <conditionalFormatting sqref="A15">
    <cfRule type="expression" dxfId="504" priority="7548" stopIfTrue="1">
      <formula>IF(#REF!="Hưu",1,0)</formula>
    </cfRule>
    <cfRule type="expression" dxfId="503" priority="7549" stopIfTrue="1">
      <formula>IF(#REF!="Quá",1,0)</formula>
    </cfRule>
  </conditionalFormatting>
  <conditionalFormatting sqref="CW8">
    <cfRule type="expression" dxfId="502" priority="7229" stopIfTrue="1">
      <formula>IF(CX8&gt;0,1,0)</formula>
    </cfRule>
    <cfRule type="expression" dxfId="501" priority="7230" stopIfTrue="1">
      <formula>IF(CX8=0,1,0)</formula>
    </cfRule>
  </conditionalFormatting>
  <conditionalFormatting sqref="DC8">
    <cfRule type="cellIs" dxfId="500" priority="7231" stopIfTrue="1" operator="between">
      <formula>"Hưu"</formula>
      <formula>"Hưu"</formula>
    </cfRule>
    <cfRule type="cellIs" dxfId="499" priority="7232" stopIfTrue="1" operator="between">
      <formula>"---"</formula>
      <formula>"---"</formula>
    </cfRule>
    <cfRule type="cellIs" dxfId="498" priority="7233" stopIfTrue="1" operator="between">
      <formula>"Quá"</formula>
      <formula>"Quá"</formula>
    </cfRule>
  </conditionalFormatting>
  <conditionalFormatting sqref="CT8">
    <cfRule type="cellIs" dxfId="497" priority="7234" stopIfTrue="1" operator="between">
      <formula>"Đến"</formula>
      <formula>"Đến"</formula>
    </cfRule>
    <cfRule type="cellIs" dxfId="496" priority="7235" stopIfTrue="1" operator="between">
      <formula>"Quá"</formula>
      <formula>"Quá"</formula>
    </cfRule>
    <cfRule type="expression" dxfId="495" priority="7236" stopIfTrue="1">
      <formula>IF(OR(CT8="Lương Sớm Hưu",CT8="Nâng Ngạch Hưu"),1,0)</formula>
    </cfRule>
  </conditionalFormatting>
  <conditionalFormatting sqref="DB8">
    <cfRule type="expression" dxfId="494" priority="7237" stopIfTrue="1">
      <formula>IF(DB8="Nâg Ngạch sau TB",1,0)</formula>
    </cfRule>
    <cfRule type="expression" dxfId="493" priority="7238" stopIfTrue="1">
      <formula>IF(DB8="Nâg Lươg Sớm sau TB",1,0)</formula>
    </cfRule>
    <cfRule type="expression" dxfId="492" priority="7239" stopIfTrue="1">
      <formula>IF(DB8="Nâg PC TNVK cùng QĐ",1,0)</formula>
    </cfRule>
  </conditionalFormatting>
  <conditionalFormatting sqref="BR16">
    <cfRule type="expression" dxfId="491" priority="7452" stopIfTrue="1">
      <formula>IF(AND(#REF!&gt;0,#REF!&lt;5),1,0)</formula>
    </cfRule>
    <cfRule type="expression" dxfId="490" priority="7453" stopIfTrue="1">
      <formula>IF(#REF!=5,1,0)</formula>
    </cfRule>
    <cfRule type="expression" dxfId="489" priority="7454" stopIfTrue="1">
      <formula>IF(#REF!&gt;5,1,0)</formula>
    </cfRule>
  </conditionalFormatting>
  <conditionalFormatting sqref="BB16">
    <cfRule type="expression" dxfId="488" priority="7302" stopIfTrue="1">
      <formula>IF(OR(#REF!="Lương Sớm Hưu",#REF!="Nâng Ngạch Hưu"),1,0)</formula>
    </cfRule>
  </conditionalFormatting>
  <conditionalFormatting sqref="BI16">
    <cfRule type="expression" dxfId="487" priority="7299" stopIfTrue="1">
      <formula>IF(#REF!="Nâg Ngạch sau TB",1,0)</formula>
    </cfRule>
    <cfRule type="expression" dxfId="486" priority="7300" stopIfTrue="1">
      <formula>IF(#REF!="Nâg Lươg Sớm sau TB",1,0)</formula>
    </cfRule>
    <cfRule type="expression" dxfId="485" priority="7301" stopIfTrue="1">
      <formula>IF(#REF!="Nâg PC TNVK cùng QĐ",1,0)</formula>
    </cfRule>
  </conditionalFormatting>
  <conditionalFormatting sqref="DB11:DB13">
    <cfRule type="expression" dxfId="484" priority="6036" stopIfTrue="1">
      <formula>IF(DC11&gt;0,1,0)</formula>
    </cfRule>
    <cfRule type="expression" dxfId="483" priority="6037" stopIfTrue="1">
      <formula>IF(DC11=0,1,0)</formula>
    </cfRule>
  </conditionalFormatting>
  <conditionalFormatting sqref="DH11:DH13">
    <cfRule type="cellIs" dxfId="482" priority="6033" stopIfTrue="1" operator="between">
      <formula>"Hưu"</formula>
      <formula>"Hưu"</formula>
    </cfRule>
    <cfRule type="cellIs" dxfId="481" priority="6034" stopIfTrue="1" operator="between">
      <formula>"---"</formula>
      <formula>"---"</formula>
    </cfRule>
    <cfRule type="cellIs" dxfId="480" priority="6035" stopIfTrue="1" operator="between">
      <formula>"Quá"</formula>
      <formula>"Quá"</formula>
    </cfRule>
  </conditionalFormatting>
  <conditionalFormatting sqref="CY11:CY13">
    <cfRule type="cellIs" dxfId="479" priority="6030" stopIfTrue="1" operator="between">
      <formula>"Đến"</formula>
      <formula>"Đến"</formula>
    </cfRule>
    <cfRule type="cellIs" dxfId="478" priority="6031" stopIfTrue="1" operator="between">
      <formula>"Quá"</formula>
      <formula>"Quá"</formula>
    </cfRule>
    <cfRule type="expression" dxfId="477" priority="6032" stopIfTrue="1">
      <formula>IF(OR(CY11="Lương Sớm Hưu",CY11="Nâng Ngạch Hưu"),1,0)</formula>
    </cfRule>
  </conditionalFormatting>
  <conditionalFormatting sqref="DG11:DG13">
    <cfRule type="expression" dxfId="476" priority="6027" stopIfTrue="1">
      <formula>IF(DG11="Nâg Ngạch sau TB",1,0)</formula>
    </cfRule>
    <cfRule type="expression" dxfId="475" priority="6028" stopIfTrue="1">
      <formula>IF(DG11="Nâg Lươg Sớm sau TB",1,0)</formula>
    </cfRule>
    <cfRule type="expression" dxfId="474" priority="6029" stopIfTrue="1">
      <formula>IF(DG11="Nâg PC TNVK cùng QĐ",1,0)</formula>
    </cfRule>
  </conditionalFormatting>
  <conditionalFormatting sqref="DB14">
    <cfRule type="expression" dxfId="473" priority="6052" stopIfTrue="1">
      <formula>IF(DC14&gt;0,1,0)</formula>
    </cfRule>
    <cfRule type="expression" dxfId="472" priority="6053" stopIfTrue="1">
      <formula>IF(DC14=0,1,0)</formula>
    </cfRule>
  </conditionalFormatting>
  <conditionalFormatting sqref="DH14 BJ14">
    <cfRule type="cellIs" dxfId="471" priority="6049" stopIfTrue="1" operator="between">
      <formula>"Hưu"</formula>
      <formula>"Hưu"</formula>
    </cfRule>
    <cfRule type="cellIs" dxfId="470" priority="6050" stopIfTrue="1" operator="between">
      <formula>"---"</formula>
      <formula>"---"</formula>
    </cfRule>
    <cfRule type="cellIs" dxfId="469" priority="6051" stopIfTrue="1" operator="between">
      <formula>"Quá"</formula>
      <formula>"Quá"</formula>
    </cfRule>
  </conditionalFormatting>
  <conditionalFormatting sqref="BB14 CY14">
    <cfRule type="cellIs" dxfId="468" priority="6046" stopIfTrue="1" operator="between">
      <formula>"Đến"</formula>
      <formula>"Đến"</formula>
    </cfRule>
    <cfRule type="cellIs" dxfId="467" priority="6047" stopIfTrue="1" operator="between">
      <formula>"Quá"</formula>
      <formula>"Quá"</formula>
    </cfRule>
    <cfRule type="expression" dxfId="466" priority="6048" stopIfTrue="1">
      <formula>IF(OR(BB14="Lương Sớm Hưu",BB14="Nâng Ngạch Hưu"),1,0)</formula>
    </cfRule>
  </conditionalFormatting>
  <conditionalFormatting sqref="BI14 DG14">
    <cfRule type="expression" dxfId="465" priority="6043" stopIfTrue="1">
      <formula>IF(BI14="Nâg Ngạch sau TB",1,0)</formula>
    </cfRule>
    <cfRule type="expression" dxfId="464" priority="6044" stopIfTrue="1">
      <formula>IF(BI14="Nâg Lươg Sớm sau TB",1,0)</formula>
    </cfRule>
    <cfRule type="expression" dxfId="463" priority="6045" stopIfTrue="1">
      <formula>IF(BI14="Nâg PC TNVK cùng QĐ",1,0)</formula>
    </cfRule>
  </conditionalFormatting>
  <conditionalFormatting sqref="A14">
    <cfRule type="expression" dxfId="462" priority="6041" stopIfTrue="1">
      <formula>IF(#REF!="Hưu",1,0)</formula>
    </cfRule>
    <cfRule type="expression" dxfId="461" priority="6042" stopIfTrue="1">
      <formula>IF(#REF!="Quá",1,0)</formula>
    </cfRule>
  </conditionalFormatting>
  <conditionalFormatting sqref="A11:A13">
    <cfRule type="expression" dxfId="460" priority="6025" stopIfTrue="1">
      <formula>IF(#REF!="Hưu",1,0)</formula>
    </cfRule>
    <cfRule type="expression" dxfId="459" priority="6026" stopIfTrue="1">
      <formula>IF(#REF!="Quá",1,0)</formula>
    </cfRule>
  </conditionalFormatting>
  <conditionalFormatting sqref="BH60 DI60">
    <cfRule type="cellIs" dxfId="458" priority="6000" stopIfTrue="1" operator="between">
      <formula>"Hưu"</formula>
      <formula>"Hưu"</formula>
    </cfRule>
    <cfRule type="cellIs" dxfId="457" priority="6001" stopIfTrue="1" operator="between">
      <formula>"---"</formula>
      <formula>"---"</formula>
    </cfRule>
    <cfRule type="cellIs" dxfId="456" priority="6002" stopIfTrue="1" operator="between">
      <formula>"Quá"</formula>
      <formula>"Quá"</formula>
    </cfRule>
  </conditionalFormatting>
  <conditionalFormatting sqref="CZ60 AZ60">
    <cfRule type="cellIs" dxfId="455" priority="5998" stopIfTrue="1" operator="between">
      <formula>"Đến"</formula>
      <formula>"Đến"</formula>
    </cfRule>
    <cfRule type="cellIs" dxfId="454" priority="5999" stopIfTrue="1" operator="between">
      <formula>"Quá"</formula>
      <formula>"Quá"</formula>
    </cfRule>
  </conditionalFormatting>
  <conditionalFormatting sqref="BP60">
    <cfRule type="expression" dxfId="453" priority="5995" stopIfTrue="1">
      <formula>IF(AND(#REF!&gt;0,#REF!&lt;5),1,0)</formula>
    </cfRule>
    <cfRule type="expression" dxfId="452" priority="5996" stopIfTrue="1">
      <formula>IF(#REF!=5,1,0)</formula>
    </cfRule>
    <cfRule type="expression" dxfId="451" priority="5997" stopIfTrue="1">
      <formula>IF(#REF!&gt;5,1,0)</formula>
    </cfRule>
  </conditionalFormatting>
  <conditionalFormatting sqref="A60">
    <cfRule type="expression" dxfId="450" priority="5993" stopIfTrue="1">
      <formula>IF(#REF!="Hưu",1,0)</formula>
    </cfRule>
    <cfRule type="expression" dxfId="449" priority="5994" stopIfTrue="1">
      <formula>IF(#REF!="Quá",1,0)</formula>
    </cfRule>
  </conditionalFormatting>
  <conditionalFormatting sqref="BC60">
    <cfRule type="expression" dxfId="448" priority="5991" stopIfTrue="1">
      <formula>IF(#REF!&gt;0,1,0)</formula>
    </cfRule>
    <cfRule type="expression" dxfId="447" priority="5992" stopIfTrue="1">
      <formula>IF(#REF!=0,1,0)</formula>
    </cfRule>
  </conditionalFormatting>
  <conditionalFormatting sqref="AZ60">
    <cfRule type="expression" dxfId="446" priority="5990" stopIfTrue="1">
      <formula>IF(OR(#REF!="Lương Sớm Hưu",#REF!="Nâng Ngạch Hưu"),1,0)</formula>
    </cfRule>
  </conditionalFormatting>
  <conditionalFormatting sqref="BG60">
    <cfRule type="expression" dxfId="445" priority="5987" stopIfTrue="1">
      <formula>IF(#REF!="Nâg Ngạch sau TB",1,0)</formula>
    </cfRule>
    <cfRule type="expression" dxfId="444" priority="5988" stopIfTrue="1">
      <formula>IF(#REF!="Nâg Lươg Sớm sau TB",1,0)</formula>
    </cfRule>
    <cfRule type="expression" dxfId="443" priority="5989" stopIfTrue="1">
      <formula>IF(#REF!="Nâg PC TNVK cùng QĐ",1,0)</formula>
    </cfRule>
  </conditionalFormatting>
  <conditionalFormatting sqref="DC60 BC40 DC40 BC17:BC38 DC17:DC38">
    <cfRule type="expression" dxfId="442" priority="5985" stopIfTrue="1">
      <formula>IF(#REF!&gt;0,1,0)</formula>
    </cfRule>
    <cfRule type="expression" dxfId="441" priority="5986" stopIfTrue="1">
      <formula>IF(#REF!=0,1,0)</formula>
    </cfRule>
  </conditionalFormatting>
  <conditionalFormatting sqref="CZ60">
    <cfRule type="expression" dxfId="440" priority="5984" stopIfTrue="1">
      <formula>IF(OR(#REF!="Lương Sớm Hưu",#REF!="Nâng Ngạch Hưu"),1,0)</formula>
    </cfRule>
  </conditionalFormatting>
  <conditionalFormatting sqref="DH60 BG17:BG38 DH17:DH38">
    <cfRule type="expression" dxfId="439" priority="5981" stopIfTrue="1">
      <formula>IF(#REF!="Nâg Ngạch sau TB",1,0)</formula>
    </cfRule>
    <cfRule type="expression" dxfId="438" priority="5982" stopIfTrue="1">
      <formula>IF(#REF!="Nâg Lươg Sớm sau TB",1,0)</formula>
    </cfRule>
    <cfRule type="expression" dxfId="437" priority="5983" stopIfTrue="1">
      <formula>IF(#REF!="Nâg PC TNVK cùng QĐ",1,0)</formula>
    </cfRule>
  </conditionalFormatting>
  <conditionalFormatting sqref="BH59 DI59">
    <cfRule type="cellIs" dxfId="436" priority="5978" stopIfTrue="1" operator="between">
      <formula>"Hưu"</formula>
      <formula>"Hưu"</formula>
    </cfRule>
    <cfRule type="cellIs" dxfId="435" priority="5979" stopIfTrue="1" operator="between">
      <formula>"---"</formula>
      <formula>"---"</formula>
    </cfRule>
    <cfRule type="cellIs" dxfId="434" priority="5980" stopIfTrue="1" operator="between">
      <formula>"Quá"</formula>
      <formula>"Quá"</formula>
    </cfRule>
  </conditionalFormatting>
  <conditionalFormatting sqref="CZ59 AZ59">
    <cfRule type="cellIs" dxfId="433" priority="5976" stopIfTrue="1" operator="between">
      <formula>"Đến"</formula>
      <formula>"Đến"</formula>
    </cfRule>
    <cfRule type="cellIs" dxfId="432" priority="5977" stopIfTrue="1" operator="between">
      <formula>"Quá"</formula>
      <formula>"Quá"</formula>
    </cfRule>
  </conditionalFormatting>
  <conditionalFormatting sqref="BP59">
    <cfRule type="expression" dxfId="431" priority="5973" stopIfTrue="1">
      <formula>IF(AND(#REF!&gt;0,#REF!&lt;5),1,0)</formula>
    </cfRule>
    <cfRule type="expression" dxfId="430" priority="5974" stopIfTrue="1">
      <formula>IF(#REF!=5,1,0)</formula>
    </cfRule>
    <cfRule type="expression" dxfId="429" priority="5975" stopIfTrue="1">
      <formula>IF(#REF!&gt;5,1,0)</formula>
    </cfRule>
  </conditionalFormatting>
  <conditionalFormatting sqref="A59 A40 A17:A38">
    <cfRule type="expression" dxfId="428" priority="5971" stopIfTrue="1">
      <formula>IF(#REF!="Hưu",1,0)</formula>
    </cfRule>
    <cfRule type="expression" dxfId="427" priority="5972" stopIfTrue="1">
      <formula>IF(#REF!="Quá",1,0)</formula>
    </cfRule>
  </conditionalFormatting>
  <conditionalFormatting sqref="BC59">
    <cfRule type="expression" dxfId="426" priority="5969" stopIfTrue="1">
      <formula>IF(#REF!&gt;0,1,0)</formula>
    </cfRule>
    <cfRule type="expression" dxfId="425" priority="5970" stopIfTrue="1">
      <formula>IF(#REF!=0,1,0)</formula>
    </cfRule>
  </conditionalFormatting>
  <conditionalFormatting sqref="AZ59">
    <cfRule type="expression" dxfId="424" priority="5968" stopIfTrue="1">
      <formula>IF(OR(#REF!="Lương Sớm Hưu",#REF!="Nâng Ngạch Hưu"),1,0)</formula>
    </cfRule>
  </conditionalFormatting>
  <conditionalFormatting sqref="BG59">
    <cfRule type="expression" dxfId="423" priority="5965" stopIfTrue="1">
      <formula>IF(#REF!="Nâg Ngạch sau TB",1,0)</formula>
    </cfRule>
    <cfRule type="expression" dxfId="422" priority="5966" stopIfTrue="1">
      <formula>IF(#REF!="Nâg Lươg Sớm sau TB",1,0)</formula>
    </cfRule>
    <cfRule type="expression" dxfId="421" priority="5967" stopIfTrue="1">
      <formula>IF(#REF!="Nâg PC TNVK cùng QĐ",1,0)</formula>
    </cfRule>
  </conditionalFormatting>
  <conditionalFormatting sqref="DC59">
    <cfRule type="expression" dxfId="420" priority="5963" stopIfTrue="1">
      <formula>IF(#REF!&gt;0,1,0)</formula>
    </cfRule>
    <cfRule type="expression" dxfId="419" priority="5964" stopIfTrue="1">
      <formula>IF(#REF!=0,1,0)</formula>
    </cfRule>
  </conditionalFormatting>
  <conditionalFormatting sqref="CZ59">
    <cfRule type="expression" dxfId="418" priority="5962" stopIfTrue="1">
      <formula>IF(OR(#REF!="Lương Sớm Hưu",#REF!="Nâng Ngạch Hưu"),1,0)</formula>
    </cfRule>
  </conditionalFormatting>
  <conditionalFormatting sqref="DH59">
    <cfRule type="expression" dxfId="417" priority="5959" stopIfTrue="1">
      <formula>IF(#REF!="Nâg Ngạch sau TB",1,0)</formula>
    </cfRule>
    <cfRule type="expression" dxfId="416" priority="5960" stopIfTrue="1">
      <formula>IF(#REF!="Nâg Lươg Sớm sau TB",1,0)</formula>
    </cfRule>
    <cfRule type="expression" dxfId="415" priority="5961" stopIfTrue="1">
      <formula>IF(#REF!="Nâg PC TNVK cùng QĐ",1,0)</formula>
    </cfRule>
  </conditionalFormatting>
  <conditionalFormatting sqref="BH57 DI57">
    <cfRule type="cellIs" dxfId="414" priority="5956" stopIfTrue="1" operator="between">
      <formula>"Hưu"</formula>
      <formula>"Hưu"</formula>
    </cfRule>
    <cfRule type="cellIs" dxfId="413" priority="5957" stopIfTrue="1" operator="between">
      <formula>"---"</formula>
      <formula>"---"</formula>
    </cfRule>
    <cfRule type="cellIs" dxfId="412" priority="5958" stopIfTrue="1" operator="between">
      <formula>"Quá"</formula>
      <formula>"Quá"</formula>
    </cfRule>
  </conditionalFormatting>
  <conditionalFormatting sqref="CZ57 AZ57">
    <cfRule type="cellIs" dxfId="411" priority="5954" stopIfTrue="1" operator="between">
      <formula>"Đến"</formula>
      <formula>"Đến"</formula>
    </cfRule>
    <cfRule type="cellIs" dxfId="410" priority="5955" stopIfTrue="1" operator="between">
      <formula>"Quá"</formula>
      <formula>"Quá"</formula>
    </cfRule>
  </conditionalFormatting>
  <conditionalFormatting sqref="BP57">
    <cfRule type="expression" dxfId="409" priority="5951" stopIfTrue="1">
      <formula>IF(AND(#REF!&gt;0,#REF!&lt;5),1,0)</formula>
    </cfRule>
    <cfRule type="expression" dxfId="408" priority="5952" stopIfTrue="1">
      <formula>IF(#REF!=5,1,0)</formula>
    </cfRule>
    <cfRule type="expression" dxfId="407" priority="5953" stopIfTrue="1">
      <formula>IF(#REF!&gt;5,1,0)</formula>
    </cfRule>
  </conditionalFormatting>
  <conditionalFormatting sqref="A57">
    <cfRule type="expression" dxfId="406" priority="5949" stopIfTrue="1">
      <formula>IF(#REF!="Hưu",1,0)</formula>
    </cfRule>
    <cfRule type="expression" dxfId="405" priority="5950" stopIfTrue="1">
      <formula>IF(#REF!="Quá",1,0)</formula>
    </cfRule>
  </conditionalFormatting>
  <conditionalFormatting sqref="BC57">
    <cfRule type="expression" dxfId="404" priority="5947" stopIfTrue="1">
      <formula>IF(#REF!&gt;0,1,0)</formula>
    </cfRule>
    <cfRule type="expression" dxfId="403" priority="5948" stopIfTrue="1">
      <formula>IF(#REF!=0,1,0)</formula>
    </cfRule>
  </conditionalFormatting>
  <conditionalFormatting sqref="AZ57">
    <cfRule type="expression" dxfId="402" priority="5946" stopIfTrue="1">
      <formula>IF(OR(#REF!="Lương Sớm Hưu",#REF!="Nâng Ngạch Hưu"),1,0)</formula>
    </cfRule>
  </conditionalFormatting>
  <conditionalFormatting sqref="BG57">
    <cfRule type="expression" dxfId="401" priority="5943" stopIfTrue="1">
      <formula>IF(#REF!="Nâg Ngạch sau TB",1,0)</formula>
    </cfRule>
    <cfRule type="expression" dxfId="400" priority="5944" stopIfTrue="1">
      <formula>IF(#REF!="Nâg Lươg Sớm sau TB",1,0)</formula>
    </cfRule>
    <cfRule type="expression" dxfId="399" priority="5945" stopIfTrue="1">
      <formula>IF(#REF!="Nâg PC TNVK cùng QĐ",1,0)</formula>
    </cfRule>
  </conditionalFormatting>
  <conditionalFormatting sqref="DC57">
    <cfRule type="expression" dxfId="398" priority="5941" stopIfTrue="1">
      <formula>IF(#REF!&gt;0,1,0)</formula>
    </cfRule>
    <cfRule type="expression" dxfId="397" priority="5942" stopIfTrue="1">
      <formula>IF(#REF!=0,1,0)</formula>
    </cfRule>
  </conditionalFormatting>
  <conditionalFormatting sqref="CZ57">
    <cfRule type="expression" dxfId="396" priority="5940" stopIfTrue="1">
      <formula>IF(OR(#REF!="Lương Sớm Hưu",#REF!="Nâng Ngạch Hưu"),1,0)</formula>
    </cfRule>
  </conditionalFormatting>
  <conditionalFormatting sqref="DH57">
    <cfRule type="expression" dxfId="395" priority="5937" stopIfTrue="1">
      <formula>IF(#REF!="Nâg Ngạch sau TB",1,0)</formula>
    </cfRule>
    <cfRule type="expression" dxfId="394" priority="5938" stopIfTrue="1">
      <formula>IF(#REF!="Nâg Lươg Sớm sau TB",1,0)</formula>
    </cfRule>
    <cfRule type="expression" dxfId="393" priority="5939" stopIfTrue="1">
      <formula>IF(#REF!="Nâg PC TNVK cùng QĐ",1,0)</formula>
    </cfRule>
  </conditionalFormatting>
  <conditionalFormatting sqref="DI58 BH58">
    <cfRule type="cellIs" dxfId="392" priority="5866" stopIfTrue="1" operator="between">
      <formula>"Hưu"</formula>
      <formula>"Hưu"</formula>
    </cfRule>
    <cfRule type="cellIs" dxfId="391" priority="5867" stopIfTrue="1" operator="between">
      <formula>"---"</formula>
      <formula>"---"</formula>
    </cfRule>
    <cfRule type="cellIs" dxfId="390" priority="5868" stopIfTrue="1" operator="between">
      <formula>"Quá"</formula>
      <formula>"Quá"</formula>
    </cfRule>
  </conditionalFormatting>
  <conditionalFormatting sqref="AZ58 CZ58">
    <cfRule type="cellIs" dxfId="389" priority="5864" stopIfTrue="1" operator="between">
      <formula>"Đến"</formula>
      <formula>"Đến"</formula>
    </cfRule>
    <cfRule type="cellIs" dxfId="388" priority="5865" stopIfTrue="1" operator="between">
      <formula>"Quá"</formula>
      <formula>"Quá"</formula>
    </cfRule>
  </conditionalFormatting>
  <conditionalFormatting sqref="BP58 BP40 BP17:BP38">
    <cfRule type="expression" dxfId="387" priority="5861" stopIfTrue="1">
      <formula>IF(AND(#REF!&gt;0,#REF!&lt;5),1,0)</formula>
    </cfRule>
    <cfRule type="expression" dxfId="386" priority="5862" stopIfTrue="1">
      <formula>IF(#REF!=5,1,0)</formula>
    </cfRule>
    <cfRule type="expression" dxfId="385" priority="5863" stopIfTrue="1">
      <formula>IF(#REF!&gt;5,1,0)</formula>
    </cfRule>
  </conditionalFormatting>
  <conditionalFormatting sqref="A58">
    <cfRule type="expression" dxfId="384" priority="5859" stopIfTrue="1">
      <formula>IF(#REF!="Hưu",1,0)</formula>
    </cfRule>
    <cfRule type="expression" dxfId="383" priority="5860" stopIfTrue="1">
      <formula>IF(#REF!="Quá",1,0)</formula>
    </cfRule>
  </conditionalFormatting>
  <conditionalFormatting sqref="BC58">
    <cfRule type="expression" dxfId="382" priority="5857" stopIfTrue="1">
      <formula>IF(#REF!&gt;0,1,0)</formula>
    </cfRule>
    <cfRule type="expression" dxfId="381" priority="5858" stopIfTrue="1">
      <formula>IF(#REF!=0,1,0)</formula>
    </cfRule>
  </conditionalFormatting>
  <conditionalFormatting sqref="AZ58 AZ40 AZ17:AZ38">
    <cfRule type="expression" dxfId="380" priority="5856" stopIfTrue="1">
      <formula>IF(OR(#REF!="Lương Sớm Hưu",#REF!="Nâng Ngạch Hưu"),1,0)</formula>
    </cfRule>
  </conditionalFormatting>
  <conditionalFormatting sqref="BG58 BG40 DH40">
    <cfRule type="expression" dxfId="379" priority="5853" stopIfTrue="1">
      <formula>IF(#REF!="Nâg Ngạch sau TB",1,0)</formula>
    </cfRule>
    <cfRule type="expression" dxfId="378" priority="5854" stopIfTrue="1">
      <formula>IF(#REF!="Nâg Lươg Sớm sau TB",1,0)</formula>
    </cfRule>
    <cfRule type="expression" dxfId="377" priority="5855" stopIfTrue="1">
      <formula>IF(#REF!="Nâg PC TNVK cùng QĐ",1,0)</formula>
    </cfRule>
  </conditionalFormatting>
  <conditionalFormatting sqref="DC58">
    <cfRule type="expression" dxfId="376" priority="5851" stopIfTrue="1">
      <formula>IF(#REF!&gt;0,1,0)</formula>
    </cfRule>
    <cfRule type="expression" dxfId="375" priority="5852" stopIfTrue="1">
      <formula>IF(#REF!=0,1,0)</formula>
    </cfRule>
  </conditionalFormatting>
  <conditionalFormatting sqref="CZ58 CZ40 CZ17:CZ38">
    <cfRule type="expression" dxfId="374" priority="5850" stopIfTrue="1">
      <formula>IF(OR(#REF!="Lương Sớm Hưu",#REF!="Nâng Ngạch Hưu"),1,0)</formula>
    </cfRule>
  </conditionalFormatting>
  <conditionalFormatting sqref="DH58">
    <cfRule type="expression" dxfId="373" priority="5847" stopIfTrue="1">
      <formula>IF(#REF!="Nâg Ngạch sau TB",1,0)</formula>
    </cfRule>
    <cfRule type="expression" dxfId="372" priority="5848" stopIfTrue="1">
      <formula>IF(#REF!="Nâg Lươg Sớm sau TB",1,0)</formula>
    </cfRule>
    <cfRule type="expression" dxfId="371" priority="5849" stopIfTrue="1">
      <formula>IF(#REF!="Nâg PC TNVK cùng QĐ",1,0)</formula>
    </cfRule>
  </conditionalFormatting>
  <conditionalFormatting sqref="DL58 DL17:DL38 DL40:DL41">
    <cfRule type="expression" dxfId="370" priority="5844" stopIfTrue="1">
      <formula>IF(FD17="Hưu",1,0)</formula>
    </cfRule>
    <cfRule type="expression" dxfId="369" priority="5845" stopIfTrue="1">
      <formula>IF(FD17="Quá",1,0)</formula>
    </cfRule>
    <cfRule type="expression" dxfId="368" priority="5846" stopIfTrue="1">
      <formula>IF(EL17="Lùi",1,0)</formula>
    </cfRule>
  </conditionalFormatting>
  <conditionalFormatting sqref="DS58 DS17:DS38 DS40:DS41">
    <cfRule type="expression" dxfId="367" priority="5842" stopIfTrue="1">
      <formula>IF(FI17="Hưu",1,0)</formula>
    </cfRule>
    <cfRule type="expression" dxfId="366" priority="5843" stopIfTrue="1">
      <formula>IF(FI17="Quá",1,0)</formula>
    </cfRule>
  </conditionalFormatting>
  <conditionalFormatting sqref="CS58 CS40 CS17:CS38">
    <cfRule type="cellIs" dxfId="365" priority="5839" stopIfTrue="1" operator="between">
      <formula>"Hưu"</formula>
      <formula>"Hưu"</formula>
    </cfRule>
    <cfRule type="cellIs" dxfId="364" priority="5840" stopIfTrue="1" operator="between">
      <formula>"---"</formula>
      <formula>"---"</formula>
    </cfRule>
    <cfRule type="cellIs" dxfId="363" priority="5841" stopIfTrue="1" operator="between">
      <formula>"Quá"</formula>
      <formula>"Quá"</formula>
    </cfRule>
  </conditionalFormatting>
  <conditionalFormatting sqref="BD58 BD40 BD17:BD38">
    <cfRule type="cellIs" dxfId="362" priority="5838" stopIfTrue="1" operator="between">
      <formula>4</formula>
      <formula>4</formula>
    </cfRule>
  </conditionalFormatting>
  <conditionalFormatting sqref="BC58 BC40 BC17:BC38">
    <cfRule type="expression" dxfId="361" priority="5836" stopIfTrue="1">
      <formula>IF(BC17="Đến %",1,0)</formula>
    </cfRule>
    <cfRule type="expression" dxfId="360" priority="5837" stopIfTrue="1">
      <formula>IF(BC17="Dừng %",1,0)</formula>
    </cfRule>
  </conditionalFormatting>
  <conditionalFormatting sqref="BU58 BU40 BU17:BU38">
    <cfRule type="cellIs" dxfId="359" priority="5835" stopIfTrue="1" operator="between">
      <formula>0</formula>
      <formula>13</formula>
    </cfRule>
  </conditionalFormatting>
  <conditionalFormatting sqref="EA58 EA40 EA17:EA38">
    <cfRule type="expression" dxfId="358" priority="5834" stopIfTrue="1">
      <formula>IF(EA17="Sửa",1,0)</formula>
    </cfRule>
  </conditionalFormatting>
  <conditionalFormatting sqref="BQ58 BQ17:BQ38 BQ40:BQ41">
    <cfRule type="expression" dxfId="357" priority="5833" stopIfTrue="1">
      <formula>IF(AND(BV17=0,OR($AA$4-BQ17&gt;BV17,$AA$4-BQ17&lt;BV17)),1,0)</formula>
    </cfRule>
  </conditionalFormatting>
  <conditionalFormatting sqref="BK58 BK17:BK38 BK40:BK41">
    <cfRule type="expression" dxfId="356" priority="5832" stopIfTrue="1">
      <formula>IF(AND(BV17=0,BK17&gt;0),1,0)</formula>
    </cfRule>
  </conditionalFormatting>
  <conditionalFormatting sqref="BG58:BH58 BG17:BH38 BG40:BH41">
    <cfRule type="expression" dxfId="355" priority="5831" stopIfTrue="1">
      <formula>IF(AND(BP17=0,OR($AA$4-BG17&gt;BP17,$AA$4-BG17&lt;BP17)),1,0)</formula>
    </cfRule>
  </conditionalFormatting>
  <conditionalFormatting sqref="BO58 BO17:BO38 BO40:BO41">
    <cfRule type="expression" dxfId="354" priority="5830" stopIfTrue="1">
      <formula>IF(AND(BL17=0,OR($AA$4-BO17&gt;BL17,$AA$4-BO17&lt;BL17)),1,0)</formula>
    </cfRule>
  </conditionalFormatting>
  <conditionalFormatting sqref="C58 C17:C38 C40:C41">
    <cfRule type="expression" dxfId="353" priority="5827" stopIfTrue="1">
      <formula>IF(CV17="Hưu",1,0)</formula>
    </cfRule>
    <cfRule type="expression" dxfId="352" priority="5828" stopIfTrue="1">
      <formula>IF(CV17="Quá",1,0)</formula>
    </cfRule>
    <cfRule type="expression" dxfId="351" priority="5829" stopIfTrue="1">
      <formula>IF(BA17="Lùi",1,0)</formula>
    </cfRule>
  </conditionalFormatting>
  <conditionalFormatting sqref="A58 A17:A38 A40:A41">
    <cfRule type="expression" dxfId="350" priority="5824" stopIfTrue="1">
      <formula>IF(CT17="Hưu",1,0)</formula>
    </cfRule>
    <cfRule type="expression" dxfId="349" priority="5825" stopIfTrue="1">
      <formula>IF(CT17="Quá",1,0)</formula>
    </cfRule>
    <cfRule type="expression" dxfId="348" priority="5826" stopIfTrue="1">
      <formula>IF(AK17="Lùi",1,0)</formula>
    </cfRule>
  </conditionalFormatting>
  <conditionalFormatting sqref="AV64:AV85 AJ64:AJ85">
    <cfRule type="expression" dxfId="347" priority="261" stopIfTrue="1">
      <formula>IF(AND(AQ64=0,OR($AA$4-AJ64&gt;0,O$4-AJ64&lt;0)),1,0)</formula>
    </cfRule>
  </conditionalFormatting>
  <conditionalFormatting sqref="R77:R78 DW77:DW78">
    <cfRule type="expression" dxfId="346" priority="324" stopIfTrue="1">
      <formula>IF(Q77=0,1,0)</formula>
    </cfRule>
  </conditionalFormatting>
  <conditionalFormatting sqref="O64:O85">
    <cfRule type="expression" dxfId="345" priority="323" stopIfTrue="1">
      <formula>IF(P64=0,1,0)</formula>
    </cfRule>
  </conditionalFormatting>
  <conditionalFormatting sqref="E81:E83 E85 E64:E66 E71:E78">
    <cfRule type="expression" dxfId="344" priority="321" stopIfTrue="1">
      <formula>IF(CW64="Hưu",1,0)</formula>
    </cfRule>
    <cfRule type="expression" dxfId="343" priority="322" stopIfTrue="1">
      <formula>IF(CW64="Quá",1,0)</formula>
    </cfRule>
  </conditionalFormatting>
  <conditionalFormatting sqref="DO84:DO85 DO76:DO80 DO64:DO74">
    <cfRule type="expression" dxfId="342" priority="318" stopIfTrue="1">
      <formula>IF(FI64="Hưu",1,0)</formula>
    </cfRule>
    <cfRule type="expression" dxfId="341" priority="319" stopIfTrue="1">
      <formula>IF(FI64="Quá",1,0)</formula>
    </cfRule>
    <cfRule type="expression" dxfId="340" priority="320" stopIfTrue="1">
      <formula>IF(EQ64="Lùi",1,0)</formula>
    </cfRule>
  </conditionalFormatting>
  <conditionalFormatting sqref="DV81:DV83 DV85 DV79 DV64:DV67 DV71:DV76">
    <cfRule type="expression" dxfId="339" priority="316" stopIfTrue="1">
      <formula>IF(FN64="Hưu",1,0)</formula>
    </cfRule>
    <cfRule type="expression" dxfId="338" priority="317" stopIfTrue="1">
      <formula>IF(FN64="Quá",1,0)</formula>
    </cfRule>
  </conditionalFormatting>
  <conditionalFormatting sqref="AB80:AB84 AB71:AB78">
    <cfRule type="cellIs" dxfId="337" priority="313" stopIfTrue="1" operator="between">
      <formula>0</formula>
      <formula>0</formula>
    </cfRule>
    <cfRule type="expression" dxfId="336" priority="314" stopIfTrue="1">
      <formula>IF(AND(AD71&gt;AB71,AB71&gt;0),1,0)</formula>
    </cfRule>
    <cfRule type="expression" dxfId="335" priority="315" stopIfTrue="1">
      <formula>IF(AD71&lt;AB71,1,0)</formula>
    </cfRule>
  </conditionalFormatting>
  <conditionalFormatting sqref="CV64:CV65 CV77:CV85 CV67:CV75">
    <cfRule type="cellIs" dxfId="334" priority="310" stopIfTrue="1" operator="between">
      <formula>"Hưu"</formula>
      <formula>"Hưu"</formula>
    </cfRule>
    <cfRule type="cellIs" dxfId="333" priority="311" stopIfTrue="1" operator="between">
      <formula>"---"</formula>
      <formula>"---"</formula>
    </cfRule>
    <cfRule type="cellIs" dxfId="332" priority="312" stopIfTrue="1" operator="between">
      <formula>"Quá"</formula>
      <formula>"Quá"</formula>
    </cfRule>
  </conditionalFormatting>
  <conditionalFormatting sqref="BG77:BG78 BG65 BG80:BG84 BG68:BG75">
    <cfRule type="cellIs" dxfId="331" priority="309" stopIfTrue="1" operator="between">
      <formula>4</formula>
      <formula>4</formula>
    </cfRule>
  </conditionalFormatting>
  <conditionalFormatting sqref="BF64:BF65 BF77:BF85 BF67:BF75">
    <cfRule type="expression" dxfId="330" priority="307" stopIfTrue="1">
      <formula>IF(BF64="Đến %",1,0)</formula>
    </cfRule>
    <cfRule type="expression" dxfId="329" priority="308" stopIfTrue="1">
      <formula>IF(BF64="Dừng %",1,0)</formula>
    </cfRule>
  </conditionalFormatting>
  <conditionalFormatting sqref="AA65 AA77:AA85 AA67:AA75">
    <cfRule type="cellIs" dxfId="328" priority="305" stopIfTrue="1" operator="between">
      <formula>"Đến $"</formula>
      <formula>"Đến $"</formula>
    </cfRule>
    <cfRule type="cellIs" dxfId="327" priority="306" stopIfTrue="1" operator="between">
      <formula>"Dừng $"</formula>
      <formula>"Dừng $"</formula>
    </cfRule>
  </conditionalFormatting>
  <conditionalFormatting sqref="BX64:BX85">
    <cfRule type="cellIs" dxfId="326" priority="304" stopIfTrue="1" operator="between">
      <formula>0</formula>
      <formula>13</formula>
    </cfRule>
  </conditionalFormatting>
  <conditionalFormatting sqref="AM64:AM85">
    <cfRule type="expression" dxfId="325" priority="303" stopIfTrue="1">
      <formula>IF(AND(BC64=0,AM64&gt;0),1,0)</formula>
    </cfRule>
  </conditionalFormatting>
  <conditionalFormatting sqref="EF64:EF65 EF77:EF85 EF67:EF75">
    <cfRule type="expression" dxfId="324" priority="302" stopIfTrue="1">
      <formula>IF(EF64="Sửa",1,0)</formula>
    </cfRule>
  </conditionalFormatting>
  <conditionalFormatting sqref="N64:N65 N77:N85 N67:N75">
    <cfRule type="cellIs" dxfId="323" priority="301" stopIfTrue="1" operator="between">
      <formula>"Ko hạn"</formula>
      <formula>"Ko hạn"</formula>
    </cfRule>
  </conditionalFormatting>
  <conditionalFormatting sqref="BT64:BT85">
    <cfRule type="expression" dxfId="322" priority="300" stopIfTrue="1">
      <formula>IF(AND(BY64=0,OR($AA$4-BT64&gt;BY64,$AA$4-BT64&lt;BY64)),1,0)</formula>
    </cfRule>
  </conditionalFormatting>
  <conditionalFormatting sqref="BN64:BN85">
    <cfRule type="expression" dxfId="321" priority="299" stopIfTrue="1">
      <formula>IF(AND(BY64=0,BN64&gt;0),1,0)</formula>
    </cfRule>
  </conditionalFormatting>
  <conditionalFormatting sqref="CV66">
    <cfRule type="cellIs" dxfId="320" priority="296" stopIfTrue="1" operator="between">
      <formula>"Hưu"</formula>
      <formula>"Hưu"</formula>
    </cfRule>
    <cfRule type="cellIs" dxfId="319" priority="297" stopIfTrue="1" operator="between">
      <formula>"---"</formula>
      <formula>"---"</formula>
    </cfRule>
    <cfRule type="cellIs" dxfId="318" priority="298" stopIfTrue="1" operator="between">
      <formula>"Quá"</formula>
      <formula>"Quá"</formula>
    </cfRule>
  </conditionalFormatting>
  <conditionalFormatting sqref="BG66">
    <cfRule type="cellIs" dxfId="317" priority="295" stopIfTrue="1" operator="between">
      <formula>4</formula>
      <formula>4</formula>
    </cfRule>
  </conditionalFormatting>
  <conditionalFormatting sqref="BF66">
    <cfRule type="expression" dxfId="316" priority="293" stopIfTrue="1">
      <formula>IF(BF66="Đến %",1,0)</formula>
    </cfRule>
    <cfRule type="expression" dxfId="315" priority="294" stopIfTrue="1">
      <formula>IF(BF66="Dừng %",1,0)</formula>
    </cfRule>
  </conditionalFormatting>
  <conditionalFormatting sqref="AA66">
    <cfRule type="cellIs" dxfId="314" priority="291" stopIfTrue="1" operator="between">
      <formula>"Đến $"</formula>
      <formula>"Đến $"</formula>
    </cfRule>
    <cfRule type="cellIs" dxfId="313" priority="292" stopIfTrue="1" operator="between">
      <formula>"Dừng $"</formula>
      <formula>"Dừng $"</formula>
    </cfRule>
  </conditionalFormatting>
  <conditionalFormatting sqref="EF66">
    <cfRule type="expression" dxfId="312" priority="290" stopIfTrue="1">
      <formula>IF(EF66="Sửa",1,0)</formula>
    </cfRule>
  </conditionalFormatting>
  <conditionalFormatting sqref="N66">
    <cfRule type="cellIs" dxfId="311" priority="289" stopIfTrue="1" operator="between">
      <formula>"Ko hạn"</formula>
      <formula>"Ko hạn"</formula>
    </cfRule>
  </conditionalFormatting>
  <conditionalFormatting sqref="CV76">
    <cfRule type="cellIs" dxfId="310" priority="286" stopIfTrue="1" operator="between">
      <formula>"Hưu"</formula>
      <formula>"Hưu"</formula>
    </cfRule>
    <cfRule type="cellIs" dxfId="309" priority="287" stopIfTrue="1" operator="between">
      <formula>"---"</formula>
      <formula>"---"</formula>
    </cfRule>
    <cfRule type="cellIs" dxfId="308" priority="288" stopIfTrue="1" operator="between">
      <formula>"Quá"</formula>
      <formula>"Quá"</formula>
    </cfRule>
  </conditionalFormatting>
  <conditionalFormatting sqref="BG76">
    <cfRule type="cellIs" dxfId="307" priority="285" stopIfTrue="1" operator="between">
      <formula>4</formula>
      <formula>4</formula>
    </cfRule>
  </conditionalFormatting>
  <conditionalFormatting sqref="BF76">
    <cfRule type="expression" dxfId="306" priority="283" stopIfTrue="1">
      <formula>IF(BF76="Đến %",1,0)</formula>
    </cfRule>
    <cfRule type="expression" dxfId="305" priority="284" stopIfTrue="1">
      <formula>IF(BF76="Dừng %",1,0)</formula>
    </cfRule>
  </conditionalFormatting>
  <conditionalFormatting sqref="AA76">
    <cfRule type="cellIs" dxfId="304" priority="281" stopIfTrue="1" operator="between">
      <formula>"Đến $"</formula>
      <formula>"Đến $"</formula>
    </cfRule>
    <cfRule type="cellIs" dxfId="303" priority="282" stopIfTrue="1" operator="between">
      <formula>"Dừng $"</formula>
      <formula>"Dừng $"</formula>
    </cfRule>
  </conditionalFormatting>
  <conditionalFormatting sqref="EF76">
    <cfRule type="expression" dxfId="302" priority="280" stopIfTrue="1">
      <formula>IF(EF76="Sửa",1,0)</formula>
    </cfRule>
  </conditionalFormatting>
  <conditionalFormatting sqref="N76">
    <cfRule type="cellIs" dxfId="301" priority="279" stopIfTrue="1" operator="between">
      <formula>"Ko hạn"</formula>
      <formula>"Ko hạn"</formula>
    </cfRule>
  </conditionalFormatting>
  <conditionalFormatting sqref="AA64">
    <cfRule type="cellIs" dxfId="300" priority="277" stopIfTrue="1" operator="between">
      <formula>"Đến $"</formula>
      <formula>"Đến $"</formula>
    </cfRule>
    <cfRule type="cellIs" dxfId="299" priority="278" stopIfTrue="1" operator="between">
      <formula>"Dừng $"</formula>
      <formula>"Dừng $"</formula>
    </cfRule>
  </conditionalFormatting>
  <conditionalFormatting sqref="Q65:Q85">
    <cfRule type="expression" dxfId="298" priority="276">
      <formula>IF(P65=0,1,0)</formula>
    </cfRule>
  </conditionalFormatting>
  <conditionalFormatting sqref="Q64">
    <cfRule type="expression" dxfId="297" priority="275">
      <formula>IF(P64=0,1,0)</formula>
    </cfRule>
  </conditionalFormatting>
  <conditionalFormatting sqref="BI69:BI70 BJ65 BK64:BK65 BI81:BI82 BI65:BI67 BI72:BI74 BJ66:BK85">
    <cfRule type="expression" dxfId="296" priority="274" stopIfTrue="1">
      <formula>IF(AND(BR64=0,OR($AA$4-BI64&gt;BR64,$AA$4-BI64&lt;BR64)),1,0)</formula>
    </cfRule>
  </conditionalFormatting>
  <conditionalFormatting sqref="BR65:BR85">
    <cfRule type="expression" dxfId="295" priority="272" stopIfTrue="1">
      <formula>IF(AND(BO65=0,OR($AA$4-BR65&gt;BO65,$AA$4-BR65&lt;BO65)),1,0)</formula>
    </cfRule>
  </conditionalFormatting>
  <conditionalFormatting sqref="C64:C85">
    <cfRule type="expression" dxfId="294" priority="269" stopIfTrue="1">
      <formula>IF(CY64="Hưu",1,0)</formula>
    </cfRule>
    <cfRule type="expression" dxfId="293" priority="270" stopIfTrue="1">
      <formula>IF(CY64="Quá",1,0)</formula>
    </cfRule>
    <cfRule type="expression" dxfId="292" priority="271" stopIfTrue="1">
      <formula>IF(BD64="Lùi",1,0)</formula>
    </cfRule>
  </conditionalFormatting>
  <conditionalFormatting sqref="A64:A85">
    <cfRule type="expression" dxfId="291" priority="266" stopIfTrue="1">
      <formula>IF(CW64="Hưu",1,0)</formula>
    </cfRule>
    <cfRule type="expression" dxfId="290" priority="267" stopIfTrue="1">
      <formula>IF(CW64="Quá",1,0)</formula>
    </cfRule>
    <cfRule type="expression" dxfId="289" priority="268" stopIfTrue="1">
      <formula>IF(AM64="Lùi",1,0)</formula>
    </cfRule>
  </conditionalFormatting>
  <conditionalFormatting sqref="AG64:AG65 AG79:AG85 AG67:AG69 AG71:AG76">
    <cfRule type="cellIs" dxfId="288" priority="264" stopIfTrue="1" operator="between">
      <formula>"%"</formula>
      <formula>"%"</formula>
    </cfRule>
    <cfRule type="expression" dxfId="287" priority="265" stopIfTrue="1">
      <formula>IF(AF64=AQ64,1,0)</formula>
    </cfRule>
  </conditionalFormatting>
  <conditionalFormatting sqref="AG77:AG78">
    <cfRule type="cellIs" dxfId="286" priority="262" stopIfTrue="1" operator="between">
      <formula>"%"</formula>
      <formula>"%"</formula>
    </cfRule>
    <cfRule type="expression" dxfId="285" priority="263" stopIfTrue="1">
      <formula>IF(AF77=AR77,1,0)</formula>
    </cfRule>
  </conditionalFormatting>
  <conditionalFormatting sqref="DI39 BH39">
    <cfRule type="cellIs" dxfId="284" priority="149" stopIfTrue="1" operator="between">
      <formula>"Hưu"</formula>
      <formula>"Hưu"</formula>
    </cfRule>
    <cfRule type="cellIs" dxfId="283" priority="150" stopIfTrue="1" operator="between">
      <formula>"---"</formula>
      <formula>"---"</formula>
    </cfRule>
    <cfRule type="cellIs" dxfId="282" priority="151" stopIfTrue="1" operator="between">
      <formula>"Quá"</formula>
      <formula>"Quá"</formula>
    </cfRule>
  </conditionalFormatting>
  <conditionalFormatting sqref="AZ39 CZ39">
    <cfRule type="cellIs" dxfId="281" priority="147" stopIfTrue="1" operator="between">
      <formula>"Đến"</formula>
      <formula>"Đến"</formula>
    </cfRule>
    <cfRule type="cellIs" dxfId="280" priority="148" stopIfTrue="1" operator="between">
      <formula>"Quá"</formula>
      <formula>"Quá"</formula>
    </cfRule>
  </conditionalFormatting>
  <conditionalFormatting sqref="BP39">
    <cfRule type="expression" dxfId="279" priority="144" stopIfTrue="1">
      <formula>IF(AND(#REF!&gt;0,#REF!&lt;5),1,0)</formula>
    </cfRule>
    <cfRule type="expression" dxfId="278" priority="145" stopIfTrue="1">
      <formula>IF(#REF!=5,1,0)</formula>
    </cfRule>
    <cfRule type="expression" dxfId="277" priority="146" stopIfTrue="1">
      <formula>IF(#REF!&gt;5,1,0)</formula>
    </cfRule>
  </conditionalFormatting>
  <conditionalFormatting sqref="A39">
    <cfRule type="expression" dxfId="276" priority="142" stopIfTrue="1">
      <formula>IF(#REF!="Hưu",1,0)</formula>
    </cfRule>
    <cfRule type="expression" dxfId="275" priority="143" stopIfTrue="1">
      <formula>IF(#REF!="Quá",1,0)</formula>
    </cfRule>
  </conditionalFormatting>
  <conditionalFormatting sqref="BC39">
    <cfRule type="expression" dxfId="274" priority="140" stopIfTrue="1">
      <formula>IF(#REF!&gt;0,1,0)</formula>
    </cfRule>
    <cfRule type="expression" dxfId="273" priority="141" stopIfTrue="1">
      <formula>IF(#REF!=0,1,0)</formula>
    </cfRule>
  </conditionalFormatting>
  <conditionalFormatting sqref="AZ39">
    <cfRule type="expression" dxfId="272" priority="139" stopIfTrue="1">
      <formula>IF(OR(#REF!="Lương Sớm Hưu",#REF!="Nâng Ngạch Hưu"),1,0)</formula>
    </cfRule>
  </conditionalFormatting>
  <conditionalFormatting sqref="BG39">
    <cfRule type="expression" dxfId="271" priority="136" stopIfTrue="1">
      <formula>IF(#REF!="Nâg Ngạch sau TB",1,0)</formula>
    </cfRule>
    <cfRule type="expression" dxfId="270" priority="137" stopIfTrue="1">
      <formula>IF(#REF!="Nâg Lươg Sớm sau TB",1,0)</formula>
    </cfRule>
    <cfRule type="expression" dxfId="269" priority="138" stopIfTrue="1">
      <formula>IF(#REF!="Nâg PC TNVK cùng QĐ",1,0)</formula>
    </cfRule>
  </conditionalFormatting>
  <conditionalFormatting sqref="DC39">
    <cfRule type="expression" dxfId="268" priority="134" stopIfTrue="1">
      <formula>IF(#REF!&gt;0,1,0)</formula>
    </cfRule>
    <cfRule type="expression" dxfId="267" priority="135" stopIfTrue="1">
      <formula>IF(#REF!=0,1,0)</formula>
    </cfRule>
  </conditionalFormatting>
  <conditionalFormatting sqref="CZ39">
    <cfRule type="expression" dxfId="266" priority="133" stopIfTrue="1">
      <formula>IF(OR(#REF!="Lương Sớm Hưu",#REF!="Nâng Ngạch Hưu"),1,0)</formula>
    </cfRule>
  </conditionalFormatting>
  <conditionalFormatting sqref="DH39">
    <cfRule type="expression" dxfId="265" priority="130" stopIfTrue="1">
      <formula>IF(#REF!="Nâg Ngạch sau TB",1,0)</formula>
    </cfRule>
    <cfRule type="expression" dxfId="264" priority="131" stopIfTrue="1">
      <formula>IF(#REF!="Nâg Lươg Sớm sau TB",1,0)</formula>
    </cfRule>
    <cfRule type="expression" dxfId="263" priority="132" stopIfTrue="1">
      <formula>IF(#REF!="Nâg PC TNVK cùng QĐ",1,0)</formula>
    </cfRule>
  </conditionalFormatting>
  <conditionalFormatting sqref="DL39">
    <cfRule type="expression" dxfId="262" priority="127" stopIfTrue="1">
      <formula>IF(FD39="Hưu",1,0)</formula>
    </cfRule>
    <cfRule type="expression" dxfId="261" priority="128" stopIfTrue="1">
      <formula>IF(FD39="Quá",1,0)</formula>
    </cfRule>
    <cfRule type="expression" dxfId="260" priority="129" stopIfTrue="1">
      <formula>IF(EL39="Lùi",1,0)</formula>
    </cfRule>
  </conditionalFormatting>
  <conditionalFormatting sqref="DS39">
    <cfRule type="expression" dxfId="259" priority="125" stopIfTrue="1">
      <formula>IF(FI39="Hưu",1,0)</formula>
    </cfRule>
    <cfRule type="expression" dxfId="258" priority="126" stopIfTrue="1">
      <formula>IF(FI39="Quá",1,0)</formula>
    </cfRule>
  </conditionalFormatting>
  <conditionalFormatting sqref="CS39">
    <cfRule type="cellIs" dxfId="257" priority="122" stopIfTrue="1" operator="between">
      <formula>"Hưu"</formula>
      <formula>"Hưu"</formula>
    </cfRule>
    <cfRule type="cellIs" dxfId="256" priority="123" stopIfTrue="1" operator="between">
      <formula>"---"</formula>
      <formula>"---"</formula>
    </cfRule>
    <cfRule type="cellIs" dxfId="255" priority="124" stopIfTrue="1" operator="between">
      <formula>"Quá"</formula>
      <formula>"Quá"</formula>
    </cfRule>
  </conditionalFormatting>
  <conditionalFormatting sqref="BD39">
    <cfRule type="cellIs" dxfId="254" priority="121" stopIfTrue="1" operator="between">
      <formula>4</formula>
      <formula>4</formula>
    </cfRule>
  </conditionalFormatting>
  <conditionalFormatting sqref="BC39">
    <cfRule type="expression" dxfId="253" priority="119" stopIfTrue="1">
      <formula>IF(BC39="Đến %",1,0)</formula>
    </cfRule>
    <cfRule type="expression" dxfId="252" priority="120" stopIfTrue="1">
      <formula>IF(BC39="Dừng %",1,0)</formula>
    </cfRule>
  </conditionalFormatting>
  <conditionalFormatting sqref="BU39">
    <cfRule type="cellIs" dxfId="251" priority="118" stopIfTrue="1" operator="between">
      <formula>0</formula>
      <formula>13</formula>
    </cfRule>
  </conditionalFormatting>
  <conditionalFormatting sqref="EA39">
    <cfRule type="expression" dxfId="250" priority="117" stopIfTrue="1">
      <formula>IF(EA39="Sửa",1,0)</formula>
    </cfRule>
  </conditionalFormatting>
  <conditionalFormatting sqref="BQ39">
    <cfRule type="expression" dxfId="249" priority="116" stopIfTrue="1">
      <formula>IF(AND(BV39=0,OR($AA$4-BQ39&gt;BV39,$AA$4-BQ39&lt;BV39)),1,0)</formula>
    </cfRule>
  </conditionalFormatting>
  <conditionalFormatting sqref="BK39">
    <cfRule type="expression" dxfId="248" priority="115" stopIfTrue="1">
      <formula>IF(AND(BV39=0,BK39&gt;0),1,0)</formula>
    </cfRule>
  </conditionalFormatting>
  <conditionalFormatting sqref="BG39:BH39">
    <cfRule type="expression" dxfId="247" priority="114" stopIfTrue="1">
      <formula>IF(AND(BP39=0,OR($AA$4-BG39&gt;BP39,$AA$4-BG39&lt;BP39)),1,0)</formula>
    </cfRule>
  </conditionalFormatting>
  <conditionalFormatting sqref="BO39">
    <cfRule type="expression" dxfId="246" priority="113" stopIfTrue="1">
      <formula>IF(AND(BL39=0,OR($AA$4-BO39&gt;BL39,$AA$4-BO39&lt;BL39)),1,0)</formula>
    </cfRule>
  </conditionalFormatting>
  <conditionalFormatting sqref="C39">
    <cfRule type="expression" dxfId="245" priority="110" stopIfTrue="1">
      <formula>IF(CV39="Hưu",1,0)</formula>
    </cfRule>
    <cfRule type="expression" dxfId="244" priority="111" stopIfTrue="1">
      <formula>IF(CV39="Quá",1,0)</formula>
    </cfRule>
    <cfRule type="expression" dxfId="243" priority="112" stopIfTrue="1">
      <formula>IF(BA39="Lùi",1,0)</formula>
    </cfRule>
  </conditionalFormatting>
  <conditionalFormatting sqref="A39">
    <cfRule type="expression" dxfId="242" priority="107" stopIfTrue="1">
      <formula>IF(CT39="Hưu",1,0)</formula>
    </cfRule>
    <cfRule type="expression" dxfId="241" priority="108" stopIfTrue="1">
      <formula>IF(CT39="Quá",1,0)</formula>
    </cfRule>
    <cfRule type="expression" dxfId="240" priority="109" stopIfTrue="1">
      <formula>IF(AK39="Lùi",1,0)</formula>
    </cfRule>
  </conditionalFormatting>
  <conditionalFormatting sqref="DI41 BH41">
    <cfRule type="cellIs" dxfId="239" priority="43" stopIfTrue="1" operator="between">
      <formula>"Hưu"</formula>
      <formula>"Hưu"</formula>
    </cfRule>
    <cfRule type="cellIs" dxfId="238" priority="44" stopIfTrue="1" operator="between">
      <formula>"---"</formula>
      <formula>"---"</formula>
    </cfRule>
    <cfRule type="cellIs" dxfId="237" priority="45" stopIfTrue="1" operator="between">
      <formula>"Quá"</formula>
      <formula>"Quá"</formula>
    </cfRule>
  </conditionalFormatting>
  <conditionalFormatting sqref="AZ41 CZ41">
    <cfRule type="cellIs" dxfId="236" priority="41" stopIfTrue="1" operator="between">
      <formula>"Đến"</formula>
      <formula>"Đến"</formula>
    </cfRule>
    <cfRule type="cellIs" dxfId="235" priority="42" stopIfTrue="1" operator="between">
      <formula>"Quá"</formula>
      <formula>"Quá"</formula>
    </cfRule>
  </conditionalFormatting>
  <conditionalFormatting sqref="BP41">
    <cfRule type="expression" dxfId="234" priority="38" stopIfTrue="1">
      <formula>IF(AND(#REF!&gt;0,#REF!&lt;5),1,0)</formula>
    </cfRule>
    <cfRule type="expression" dxfId="233" priority="39" stopIfTrue="1">
      <formula>IF(#REF!=5,1,0)</formula>
    </cfRule>
    <cfRule type="expression" dxfId="232" priority="40" stopIfTrue="1">
      <formula>IF(#REF!&gt;5,1,0)</formula>
    </cfRule>
  </conditionalFormatting>
  <conditionalFormatting sqref="A41">
    <cfRule type="expression" dxfId="231" priority="36" stopIfTrue="1">
      <formula>IF(#REF!="Hưu",1,0)</formula>
    </cfRule>
    <cfRule type="expression" dxfId="230" priority="37" stopIfTrue="1">
      <formula>IF(#REF!="Quá",1,0)</formula>
    </cfRule>
  </conditionalFormatting>
  <conditionalFormatting sqref="BC41">
    <cfRule type="expression" dxfId="229" priority="34" stopIfTrue="1">
      <formula>IF(#REF!&gt;0,1,0)</formula>
    </cfRule>
    <cfRule type="expression" dxfId="228" priority="35" stopIfTrue="1">
      <formula>IF(#REF!=0,1,0)</formula>
    </cfRule>
  </conditionalFormatting>
  <conditionalFormatting sqref="AZ41">
    <cfRule type="expression" dxfId="227" priority="33" stopIfTrue="1">
      <formula>IF(OR(#REF!="Lương Sớm Hưu",#REF!="Nâng Ngạch Hưu"),1,0)</formula>
    </cfRule>
  </conditionalFormatting>
  <conditionalFormatting sqref="BG41">
    <cfRule type="expression" dxfId="226" priority="30" stopIfTrue="1">
      <formula>IF(#REF!="Nâg Ngạch sau TB",1,0)</formula>
    </cfRule>
    <cfRule type="expression" dxfId="225" priority="31" stopIfTrue="1">
      <formula>IF(#REF!="Nâg Lươg Sớm sau TB",1,0)</formula>
    </cfRule>
    <cfRule type="expression" dxfId="224" priority="32" stopIfTrue="1">
      <formula>IF(#REF!="Nâg PC TNVK cùng QĐ",1,0)</formula>
    </cfRule>
  </conditionalFormatting>
  <conditionalFormatting sqref="DC41">
    <cfRule type="expression" dxfId="223" priority="28" stopIfTrue="1">
      <formula>IF(#REF!&gt;0,1,0)</formula>
    </cfRule>
    <cfRule type="expression" dxfId="222" priority="29" stopIfTrue="1">
      <formula>IF(#REF!=0,1,0)</formula>
    </cfRule>
  </conditionalFormatting>
  <conditionalFormatting sqref="CZ41">
    <cfRule type="expression" dxfId="221" priority="27" stopIfTrue="1">
      <formula>IF(OR(#REF!="Lương Sớm Hưu",#REF!="Nâng Ngạch Hưu"),1,0)</formula>
    </cfRule>
  </conditionalFormatting>
  <conditionalFormatting sqref="DH41">
    <cfRule type="expression" dxfId="220" priority="24" stopIfTrue="1">
      <formula>IF(#REF!="Nâg Ngạch sau TB",1,0)</formula>
    </cfRule>
    <cfRule type="expression" dxfId="219" priority="25" stopIfTrue="1">
      <formula>IF(#REF!="Nâg Lươg Sớm sau TB",1,0)</formula>
    </cfRule>
    <cfRule type="expression" dxfId="218" priority="26" stopIfTrue="1">
      <formula>IF(#REF!="Nâg PC TNVK cùng QĐ",1,0)</formula>
    </cfRule>
  </conditionalFormatting>
  <conditionalFormatting sqref="CS41">
    <cfRule type="cellIs" dxfId="217" priority="16" stopIfTrue="1" operator="between">
      <formula>"Hưu"</formula>
      <formula>"Hưu"</formula>
    </cfRule>
    <cfRule type="cellIs" dxfId="216" priority="17" stopIfTrue="1" operator="between">
      <formula>"---"</formula>
      <formula>"---"</formula>
    </cfRule>
    <cfRule type="cellIs" dxfId="215" priority="18" stopIfTrue="1" operator="between">
      <formula>"Quá"</formula>
      <formula>"Quá"</formula>
    </cfRule>
  </conditionalFormatting>
  <conditionalFormatting sqref="BD41">
    <cfRule type="cellIs" dxfId="214" priority="15" stopIfTrue="1" operator="between">
      <formula>4</formula>
      <formula>4</formula>
    </cfRule>
  </conditionalFormatting>
  <conditionalFormatting sqref="BC41">
    <cfRule type="expression" dxfId="213" priority="13" stopIfTrue="1">
      <formula>IF(BC41="Đến %",1,0)</formula>
    </cfRule>
    <cfRule type="expression" dxfId="212" priority="14" stopIfTrue="1">
      <formula>IF(BC41="Dừng %",1,0)</formula>
    </cfRule>
  </conditionalFormatting>
  <conditionalFormatting sqref="BU41">
    <cfRule type="cellIs" dxfId="211" priority="12" stopIfTrue="1" operator="between">
      <formula>0</formula>
      <formula>13</formula>
    </cfRule>
  </conditionalFormatting>
  <conditionalFormatting sqref="EA41">
    <cfRule type="expression" dxfId="210" priority="11" stopIfTrue="1">
      <formula>IF(EA41="Sửa",1,0)</formula>
    </cfRule>
  </conditionalFormatting>
  <pageMargins left="0.43307086614173201" right="0.27559055118110198" top="0.39370078740157499" bottom="0.35433070866141703" header="0.15748031496063" footer="0.15748031496063"/>
  <pageSetup paperSize="9" orientation="landscape" r:id="rId1"/>
  <headerFooter alignWithMargins="0">
    <oddHeader>&amp;R&amp;"Arial,Bold"&amp;14&amp;UBIỂU 1- TB</oddHead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S84"/>
  <sheetViews>
    <sheetView showGridLines="0" tabSelected="1" showRuler="0" topLeftCell="B7" zoomScaleNormal="100" zoomScaleSheetLayoutView="110" zoomScalePageLayoutView="85" workbookViewId="0">
      <selection activeCell="BG9" sqref="BG9"/>
    </sheetView>
  </sheetViews>
  <sheetFormatPr defaultColWidth="9.140625" defaultRowHeight="12.75" x14ac:dyDescent="0.2"/>
  <cols>
    <col min="1" max="1" width="0.85546875" style="461" hidden="1" customWidth="1"/>
    <col min="2" max="2" width="4.5703125" style="461" customWidth="1"/>
    <col min="3" max="3" width="0.140625" style="461" hidden="1" customWidth="1"/>
    <col min="4" max="4" width="5.85546875" style="461" hidden="1" customWidth="1"/>
    <col min="5" max="5" width="16.7109375" style="461" customWidth="1"/>
    <col min="6" max="6" width="4.85546875" style="461" customWidth="1"/>
    <col min="7" max="7" width="2.85546875" style="461" hidden="1" customWidth="1"/>
    <col min="8" max="8" width="4.7109375" style="461" hidden="1" customWidth="1"/>
    <col min="9" max="9" width="3" style="461" hidden="1" customWidth="1"/>
    <col min="10" max="10" width="3.140625" style="461" hidden="1" customWidth="1"/>
    <col min="11" max="11" width="2.5703125" style="461" hidden="1" customWidth="1"/>
    <col min="12" max="14" width="2.5703125" style="520" hidden="1" customWidth="1"/>
    <col min="15" max="15" width="3.7109375" style="461" hidden="1" customWidth="1"/>
    <col min="16" max="17" width="4" style="461" hidden="1" customWidth="1"/>
    <col min="18" max="18" width="0.7109375" style="280" customWidth="1"/>
    <col min="19" max="19" width="29.140625" style="299" customWidth="1"/>
    <col min="20" max="20" width="1.85546875" style="461" hidden="1" customWidth="1"/>
    <col min="21" max="21" width="4.5703125" style="461" hidden="1" customWidth="1"/>
    <col min="22" max="22" width="0.85546875" style="461" hidden="1" customWidth="1"/>
    <col min="23" max="23" width="15.28515625" style="883" customWidth="1"/>
    <col min="24" max="24" width="10" style="836" customWidth="1"/>
    <col min="25" max="25" width="17.28515625" style="461" hidden="1" customWidth="1"/>
    <col min="26" max="26" width="8.85546875" style="461" hidden="1" customWidth="1"/>
    <col min="27" max="27" width="6" style="461" hidden="1" customWidth="1"/>
    <col min="28" max="28" width="3.42578125" style="461" hidden="1" customWidth="1"/>
    <col min="29" max="29" width="1.42578125" style="461" hidden="1" customWidth="1"/>
    <col min="30" max="30" width="3.7109375" style="461" hidden="1" customWidth="1"/>
    <col min="31" max="37" width="5.85546875" style="463" hidden="1" customWidth="1"/>
    <col min="38" max="38" width="2.42578125" style="463" hidden="1" customWidth="1"/>
    <col min="39" max="40" width="2.42578125" style="712" hidden="1" customWidth="1"/>
    <col min="41" max="41" width="3.28515625" style="461" hidden="1" customWidth="1"/>
    <col min="42" max="42" width="1.28515625" style="461" hidden="1" customWidth="1"/>
    <col min="43" max="43" width="3.42578125" style="461" hidden="1" customWidth="1"/>
    <col min="44" max="45" width="7" style="461" hidden="1" customWidth="1"/>
    <col min="46" max="46" width="3.7109375" style="461" hidden="1" customWidth="1"/>
    <col min="47" max="47" width="1.7109375" style="461" hidden="1" customWidth="1"/>
    <col min="48" max="48" width="3.140625" style="461" hidden="1" customWidth="1"/>
    <col min="49" max="49" width="1.7109375" style="461" hidden="1" customWidth="1"/>
    <col min="50" max="50" width="6.42578125" style="461" hidden="1" customWidth="1"/>
    <col min="51" max="51" width="9.140625" style="461" hidden="1" customWidth="1"/>
    <col min="52" max="52" width="7" style="461" hidden="1" customWidth="1"/>
    <col min="53" max="53" width="5.5703125" style="461" hidden="1" customWidth="1"/>
    <col min="54" max="56" width="9.140625" style="461" hidden="1" customWidth="1"/>
    <col min="57" max="57" width="7.5703125" style="463" hidden="1" customWidth="1"/>
    <col min="58" max="58" width="0.140625" style="461" customWidth="1"/>
    <col min="59" max="59" width="4.28515625" style="461" customWidth="1"/>
    <col min="60" max="60" width="3.140625" style="461" customWidth="1"/>
    <col min="61" max="61" width="0.28515625" style="279" customWidth="1"/>
    <col min="62" max="62" width="0.7109375" style="173" customWidth="1"/>
    <col min="63" max="63" width="1.85546875" style="279" customWidth="1"/>
    <col min="64" max="64" width="5.7109375" style="279" customWidth="1"/>
    <col min="65" max="65" width="6" style="726" customWidth="1"/>
    <col min="66" max="66" width="9.42578125" style="279" customWidth="1"/>
    <col min="67" max="67" width="3.42578125" style="461" customWidth="1"/>
    <col min="68" max="68" width="2.5703125" style="461" customWidth="1"/>
    <col min="69" max="69" width="2.5703125" style="173" customWidth="1"/>
    <col min="70" max="70" width="0.28515625" style="279" customWidth="1"/>
    <col min="71" max="71" width="0.140625" style="279" customWidth="1"/>
    <col min="72" max="72" width="4.140625" style="173" customWidth="1"/>
    <col min="73" max="73" width="1.5703125" style="279" customWidth="1"/>
    <col min="74" max="74" width="4.28515625" style="279" customWidth="1"/>
    <col min="75" max="75" width="4.7109375" style="461" customWidth="1"/>
    <col min="76" max="76" width="9.140625" style="461" customWidth="1"/>
    <col min="77" max="77" width="7.42578125" style="462" customWidth="1"/>
    <col min="78" max="78" width="9.140625" style="462" customWidth="1"/>
    <col min="79" max="80" width="9.140625" style="461" customWidth="1"/>
    <col min="81" max="81" width="7.42578125" style="461" customWidth="1"/>
    <col min="82" max="83" width="9.140625" style="461"/>
    <col min="84" max="84" width="10.28515625" style="279" customWidth="1"/>
    <col min="85" max="85" width="13.85546875" style="279" customWidth="1"/>
    <col min="86" max="87" width="9.140625" style="461"/>
    <col min="88" max="88" width="13.85546875" style="461" customWidth="1"/>
    <col min="89" max="16384" width="9.140625" style="461"/>
  </cols>
  <sheetData>
    <row r="1" spans="1:88" s="174" customFormat="1" ht="18" customHeight="1" x14ac:dyDescent="0.2">
      <c r="A1" s="1"/>
      <c r="B1" s="1239" t="s">
        <v>353</v>
      </c>
      <c r="C1" s="1239"/>
      <c r="D1" s="1239"/>
      <c r="E1" s="1239"/>
      <c r="F1" s="1239"/>
      <c r="G1" s="1239"/>
      <c r="H1" s="1239"/>
      <c r="I1" s="1239"/>
      <c r="J1" s="1239"/>
      <c r="K1" s="1239"/>
      <c r="L1" s="1239"/>
      <c r="M1" s="1239"/>
      <c r="N1" s="1239"/>
      <c r="O1" s="1239"/>
      <c r="P1" s="1239"/>
      <c r="Q1" s="1239"/>
      <c r="R1" s="1239"/>
      <c r="S1" s="1231" t="s">
        <v>98</v>
      </c>
      <c r="T1" s="1231"/>
      <c r="U1" s="1231"/>
      <c r="V1" s="1231"/>
      <c r="W1" s="1231"/>
      <c r="X1" s="1231"/>
      <c r="Y1" s="1231"/>
      <c r="Z1" s="1231"/>
      <c r="AA1" s="1231"/>
      <c r="AB1" s="1231"/>
      <c r="AC1" s="1231"/>
      <c r="AD1" s="1231"/>
      <c r="AE1" s="1231"/>
      <c r="AF1" s="1231"/>
      <c r="AG1" s="1231"/>
      <c r="AH1" s="1231"/>
      <c r="AI1" s="1231"/>
      <c r="AJ1" s="1231"/>
      <c r="AK1" s="1231"/>
      <c r="AL1" s="1231"/>
      <c r="AM1" s="1231"/>
      <c r="AN1" s="1231"/>
      <c r="AO1" s="1231"/>
      <c r="AP1" s="1231"/>
      <c r="AQ1" s="1231"/>
      <c r="AR1" s="1231"/>
      <c r="AS1" s="1231"/>
      <c r="AT1" s="1231"/>
      <c r="AU1" s="1231"/>
      <c r="AV1" s="1231"/>
      <c r="AW1" s="1231"/>
      <c r="AX1" s="1231"/>
      <c r="AY1" s="1231"/>
      <c r="AZ1" s="1231"/>
      <c r="BA1" s="1231"/>
      <c r="BB1" s="1231"/>
      <c r="BC1" s="1231"/>
      <c r="BD1" s="1231"/>
      <c r="BE1" s="1231"/>
      <c r="BF1" s="1231"/>
      <c r="BG1" s="1231"/>
      <c r="BH1" s="1231"/>
      <c r="BI1" s="1231"/>
      <c r="BJ1" s="1231"/>
      <c r="BK1" s="1231"/>
      <c r="BL1" s="1231"/>
      <c r="BM1" s="1231"/>
      <c r="BN1" s="1231"/>
      <c r="BO1" s="1231"/>
      <c r="BP1" s="1231"/>
      <c r="BQ1" s="1231"/>
      <c r="BR1" s="1231"/>
      <c r="BS1" s="1231"/>
      <c r="BT1" s="1231"/>
      <c r="BU1" s="1231"/>
      <c r="BV1" s="1231"/>
      <c r="BW1" s="1231"/>
      <c r="BY1" s="257"/>
      <c r="BZ1" s="257"/>
      <c r="CF1" s="276"/>
      <c r="CG1" s="276"/>
    </row>
    <row r="2" spans="1:88" s="174" customFormat="1" ht="15.75" customHeight="1" x14ac:dyDescent="0.25">
      <c r="B2" s="1231" t="s">
        <v>331</v>
      </c>
      <c r="C2" s="1231"/>
      <c r="D2" s="1231"/>
      <c r="E2" s="1231"/>
      <c r="F2" s="1231"/>
      <c r="G2" s="1231"/>
      <c r="H2" s="1231"/>
      <c r="I2" s="1231"/>
      <c r="J2" s="1231"/>
      <c r="K2" s="1231"/>
      <c r="L2" s="1231"/>
      <c r="M2" s="1231"/>
      <c r="N2" s="1231"/>
      <c r="O2" s="1231"/>
      <c r="P2" s="1231"/>
      <c r="Q2" s="1231"/>
      <c r="R2" s="1231"/>
      <c r="S2" s="1240" t="s">
        <v>99</v>
      </c>
      <c r="T2" s="1240"/>
      <c r="U2" s="1240"/>
      <c r="V2" s="1240"/>
      <c r="W2" s="1240"/>
      <c r="X2" s="1240"/>
      <c r="Y2" s="1240"/>
      <c r="Z2" s="1240"/>
      <c r="AA2" s="1240"/>
      <c r="AB2" s="1240"/>
      <c r="AC2" s="1240"/>
      <c r="AD2" s="1240"/>
      <c r="AE2" s="1240"/>
      <c r="AF2" s="1240"/>
      <c r="AG2" s="1240"/>
      <c r="AH2" s="1240"/>
      <c r="AI2" s="1240"/>
      <c r="AJ2" s="1240"/>
      <c r="AK2" s="1240"/>
      <c r="AL2" s="1240"/>
      <c r="AM2" s="1240"/>
      <c r="AN2" s="1240"/>
      <c r="AO2" s="1240"/>
      <c r="AP2" s="1240"/>
      <c r="AQ2" s="1240"/>
      <c r="AR2" s="1240"/>
      <c r="AS2" s="1240"/>
      <c r="AT2" s="1240"/>
      <c r="AU2" s="1240"/>
      <c r="AV2" s="1240"/>
      <c r="AW2" s="1240"/>
      <c r="AX2" s="1240"/>
      <c r="AY2" s="1240"/>
      <c r="AZ2" s="1240"/>
      <c r="BA2" s="1240"/>
      <c r="BB2" s="1240"/>
      <c r="BC2" s="1240"/>
      <c r="BD2" s="1240"/>
      <c r="BE2" s="1240"/>
      <c r="BF2" s="1240"/>
      <c r="BG2" s="1240"/>
      <c r="BH2" s="1240"/>
      <c r="BI2" s="1240"/>
      <c r="BJ2" s="1240"/>
      <c r="BK2" s="1240"/>
      <c r="BL2" s="1241"/>
      <c r="BM2" s="1241"/>
      <c r="BN2" s="1241"/>
      <c r="BO2" s="1240"/>
      <c r="BP2" s="1240"/>
      <c r="BQ2" s="1240"/>
      <c r="BR2" s="1240"/>
      <c r="BS2" s="1240"/>
      <c r="BT2" s="1240"/>
      <c r="BU2" s="1240"/>
      <c r="BV2" s="1241"/>
      <c r="BY2" s="257"/>
      <c r="BZ2" s="257"/>
      <c r="CF2" s="276"/>
      <c r="CG2" s="276"/>
    </row>
    <row r="3" spans="1:88" s="169" customFormat="1" ht="3.75" customHeight="1" x14ac:dyDescent="0.3">
      <c r="A3" s="170"/>
      <c r="B3" s="461"/>
      <c r="C3" s="170"/>
      <c r="D3" s="170"/>
      <c r="E3" s="128"/>
      <c r="F3" s="129"/>
      <c r="G3" s="129"/>
      <c r="H3" s="129"/>
      <c r="I3" s="129"/>
      <c r="J3" s="130"/>
      <c r="K3" s="131"/>
      <c r="L3" s="131"/>
      <c r="M3" s="131"/>
      <c r="N3" s="131"/>
      <c r="O3" s="131"/>
      <c r="P3" s="131"/>
      <c r="Q3" s="131"/>
      <c r="R3" s="112"/>
      <c r="S3" s="299"/>
      <c r="T3" s="128"/>
      <c r="U3" s="128"/>
      <c r="V3" s="128"/>
      <c r="W3" s="421"/>
      <c r="X3" s="127"/>
      <c r="Y3" s="127"/>
      <c r="Z3" s="129"/>
      <c r="AA3" s="461"/>
      <c r="AB3" s="461"/>
      <c r="AC3" s="461"/>
      <c r="AD3" s="461"/>
      <c r="AE3" s="463"/>
      <c r="AF3" s="463"/>
      <c r="AG3" s="463"/>
      <c r="AH3" s="463"/>
      <c r="AI3" s="463"/>
      <c r="AJ3" s="463"/>
      <c r="AK3" s="463"/>
      <c r="AL3" s="463"/>
      <c r="AM3" s="712"/>
      <c r="AN3" s="712"/>
      <c r="AO3" s="461"/>
      <c r="AP3" s="461"/>
      <c r="AQ3" s="461"/>
      <c r="AR3" s="461"/>
      <c r="AS3" s="461"/>
      <c r="AT3" s="461"/>
      <c r="AU3" s="461"/>
      <c r="AV3" s="461"/>
      <c r="AW3" s="461"/>
      <c r="AX3" s="461"/>
      <c r="AY3" s="131"/>
      <c r="AZ3" s="461"/>
      <c r="BA3" s="461"/>
      <c r="BE3" s="460"/>
      <c r="BG3" s="461"/>
      <c r="BH3" s="461"/>
      <c r="BI3" s="279"/>
      <c r="BJ3" s="132"/>
      <c r="BK3" s="697"/>
      <c r="BL3" s="279"/>
      <c r="BM3" s="726"/>
      <c r="BN3" s="279"/>
      <c r="BR3" s="277"/>
      <c r="BS3" s="277"/>
      <c r="BT3" s="132"/>
      <c r="BU3" s="697"/>
      <c r="BV3" s="279"/>
      <c r="BY3" s="132"/>
      <c r="BZ3" s="132"/>
      <c r="CF3" s="277"/>
      <c r="CG3" s="277"/>
      <c r="CJ3" s="112"/>
    </row>
    <row r="4" spans="1:88" s="397" customFormat="1" ht="21.75" customHeight="1" x14ac:dyDescent="0.25">
      <c r="A4" s="156"/>
      <c r="B4" s="156"/>
      <c r="C4" s="156"/>
      <c r="D4" s="392"/>
      <c r="E4" s="156"/>
      <c r="F4" s="393"/>
      <c r="G4" s="156"/>
      <c r="H4" s="156"/>
      <c r="I4" s="156"/>
      <c r="J4" s="156"/>
      <c r="K4" s="156"/>
      <c r="L4" s="156"/>
      <c r="M4" s="156"/>
      <c r="N4" s="156"/>
      <c r="O4" s="156"/>
      <c r="P4" s="156"/>
      <c r="Q4" s="392"/>
      <c r="R4" s="394"/>
      <c r="S4" s="1180" t="s">
        <v>430</v>
      </c>
      <c r="T4" s="1180"/>
      <c r="U4" s="1180"/>
      <c r="V4" s="1180"/>
      <c r="W4" s="1180"/>
      <c r="X4" s="1180"/>
      <c r="Y4" s="1180"/>
      <c r="Z4" s="1180"/>
      <c r="AA4" s="1180"/>
      <c r="AB4" s="1180"/>
      <c r="AC4" s="1180"/>
      <c r="AD4" s="1180"/>
      <c r="AE4" s="1180"/>
      <c r="AF4" s="1180"/>
      <c r="AG4" s="1180"/>
      <c r="AH4" s="1180"/>
      <c r="AI4" s="1180"/>
      <c r="AJ4" s="1180"/>
      <c r="AK4" s="1180"/>
      <c r="AL4" s="1180"/>
      <c r="AM4" s="1180"/>
      <c r="AN4" s="1180"/>
      <c r="AO4" s="1180"/>
      <c r="AP4" s="1180"/>
      <c r="AQ4" s="1180"/>
      <c r="AR4" s="1180"/>
      <c r="AS4" s="1180"/>
      <c r="AT4" s="1180"/>
      <c r="AU4" s="1180"/>
      <c r="AV4" s="1180"/>
      <c r="AW4" s="1180"/>
      <c r="AX4" s="1180"/>
      <c r="AY4" s="1180"/>
      <c r="AZ4" s="1180"/>
      <c r="BA4" s="1180"/>
      <c r="BB4" s="1180"/>
      <c r="BC4" s="1180"/>
      <c r="BD4" s="1180"/>
      <c r="BE4" s="1180"/>
      <c r="BF4" s="1180"/>
      <c r="BG4" s="1180"/>
      <c r="BH4" s="1180"/>
      <c r="BI4" s="1180"/>
      <c r="BJ4" s="1180"/>
      <c r="BK4" s="1180"/>
      <c r="BL4" s="1180"/>
      <c r="BM4" s="1180"/>
      <c r="BN4" s="1180"/>
      <c r="BO4" s="1180"/>
      <c r="BP4" s="1180"/>
      <c r="BQ4" s="1180"/>
      <c r="BR4" s="1180"/>
      <c r="BS4" s="1180"/>
      <c r="BT4" s="1180"/>
      <c r="BU4" s="1180"/>
      <c r="BV4" s="1180"/>
    </row>
    <row r="5" spans="1:88" ht="36.75" customHeight="1" x14ac:dyDescent="0.3">
      <c r="A5" s="2" t="s">
        <v>239</v>
      </c>
      <c r="B5" s="1242" t="s">
        <v>429</v>
      </c>
      <c r="C5" s="1242"/>
      <c r="D5" s="1242"/>
      <c r="E5" s="1242"/>
      <c r="F5" s="1242"/>
      <c r="G5" s="1242"/>
      <c r="H5" s="1242"/>
      <c r="I5" s="1242"/>
      <c r="J5" s="1242"/>
      <c r="K5" s="1242"/>
      <c r="L5" s="1242"/>
      <c r="M5" s="1242"/>
      <c r="N5" s="1242"/>
      <c r="O5" s="1242"/>
      <c r="P5" s="1242"/>
      <c r="Q5" s="1242"/>
      <c r="R5" s="1242"/>
      <c r="S5" s="1242"/>
      <c r="T5" s="1242"/>
      <c r="U5" s="1242"/>
      <c r="V5" s="1242"/>
      <c r="W5" s="1242"/>
      <c r="X5" s="1242"/>
      <c r="Y5" s="1242"/>
      <c r="Z5" s="1242"/>
      <c r="AA5" s="1242"/>
      <c r="AB5" s="1242"/>
      <c r="AC5" s="1242"/>
      <c r="AD5" s="1242"/>
      <c r="AE5" s="1242"/>
      <c r="AF5" s="1242"/>
      <c r="AG5" s="1242"/>
      <c r="AH5" s="1242"/>
      <c r="AI5" s="1242"/>
      <c r="AJ5" s="1242"/>
      <c r="AK5" s="1242"/>
      <c r="AL5" s="1242"/>
      <c r="AM5" s="1242"/>
      <c r="AN5" s="1242"/>
      <c r="AO5" s="1242"/>
      <c r="AP5" s="1242"/>
      <c r="AQ5" s="1242"/>
      <c r="AR5" s="1242"/>
      <c r="AS5" s="1242"/>
      <c r="AT5" s="1242"/>
      <c r="AU5" s="1242"/>
      <c r="AV5" s="1242"/>
      <c r="AW5" s="1242"/>
      <c r="AX5" s="1242"/>
      <c r="AY5" s="1242"/>
      <c r="AZ5" s="1242"/>
      <c r="BA5" s="1242"/>
      <c r="BB5" s="1242"/>
      <c r="BC5" s="1242"/>
      <c r="BD5" s="1242"/>
      <c r="BE5" s="1242"/>
      <c r="BF5" s="1242"/>
      <c r="BG5" s="1242"/>
      <c r="BH5" s="1242"/>
      <c r="BI5" s="1242"/>
      <c r="BJ5" s="1242"/>
      <c r="BK5" s="1242"/>
      <c r="BL5" s="1242"/>
      <c r="BM5" s="1242"/>
      <c r="BN5" s="1242"/>
      <c r="BO5" s="1242"/>
      <c r="BP5" s="1242"/>
      <c r="BQ5" s="1242"/>
      <c r="BR5" s="1242"/>
      <c r="BS5" s="1242"/>
      <c r="BT5" s="1242"/>
      <c r="BU5" s="1242"/>
      <c r="BV5" s="1242"/>
      <c r="BW5" s="414"/>
      <c r="BX5" s="414"/>
      <c r="BY5" s="414"/>
      <c r="BZ5" s="414"/>
      <c r="CA5" s="414"/>
      <c r="CB5" s="414"/>
      <c r="CC5" s="414"/>
      <c r="CE5" s="174" t="s">
        <v>282</v>
      </c>
    </row>
    <row r="6" spans="1:88" s="122" customFormat="1" ht="20.25" customHeight="1" x14ac:dyDescent="0.2">
      <c r="A6" s="123"/>
      <c r="B6" s="122" t="s">
        <v>416</v>
      </c>
      <c r="W6" s="464"/>
      <c r="X6" s="464"/>
      <c r="BI6" s="696"/>
      <c r="BJ6" s="731"/>
      <c r="BK6" s="696"/>
      <c r="BM6" s="727"/>
      <c r="BO6" s="259"/>
      <c r="BP6" s="259"/>
      <c r="BR6" s="696"/>
      <c r="BS6" s="696"/>
      <c r="BT6" s="731"/>
      <c r="BU6" s="696"/>
      <c r="BV6" s="696"/>
      <c r="BX6" s="464"/>
      <c r="BY6" s="464"/>
      <c r="BZ6" s="464"/>
      <c r="CA6" s="464"/>
      <c r="CC6" s="124"/>
      <c r="CD6" s="125"/>
      <c r="CE6" s="123"/>
    </row>
    <row r="7" spans="1:88" ht="15.75" x14ac:dyDescent="0.2">
      <c r="E7" s="260" t="s">
        <v>300</v>
      </c>
    </row>
    <row r="8" spans="1:88" ht="15.75" x14ac:dyDescent="0.2">
      <c r="E8" s="260" t="s">
        <v>417</v>
      </c>
      <c r="BN8" s="1155"/>
    </row>
    <row r="9" spans="1:88" ht="15.75" x14ac:dyDescent="0.2">
      <c r="E9" s="260" t="s">
        <v>350</v>
      </c>
    </row>
    <row r="10" spans="1:88" s="167" customFormat="1" ht="16.5" customHeight="1" x14ac:dyDescent="0.25">
      <c r="A10" s="171"/>
      <c r="B10" s="1243" t="s">
        <v>163</v>
      </c>
      <c r="C10" s="1244"/>
      <c r="D10" s="1244"/>
      <c r="E10" s="1243"/>
      <c r="F10" s="413">
        <v>9</v>
      </c>
      <c r="H10" s="166"/>
      <c r="I10" s="165"/>
      <c r="J10" s="164"/>
      <c r="K10" s="166"/>
      <c r="L10" s="166"/>
      <c r="M10" s="166"/>
      <c r="N10" s="166"/>
      <c r="O10" s="166"/>
      <c r="P10" s="166"/>
      <c r="Q10" s="166"/>
      <c r="R10" s="1142"/>
      <c r="S10" s="1157" t="s">
        <v>357</v>
      </c>
      <c r="T10" s="461"/>
      <c r="U10" s="461"/>
      <c r="V10" s="461"/>
      <c r="W10" s="883"/>
      <c r="X10" s="836"/>
      <c r="Y10" s="461"/>
      <c r="Z10" s="461"/>
      <c r="AA10" s="461"/>
      <c r="AB10" s="166"/>
      <c r="AC10" s="164"/>
      <c r="AD10" s="166"/>
      <c r="AE10" s="166"/>
      <c r="AF10" s="166"/>
      <c r="AG10" s="166"/>
      <c r="AH10" s="166"/>
      <c r="AI10" s="166"/>
      <c r="AJ10" s="166"/>
      <c r="AK10" s="166"/>
      <c r="AL10" s="166"/>
      <c r="AM10" s="166"/>
      <c r="AN10" s="166"/>
      <c r="AO10" s="166"/>
      <c r="AP10" s="165"/>
      <c r="AQ10" s="165"/>
      <c r="AR10" s="121"/>
      <c r="AS10" s="121"/>
      <c r="AT10" s="166"/>
      <c r="AU10" s="461"/>
      <c r="AV10" s="461"/>
      <c r="AW10" s="461" t="s">
        <v>230</v>
      </c>
      <c r="AX10" s="461"/>
      <c r="AZ10" s="461"/>
      <c r="BA10" s="461"/>
      <c r="BE10" s="458"/>
      <c r="BG10" s="461"/>
      <c r="BH10" s="461"/>
      <c r="BI10" s="279"/>
      <c r="BK10" s="278"/>
      <c r="BL10" s="279"/>
      <c r="BM10" s="726"/>
      <c r="BN10" s="279"/>
      <c r="BR10" s="278"/>
      <c r="BS10" s="278"/>
      <c r="BU10" s="278"/>
      <c r="BV10" s="279"/>
      <c r="CE10" s="167" t="s">
        <v>283</v>
      </c>
      <c r="CF10" s="278"/>
      <c r="CG10" s="278"/>
      <c r="CJ10" s="461" t="s">
        <v>100</v>
      </c>
    </row>
    <row r="11" spans="1:88" ht="1.5" customHeight="1" x14ac:dyDescent="0.2">
      <c r="B11" s="461" t="s">
        <v>86</v>
      </c>
      <c r="X11" s="838"/>
      <c r="CE11" s="461" t="s">
        <v>284</v>
      </c>
    </row>
    <row r="12" spans="1:88" s="747" customFormat="1" ht="25.5" customHeight="1" x14ac:dyDescent="0.2">
      <c r="A12" s="743" t="s">
        <v>153</v>
      </c>
      <c r="B12" s="1212" t="s">
        <v>307</v>
      </c>
      <c r="C12" s="744"/>
      <c r="D12" s="1161" t="s">
        <v>60</v>
      </c>
      <c r="E12" s="1212" t="s">
        <v>308</v>
      </c>
      <c r="F12" s="1161" t="s">
        <v>309</v>
      </c>
      <c r="G12" s="745" t="s">
        <v>229</v>
      </c>
      <c r="H12" s="745"/>
      <c r="I12" s="745"/>
      <c r="J12" s="745"/>
      <c r="K12" s="745"/>
      <c r="L12" s="745"/>
      <c r="M12" s="745"/>
      <c r="N12" s="745"/>
      <c r="O12" s="745"/>
      <c r="P12" s="745"/>
      <c r="Q12" s="745"/>
      <c r="R12" s="1212" t="s">
        <v>310</v>
      </c>
      <c r="S12" s="1212"/>
      <c r="T12" s="744"/>
      <c r="U12" s="744"/>
      <c r="V12" s="746"/>
      <c r="W12" s="1225" t="s">
        <v>322</v>
      </c>
      <c r="X12" s="1234"/>
      <c r="Y12" s="1226"/>
      <c r="Z12" s="745"/>
      <c r="AA12" s="745"/>
      <c r="AB12" s="745" t="s">
        <v>101</v>
      </c>
      <c r="AC12" s="745"/>
      <c r="AD12" s="745"/>
      <c r="AE12" s="745"/>
      <c r="AF12" s="745"/>
      <c r="AG12" s="745"/>
      <c r="AH12" s="745"/>
      <c r="AI12" s="745"/>
      <c r="AJ12" s="745"/>
      <c r="AK12" s="745"/>
      <c r="AL12" s="745"/>
      <c r="AM12" s="745"/>
      <c r="AN12" s="745"/>
      <c r="AO12" s="745"/>
      <c r="AP12" s="745"/>
      <c r="AQ12" s="745"/>
      <c r="AR12" s="745" t="s">
        <v>231</v>
      </c>
      <c r="AS12" s="745"/>
      <c r="AT12" s="745"/>
      <c r="AU12" s="745"/>
      <c r="AV12" s="745"/>
      <c r="AW12" s="745"/>
      <c r="AX12" s="745"/>
      <c r="AY12" s="745"/>
      <c r="AZ12" s="745"/>
      <c r="BA12" s="745"/>
      <c r="BB12" s="745"/>
      <c r="BC12" s="745"/>
      <c r="BD12" s="745"/>
      <c r="BE12" s="744"/>
      <c r="BF12" s="1212" t="s">
        <v>312</v>
      </c>
      <c r="BG12" s="1212"/>
      <c r="BH12" s="1212"/>
      <c r="BI12" s="1212"/>
      <c r="BJ12" s="1212"/>
      <c r="BK12" s="1212"/>
      <c r="BL12" s="1212"/>
      <c r="BM12" s="1225" t="s">
        <v>314</v>
      </c>
      <c r="BN12" s="1226"/>
      <c r="BO12" s="1212" t="s">
        <v>315</v>
      </c>
      <c r="BP12" s="1212"/>
      <c r="BQ12" s="1212"/>
      <c r="BR12" s="1212"/>
      <c r="BS12" s="1212"/>
      <c r="BT12" s="1212"/>
      <c r="BU12" s="1212"/>
      <c r="BV12" s="1212"/>
      <c r="BW12" s="1205" t="s">
        <v>231</v>
      </c>
      <c r="BX12" s="1212"/>
      <c r="BY12" s="1212"/>
      <c r="BZ12" s="744"/>
      <c r="CA12" s="744"/>
      <c r="CB12" s="1212"/>
      <c r="CC12" s="1212"/>
      <c r="CF12" s="748"/>
      <c r="CG12" s="748"/>
    </row>
    <row r="13" spans="1:88" s="747" customFormat="1" ht="13.5" customHeight="1" x14ac:dyDescent="0.2">
      <c r="A13" s="743"/>
      <c r="B13" s="1212"/>
      <c r="C13" s="744"/>
      <c r="D13" s="1162"/>
      <c r="E13" s="1212"/>
      <c r="F13" s="1162"/>
      <c r="G13" s="745"/>
      <c r="H13" s="745"/>
      <c r="I13" s="745"/>
      <c r="J13" s="745"/>
      <c r="K13" s="745"/>
      <c r="L13" s="745"/>
      <c r="M13" s="745"/>
      <c r="N13" s="745"/>
      <c r="O13" s="745"/>
      <c r="P13" s="745"/>
      <c r="Q13" s="745"/>
      <c r="R13" s="1212"/>
      <c r="S13" s="1212"/>
      <c r="T13" s="744"/>
      <c r="U13" s="744"/>
      <c r="V13" s="749"/>
      <c r="W13" s="1235"/>
      <c r="X13" s="1236"/>
      <c r="Y13" s="1237"/>
      <c r="Z13" s="745"/>
      <c r="AA13" s="745"/>
      <c r="AB13" s="745"/>
      <c r="AC13" s="745"/>
      <c r="AD13" s="745"/>
      <c r="AE13" s="745"/>
      <c r="AF13" s="745"/>
      <c r="AG13" s="745"/>
      <c r="AH13" s="745"/>
      <c r="AI13" s="745"/>
      <c r="AJ13" s="745"/>
      <c r="AK13" s="745"/>
      <c r="AL13" s="745"/>
      <c r="AM13" s="745"/>
      <c r="AN13" s="745"/>
      <c r="AO13" s="745"/>
      <c r="AP13" s="745"/>
      <c r="AQ13" s="745"/>
      <c r="AR13" s="745"/>
      <c r="AS13" s="745"/>
      <c r="AT13" s="745"/>
      <c r="AU13" s="745"/>
      <c r="AV13" s="745"/>
      <c r="AW13" s="745"/>
      <c r="AX13" s="745"/>
      <c r="AY13" s="745"/>
      <c r="AZ13" s="745"/>
      <c r="BA13" s="745"/>
      <c r="BB13" s="745"/>
      <c r="BC13" s="745"/>
      <c r="BD13" s="745"/>
      <c r="BE13" s="744"/>
      <c r="BF13" s="1223" t="s">
        <v>281</v>
      </c>
      <c r="BG13" s="1229"/>
      <c r="BH13" s="1123"/>
      <c r="BI13" s="1124"/>
      <c r="BJ13" s="1223" t="s">
        <v>311</v>
      </c>
      <c r="BK13" s="1193"/>
      <c r="BL13" s="1194"/>
      <c r="BM13" s="1227"/>
      <c r="BN13" s="1228"/>
      <c r="BO13" s="1223" t="s">
        <v>281</v>
      </c>
      <c r="BP13" s="1194"/>
      <c r="BQ13" s="750"/>
      <c r="BR13" s="751"/>
      <c r="BS13" s="1122"/>
      <c r="BT13" s="1223" t="s">
        <v>311</v>
      </c>
      <c r="BU13" s="1193"/>
      <c r="BV13" s="1194"/>
      <c r="BW13" s="1205"/>
      <c r="BX13" s="1212"/>
      <c r="BY13" s="1212"/>
      <c r="BZ13" s="744"/>
      <c r="CA13" s="744"/>
      <c r="CB13" s="1212"/>
      <c r="CC13" s="1212"/>
      <c r="CF13" s="748"/>
      <c r="CG13" s="748"/>
    </row>
    <row r="14" spans="1:88" s="743" customFormat="1" ht="27" customHeight="1" x14ac:dyDescent="0.2">
      <c r="B14" s="1212"/>
      <c r="C14" s="744"/>
      <c r="D14" s="1163"/>
      <c r="E14" s="1212"/>
      <c r="F14" s="1163"/>
      <c r="G14" s="745"/>
      <c r="H14" s="745"/>
      <c r="I14" s="745"/>
      <c r="J14" s="745"/>
      <c r="K14" s="745"/>
      <c r="L14" s="745"/>
      <c r="M14" s="745"/>
      <c r="N14" s="745"/>
      <c r="O14" s="745"/>
      <c r="P14" s="745"/>
      <c r="Q14" s="745"/>
      <c r="R14" s="1212"/>
      <c r="S14" s="1212"/>
      <c r="T14" s="744"/>
      <c r="U14" s="744"/>
      <c r="V14" s="752"/>
      <c r="W14" s="1227"/>
      <c r="X14" s="1238"/>
      <c r="Y14" s="1228"/>
      <c r="Z14" s="745"/>
      <c r="AA14" s="745"/>
      <c r="AB14" s="745" t="s">
        <v>93</v>
      </c>
      <c r="AC14" s="745"/>
      <c r="AD14" s="745" t="s">
        <v>94</v>
      </c>
      <c r="AE14" s="745"/>
      <c r="AF14" s="745"/>
      <c r="AG14" s="745"/>
      <c r="AH14" s="745"/>
      <c r="AI14" s="745"/>
      <c r="AJ14" s="745"/>
      <c r="AK14" s="745"/>
      <c r="AL14" s="745"/>
      <c r="AM14" s="745"/>
      <c r="AN14" s="745"/>
      <c r="AO14" s="745" t="s">
        <v>102</v>
      </c>
      <c r="AP14" s="745"/>
      <c r="AQ14" s="745"/>
      <c r="AR14" s="745"/>
      <c r="AS14" s="745"/>
      <c r="AT14" s="745" t="s">
        <v>103</v>
      </c>
      <c r="AU14" s="745" t="s">
        <v>104</v>
      </c>
      <c r="AV14" s="753" t="s">
        <v>105</v>
      </c>
      <c r="AW14" s="745"/>
      <c r="AX14" s="745"/>
      <c r="AY14" s="745"/>
      <c r="AZ14" s="745"/>
      <c r="BA14" s="745"/>
      <c r="BB14" s="745"/>
      <c r="BC14" s="745"/>
      <c r="BD14" s="745"/>
      <c r="BE14" s="744"/>
      <c r="BF14" s="1224"/>
      <c r="BG14" s="1230"/>
      <c r="BH14" s="754"/>
      <c r="BI14" s="755"/>
      <c r="BJ14" s="1224"/>
      <c r="BK14" s="1195"/>
      <c r="BL14" s="1196"/>
      <c r="BM14" s="732" t="s">
        <v>306</v>
      </c>
      <c r="BN14" s="717" t="s">
        <v>319</v>
      </c>
      <c r="BO14" s="1224"/>
      <c r="BP14" s="1196"/>
      <c r="BQ14" s="754"/>
      <c r="BR14" s="755"/>
      <c r="BS14" s="1138"/>
      <c r="BT14" s="1224"/>
      <c r="BU14" s="1195"/>
      <c r="BV14" s="1196"/>
      <c r="BW14" s="1205"/>
      <c r="BX14" s="1212"/>
      <c r="BY14" s="1212"/>
      <c r="BZ14" s="744"/>
      <c r="CA14" s="744"/>
      <c r="CB14" s="1212"/>
      <c r="CC14" s="1212"/>
      <c r="CF14" s="756"/>
      <c r="CG14" s="756"/>
    </row>
    <row r="15" spans="1:88" s="111" customFormat="1" ht="30.75" hidden="1" customHeight="1" x14ac:dyDescent="0.2">
      <c r="A15" s="111" t="s">
        <v>228</v>
      </c>
      <c r="B15" s="185"/>
      <c r="C15" s="188"/>
      <c r="D15" s="188"/>
      <c r="E15" s="189" t="s">
        <v>55</v>
      </c>
      <c r="F15" s="188" t="s">
        <v>60</v>
      </c>
      <c r="G15" s="188"/>
      <c r="H15" s="188"/>
      <c r="I15" s="188"/>
      <c r="J15" s="188"/>
      <c r="K15" s="188"/>
      <c r="L15" s="188"/>
      <c r="M15" s="188"/>
      <c r="N15" s="188"/>
      <c r="O15" s="188"/>
      <c r="P15" s="188"/>
      <c r="Q15" s="188"/>
      <c r="R15" s="281" t="s">
        <v>106</v>
      </c>
      <c r="S15" s="189" t="s">
        <v>107</v>
      </c>
      <c r="T15" s="188"/>
      <c r="U15" s="188"/>
      <c r="V15" s="188"/>
      <c r="W15" s="882"/>
      <c r="X15" s="185"/>
      <c r="Y15" s="433" t="s">
        <v>108</v>
      </c>
      <c r="Z15" s="433" t="s">
        <v>109</v>
      </c>
      <c r="AA15" s="433"/>
      <c r="AB15" s="433" t="s">
        <v>95</v>
      </c>
      <c r="AC15" s="433"/>
      <c r="AD15" s="433" t="s">
        <v>110</v>
      </c>
      <c r="AE15" s="434"/>
      <c r="AF15" s="434"/>
      <c r="AG15" s="434"/>
      <c r="AH15" s="434"/>
      <c r="AI15" s="434"/>
      <c r="AJ15" s="434"/>
      <c r="AK15" s="434"/>
      <c r="AL15" s="434"/>
      <c r="AM15" s="434"/>
      <c r="AN15" s="434"/>
      <c r="AO15" s="433" t="s">
        <v>111</v>
      </c>
      <c r="AP15" s="433"/>
      <c r="AQ15" s="433"/>
      <c r="AR15" s="433"/>
      <c r="AS15" s="433"/>
      <c r="AT15" s="188"/>
      <c r="AU15" s="188"/>
      <c r="AV15" s="188"/>
      <c r="AW15" s="188"/>
      <c r="AX15" s="188"/>
      <c r="AY15" s="188"/>
      <c r="AZ15" s="188"/>
      <c r="BA15" s="188"/>
      <c r="BB15" s="188"/>
      <c r="BC15" s="188"/>
      <c r="BD15" s="188"/>
      <c r="BE15" s="185"/>
      <c r="BF15" s="188" t="s">
        <v>109</v>
      </c>
      <c r="BG15" s="188"/>
      <c r="BH15" s="188"/>
      <c r="BI15" s="286"/>
      <c r="BJ15" s="459" t="s">
        <v>110</v>
      </c>
      <c r="BK15" s="698"/>
      <c r="BL15" s="188" t="s">
        <v>111</v>
      </c>
      <c r="BM15" s="246"/>
      <c r="BN15" s="188"/>
      <c r="BO15" s="188" t="s">
        <v>95</v>
      </c>
      <c r="BP15" s="188"/>
      <c r="BQ15" s="459"/>
      <c r="BR15" s="286"/>
      <c r="BS15" s="286"/>
      <c r="BT15" s="459" t="s">
        <v>110</v>
      </c>
      <c r="BU15" s="698"/>
      <c r="BV15" s="286" t="s">
        <v>111</v>
      </c>
      <c r="BW15" s="261"/>
      <c r="BX15" s="188"/>
      <c r="BY15" s="188"/>
      <c r="BZ15" s="188"/>
      <c r="CA15" s="188"/>
      <c r="CB15" s="188"/>
      <c r="CC15" s="188"/>
      <c r="CF15" s="168"/>
      <c r="CG15" s="168"/>
    </row>
    <row r="16" spans="1:88" s="718" customFormat="1" ht="14.25" customHeight="1" x14ac:dyDescent="0.2">
      <c r="A16" s="718" t="s">
        <v>214</v>
      </c>
      <c r="B16" s="714">
        <v>1</v>
      </c>
      <c r="C16" s="714"/>
      <c r="D16" s="714"/>
      <c r="E16" s="714">
        <v>2</v>
      </c>
      <c r="F16" s="728">
        <v>3</v>
      </c>
      <c r="G16" s="728"/>
      <c r="H16" s="728"/>
      <c r="I16" s="728"/>
      <c r="J16" s="728"/>
      <c r="K16" s="728"/>
      <c r="L16" s="728"/>
      <c r="M16" s="728"/>
      <c r="N16" s="728"/>
      <c r="O16" s="728"/>
      <c r="P16" s="728"/>
      <c r="Q16" s="728"/>
      <c r="R16" s="1216">
        <v>4</v>
      </c>
      <c r="S16" s="1216"/>
      <c r="T16" s="728"/>
      <c r="U16" s="728"/>
      <c r="V16" s="1217">
        <v>5</v>
      </c>
      <c r="W16" s="1218"/>
      <c r="X16" s="1219"/>
      <c r="Y16" s="728">
        <v>6</v>
      </c>
      <c r="Z16" s="728">
        <v>7</v>
      </c>
      <c r="AA16" s="728"/>
      <c r="AB16" s="728">
        <v>8</v>
      </c>
      <c r="AC16" s="728"/>
      <c r="AD16" s="728"/>
      <c r="AE16" s="728"/>
      <c r="AF16" s="728"/>
      <c r="AG16" s="728"/>
      <c r="AH16" s="728"/>
      <c r="AI16" s="728"/>
      <c r="AJ16" s="728"/>
      <c r="AK16" s="728"/>
      <c r="AL16" s="728"/>
      <c r="AM16" s="728"/>
      <c r="AN16" s="728"/>
      <c r="AO16" s="728">
        <v>9</v>
      </c>
      <c r="AP16" s="728">
        <v>10</v>
      </c>
      <c r="AQ16" s="728"/>
      <c r="AR16" s="728"/>
      <c r="AS16" s="728"/>
      <c r="AT16" s="728"/>
      <c r="AU16" s="728"/>
      <c r="AV16" s="728"/>
      <c r="AW16" s="728"/>
      <c r="AX16" s="728"/>
      <c r="AY16" s="728"/>
      <c r="AZ16" s="728"/>
      <c r="BA16" s="728"/>
      <c r="BB16" s="728"/>
      <c r="BC16" s="728"/>
      <c r="BD16" s="728"/>
      <c r="BE16" s="728"/>
      <c r="BF16" s="1220">
        <v>6</v>
      </c>
      <c r="BG16" s="1221"/>
      <c r="BH16" s="728"/>
      <c r="BI16" s="730"/>
      <c r="BJ16" s="1216">
        <v>7</v>
      </c>
      <c r="BK16" s="1216"/>
      <c r="BL16" s="1222"/>
      <c r="BM16" s="1220">
        <v>8</v>
      </c>
      <c r="BN16" s="1221"/>
      <c r="BO16" s="1216">
        <v>9</v>
      </c>
      <c r="BP16" s="1216"/>
      <c r="BQ16" s="719"/>
      <c r="BR16" s="720"/>
      <c r="BS16" s="720"/>
      <c r="BT16" s="1232" t="s">
        <v>210</v>
      </c>
      <c r="BU16" s="1232"/>
      <c r="BV16" s="1233"/>
      <c r="BW16" s="711">
        <v>11</v>
      </c>
      <c r="BX16" s="713">
        <v>8</v>
      </c>
      <c r="BY16" s="713"/>
      <c r="BZ16" s="713"/>
      <c r="CA16" s="713"/>
      <c r="CB16" s="713">
        <v>10</v>
      </c>
      <c r="CC16" s="713">
        <v>9</v>
      </c>
      <c r="CF16" s="721"/>
      <c r="CG16" s="721"/>
    </row>
    <row r="17" spans="1:175" s="830" customFormat="1" ht="21.75" customHeight="1" x14ac:dyDescent="0.2">
      <c r="A17" s="1042">
        <v>3</v>
      </c>
      <c r="B17" s="831">
        <v>1</v>
      </c>
      <c r="C17" s="1042" t="s">
        <v>227</v>
      </c>
      <c r="D17" s="1042" t="s">
        <v>83</v>
      </c>
      <c r="E17" s="354" t="s">
        <v>418</v>
      </c>
      <c r="F17" s="1042" t="s">
        <v>219</v>
      </c>
      <c r="G17" s="757" t="s">
        <v>184</v>
      </c>
      <c r="H17" s="758" t="s">
        <v>200</v>
      </c>
      <c r="I17" s="759" t="s">
        <v>190</v>
      </c>
      <c r="J17" s="758" t="s">
        <v>200</v>
      </c>
      <c r="K17" s="760" t="s">
        <v>170</v>
      </c>
      <c r="L17" s="761" t="s">
        <v>265</v>
      </c>
      <c r="M17" s="762" t="s">
        <v>354</v>
      </c>
      <c r="N17" s="763"/>
      <c r="O17" s="764" t="s">
        <v>52</v>
      </c>
      <c r="P17" s="765" t="s">
        <v>114</v>
      </c>
      <c r="Q17" s="766">
        <v>1.1000000000000001</v>
      </c>
      <c r="R17" s="921"/>
      <c r="S17" s="768" t="s">
        <v>114</v>
      </c>
      <c r="T17" s="769" t="s">
        <v>123</v>
      </c>
      <c r="U17" s="770" t="s">
        <v>54</v>
      </c>
      <c r="V17" s="771" t="s">
        <v>248</v>
      </c>
      <c r="W17" s="884" t="s">
        <v>253</v>
      </c>
      <c r="X17" s="832" t="s">
        <v>251</v>
      </c>
      <c r="Y17" s="772" t="s">
        <v>255</v>
      </c>
      <c r="Z17" s="772" t="s">
        <v>252</v>
      </c>
      <c r="AA17" s="524" t="s">
        <v>240</v>
      </c>
      <c r="AB17" s="773">
        <v>5</v>
      </c>
      <c r="AC17" s="774" t="s">
        <v>200</v>
      </c>
      <c r="AD17" s="775">
        <v>8</v>
      </c>
      <c r="AE17" s="776">
        <v>5.7600000000000007</v>
      </c>
      <c r="AF17" s="777"/>
      <c r="AG17" s="777"/>
      <c r="AH17" s="778"/>
      <c r="AI17" s="779" t="s">
        <v>200</v>
      </c>
      <c r="AJ17" s="780"/>
      <c r="AK17" s="779" t="s">
        <v>200</v>
      </c>
      <c r="AL17" s="781"/>
      <c r="AM17" s="782"/>
      <c r="AN17" s="783"/>
      <c r="AO17" s="784">
        <v>6</v>
      </c>
      <c r="AP17" s="785" t="s">
        <v>200</v>
      </c>
      <c r="AQ17" s="786">
        <v>8</v>
      </c>
      <c r="AR17" s="521">
        <v>6.1000000000000005</v>
      </c>
      <c r="AS17" s="787"/>
      <c r="AT17" s="788" t="s">
        <v>183</v>
      </c>
      <c r="AU17" s="789" t="s">
        <v>200</v>
      </c>
      <c r="AV17" s="790" t="s">
        <v>210</v>
      </c>
      <c r="AW17" s="789" t="s">
        <v>200</v>
      </c>
      <c r="AX17" s="1088">
        <v>2016</v>
      </c>
      <c r="AY17" s="792"/>
      <c r="AZ17" s="793"/>
      <c r="BA17" s="522"/>
      <c r="BB17" s="794">
        <v>3</v>
      </c>
      <c r="BC17" s="523">
        <v>-24202</v>
      </c>
      <c r="BD17" s="523">
        <v>4.4000000000000004</v>
      </c>
      <c r="BE17" s="795">
        <v>0.34</v>
      </c>
      <c r="BF17" s="796" t="s">
        <v>241</v>
      </c>
      <c r="BG17" s="797">
        <v>10</v>
      </c>
      <c r="BH17" s="798" t="s">
        <v>178</v>
      </c>
      <c r="BI17" s="799" t="s">
        <v>183</v>
      </c>
      <c r="BJ17" s="800" t="s">
        <v>200</v>
      </c>
      <c r="BK17" s="801" t="s">
        <v>189</v>
      </c>
      <c r="BL17" s="802" t="s">
        <v>356</v>
      </c>
      <c r="BM17" s="803"/>
      <c r="BN17" s="804"/>
      <c r="BO17" s="805"/>
      <c r="BP17" s="806">
        <v>11</v>
      </c>
      <c r="BQ17" s="807" t="s">
        <v>178</v>
      </c>
      <c r="BR17" s="789" t="s">
        <v>183</v>
      </c>
      <c r="BS17" s="1139" t="s">
        <v>200</v>
      </c>
      <c r="BT17" s="1134" t="s">
        <v>189</v>
      </c>
      <c r="BU17" s="808" t="s">
        <v>200</v>
      </c>
      <c r="BV17" s="1041">
        <v>2019</v>
      </c>
      <c r="BW17" s="809"/>
      <c r="BX17" s="810"/>
      <c r="BY17" s="881">
        <v>-24234</v>
      </c>
      <c r="BZ17" s="795" t="s">
        <v>96</v>
      </c>
      <c r="CA17" s="811" t="s">
        <v>335</v>
      </c>
      <c r="CB17" s="3" t="s">
        <v>201</v>
      </c>
      <c r="CC17" s="812" t="s">
        <v>125</v>
      </c>
      <c r="CD17" s="524">
        <v>24226</v>
      </c>
      <c r="CE17" s="1042" t="s">
        <v>63</v>
      </c>
      <c r="CF17" s="1042"/>
      <c r="CG17" s="1006"/>
      <c r="CH17" s="1042"/>
      <c r="CI17" s="813"/>
      <c r="CJ17" s="1042" t="s">
        <v>96</v>
      </c>
      <c r="CK17" s="525" t="s">
        <v>96</v>
      </c>
      <c r="CL17" s="814"/>
      <c r="CM17" s="815"/>
      <c r="CN17" s="814"/>
      <c r="CO17" s="816"/>
      <c r="CP17" s="525" t="s">
        <v>96</v>
      </c>
      <c r="CQ17" s="814"/>
      <c r="CR17" s="815"/>
      <c r="CS17" s="814"/>
      <c r="CT17" s="816"/>
      <c r="CU17" s="817" t="s">
        <v>63</v>
      </c>
      <c r="CV17" s="818" t="s">
        <v>29</v>
      </c>
      <c r="CW17" s="819">
        <v>9</v>
      </c>
      <c r="CX17" s="820">
        <v>2020</v>
      </c>
      <c r="CY17" s="819">
        <v>6</v>
      </c>
      <c r="CZ17" s="820">
        <v>2020</v>
      </c>
      <c r="DA17" s="819">
        <v>3</v>
      </c>
      <c r="DB17" s="820">
        <v>2020</v>
      </c>
      <c r="DC17" s="821" t="s">
        <v>96</v>
      </c>
      <c r="DD17" s="822" t="s">
        <v>90</v>
      </c>
      <c r="DE17" s="822"/>
      <c r="DF17" s="524">
        <v>720</v>
      </c>
      <c r="DG17" s="524">
        <v>-23516</v>
      </c>
      <c r="DH17" s="524">
        <v>-1960</v>
      </c>
      <c r="DI17" s="524" t="s">
        <v>236</v>
      </c>
      <c r="DJ17" s="524"/>
      <c r="DK17" s="524"/>
      <c r="DL17" s="795" t="s">
        <v>91</v>
      </c>
      <c r="DM17" s="814" t="s">
        <v>97</v>
      </c>
      <c r="DN17" s="823"/>
      <c r="DO17" s="1042"/>
      <c r="DP17" s="824"/>
      <c r="DQ17" s="823"/>
      <c r="DR17" s="816"/>
      <c r="DS17" s="825"/>
      <c r="DT17" s="535"/>
      <c r="DU17" s="526"/>
      <c r="DV17" s="1041"/>
      <c r="DW17" s="767"/>
      <c r="DX17" s="788" t="s">
        <v>114</v>
      </c>
      <c r="DY17" s="790"/>
      <c r="DZ17" s="790" t="s">
        <v>183</v>
      </c>
      <c r="EA17" s="790" t="s">
        <v>200</v>
      </c>
      <c r="EB17" s="826" t="s">
        <v>183</v>
      </c>
      <c r="EC17" s="790" t="s">
        <v>200</v>
      </c>
      <c r="ED17" s="827">
        <v>2014</v>
      </c>
      <c r="EE17" s="788">
        <v>0</v>
      </c>
      <c r="EF17" s="790" t="s">
        <v>96</v>
      </c>
      <c r="EG17" s="790" t="s">
        <v>183</v>
      </c>
      <c r="EH17" s="790" t="s">
        <v>200</v>
      </c>
      <c r="EI17" s="826" t="s">
        <v>183</v>
      </c>
      <c r="EJ17" s="1042" t="s">
        <v>200</v>
      </c>
      <c r="EK17" s="525">
        <v>2014</v>
      </c>
      <c r="EL17" s="527">
        <v>3.66</v>
      </c>
      <c r="EM17" s="1041" t="s">
        <v>96</v>
      </c>
      <c r="EN17" s="828" t="s">
        <v>63</v>
      </c>
      <c r="EO17" s="828"/>
      <c r="EP17" s="828"/>
      <c r="EQ17" s="828"/>
      <c r="ER17" s="828"/>
      <c r="ES17" s="828"/>
      <c r="ET17" s="828"/>
      <c r="EU17" s="828"/>
      <c r="EV17" s="828"/>
      <c r="EW17" s="828"/>
      <c r="EX17" s="828"/>
      <c r="EY17" s="828"/>
      <c r="EZ17" s="828"/>
      <c r="FA17" s="828"/>
      <c r="FB17" s="828"/>
      <c r="FC17" s="828"/>
      <c r="FD17" s="828"/>
      <c r="FE17" s="828"/>
      <c r="FF17" s="828"/>
      <c r="FG17" s="828"/>
      <c r="FH17" s="828"/>
      <c r="FI17" s="828"/>
      <c r="FJ17" s="828"/>
      <c r="FK17" s="828"/>
      <c r="FL17" s="829"/>
      <c r="FM17" s="829"/>
      <c r="FN17" s="829"/>
      <c r="FO17" s="829"/>
      <c r="FP17" s="829"/>
    </row>
    <row r="18" spans="1:175" s="830" customFormat="1" ht="19.5" customHeight="1" x14ac:dyDescent="0.2">
      <c r="A18" s="1042">
        <v>120</v>
      </c>
      <c r="B18" s="831">
        <v>2</v>
      </c>
      <c r="C18" s="1042"/>
      <c r="D18" s="1042" t="s">
        <v>84</v>
      </c>
      <c r="E18" s="354" t="s">
        <v>367</v>
      </c>
      <c r="F18" s="1042" t="s">
        <v>221</v>
      </c>
      <c r="G18" s="757" t="s">
        <v>223</v>
      </c>
      <c r="H18" s="758" t="s">
        <v>200</v>
      </c>
      <c r="I18" s="759" t="s">
        <v>191</v>
      </c>
      <c r="J18" s="758" t="s">
        <v>200</v>
      </c>
      <c r="K18" s="760" t="s">
        <v>368</v>
      </c>
      <c r="L18" s="761" t="s">
        <v>264</v>
      </c>
      <c r="M18" s="762" t="s">
        <v>269</v>
      </c>
      <c r="N18" s="763"/>
      <c r="O18" s="764" t="e">
        <v>#N/A</v>
      </c>
      <c r="P18" s="765"/>
      <c r="Q18" s="766" t="e">
        <v>#N/A</v>
      </c>
      <c r="R18" s="921" t="s">
        <v>79</v>
      </c>
      <c r="S18" s="768" t="s">
        <v>369</v>
      </c>
      <c r="T18" s="769" t="s">
        <v>53</v>
      </c>
      <c r="U18" s="770" t="s">
        <v>96</v>
      </c>
      <c r="V18" s="771" t="s">
        <v>248</v>
      </c>
      <c r="W18" s="884" t="s">
        <v>254</v>
      </c>
      <c r="X18" s="832" t="s">
        <v>250</v>
      </c>
      <c r="Y18" s="772" t="s">
        <v>254</v>
      </c>
      <c r="Z18" s="772" t="s">
        <v>250</v>
      </c>
      <c r="AA18" s="524" t="s">
        <v>240</v>
      </c>
      <c r="AB18" s="773">
        <v>4</v>
      </c>
      <c r="AC18" s="774" t="s">
        <v>200</v>
      </c>
      <c r="AD18" s="775">
        <v>9</v>
      </c>
      <c r="AE18" s="776">
        <v>3.33</v>
      </c>
      <c r="AF18" s="777"/>
      <c r="AG18" s="777"/>
      <c r="AH18" s="778"/>
      <c r="AI18" s="779" t="s">
        <v>200</v>
      </c>
      <c r="AJ18" s="780"/>
      <c r="AK18" s="779" t="s">
        <v>200</v>
      </c>
      <c r="AL18" s="781"/>
      <c r="AM18" s="782"/>
      <c r="AN18" s="783"/>
      <c r="AO18" s="784">
        <v>5</v>
      </c>
      <c r="AP18" s="785" t="s">
        <v>200</v>
      </c>
      <c r="AQ18" s="786">
        <v>9</v>
      </c>
      <c r="AR18" s="521">
        <v>3.66</v>
      </c>
      <c r="AS18" s="787"/>
      <c r="AT18" s="788" t="s">
        <v>183</v>
      </c>
      <c r="AU18" s="789" t="s">
        <v>200</v>
      </c>
      <c r="AV18" s="790" t="s">
        <v>210</v>
      </c>
      <c r="AW18" s="789" t="s">
        <v>200</v>
      </c>
      <c r="AX18" s="1088">
        <v>2016</v>
      </c>
      <c r="AY18" s="792"/>
      <c r="AZ18" s="793"/>
      <c r="BA18" s="522"/>
      <c r="BB18" s="794">
        <v>3</v>
      </c>
      <c r="BC18" s="523">
        <v>-24202</v>
      </c>
      <c r="BD18" s="523">
        <v>2.34</v>
      </c>
      <c r="BE18" s="795">
        <v>0.33</v>
      </c>
      <c r="BF18" s="796" t="s">
        <v>241</v>
      </c>
      <c r="BG18" s="797">
        <v>11</v>
      </c>
      <c r="BH18" s="798" t="s">
        <v>178</v>
      </c>
      <c r="BI18" s="799" t="s">
        <v>183</v>
      </c>
      <c r="BJ18" s="800" t="s">
        <v>200</v>
      </c>
      <c r="BK18" s="801">
        <v>7</v>
      </c>
      <c r="BL18" s="802" t="s">
        <v>356</v>
      </c>
      <c r="BM18" s="803"/>
      <c r="BN18" s="804"/>
      <c r="BO18" s="805"/>
      <c r="BP18" s="806">
        <v>12</v>
      </c>
      <c r="BQ18" s="807" t="s">
        <v>178</v>
      </c>
      <c r="BR18" s="789" t="s">
        <v>183</v>
      </c>
      <c r="BS18" s="1139" t="s">
        <v>200</v>
      </c>
      <c r="BT18" s="1134">
        <v>7</v>
      </c>
      <c r="BU18" s="808" t="s">
        <v>200</v>
      </c>
      <c r="BV18" s="1041">
        <v>2019</v>
      </c>
      <c r="BW18" s="809"/>
      <c r="BX18" s="810">
        <v>6</v>
      </c>
      <c r="BY18" s="881">
        <v>-24234</v>
      </c>
      <c r="BZ18" s="795" t="s">
        <v>96</v>
      </c>
      <c r="CA18" s="811" t="s">
        <v>355</v>
      </c>
      <c r="CB18" s="3" t="s">
        <v>201</v>
      </c>
      <c r="CC18" s="812" t="s">
        <v>125</v>
      </c>
      <c r="CD18" s="524">
        <v>24226</v>
      </c>
      <c r="CE18" s="1042" t="s">
        <v>63</v>
      </c>
      <c r="CF18" s="1042"/>
      <c r="CG18" s="1006"/>
      <c r="CH18" s="1042"/>
      <c r="CI18" s="813"/>
      <c r="CJ18" s="1042" t="s">
        <v>96</v>
      </c>
      <c r="CK18" s="525" t="s">
        <v>96</v>
      </c>
      <c r="CL18" s="814"/>
      <c r="CM18" s="815"/>
      <c r="CN18" s="814"/>
      <c r="CO18" s="816"/>
      <c r="CP18" s="525" t="s">
        <v>96</v>
      </c>
      <c r="CQ18" s="814"/>
      <c r="CR18" s="815"/>
      <c r="CS18" s="814"/>
      <c r="CT18" s="816"/>
      <c r="CU18" s="817" t="s">
        <v>63</v>
      </c>
      <c r="CV18" s="818" t="s">
        <v>29</v>
      </c>
      <c r="CW18" s="819">
        <v>2</v>
      </c>
      <c r="CX18" s="820">
        <v>2032</v>
      </c>
      <c r="CY18" s="819">
        <v>11</v>
      </c>
      <c r="CZ18" s="820">
        <v>2031</v>
      </c>
      <c r="DA18" s="819">
        <v>8</v>
      </c>
      <c r="DB18" s="820">
        <v>2031</v>
      </c>
      <c r="DC18" s="821" t="s">
        <v>96</v>
      </c>
      <c r="DD18" s="822" t="s">
        <v>90</v>
      </c>
      <c r="DE18" s="822"/>
      <c r="DF18" s="524">
        <v>660</v>
      </c>
      <c r="DG18" s="524">
        <v>-23713</v>
      </c>
      <c r="DH18" s="524">
        <v>-1977</v>
      </c>
      <c r="DI18" s="524" t="s">
        <v>237</v>
      </c>
      <c r="DJ18" s="524"/>
      <c r="DK18" s="524"/>
      <c r="DL18" s="795" t="s">
        <v>91</v>
      </c>
      <c r="DM18" s="814" t="s">
        <v>97</v>
      </c>
      <c r="DN18" s="823"/>
      <c r="DO18" s="1042"/>
      <c r="DP18" s="824"/>
      <c r="DQ18" s="823"/>
      <c r="DR18" s="816"/>
      <c r="DS18" s="825"/>
      <c r="DT18" s="535"/>
      <c r="DU18" s="526"/>
      <c r="DV18" s="1041"/>
      <c r="DW18" s="767"/>
      <c r="DX18" s="788" t="s">
        <v>65</v>
      </c>
      <c r="DY18" s="790"/>
      <c r="DZ18" s="790" t="s">
        <v>183</v>
      </c>
      <c r="EA18" s="790" t="s">
        <v>200</v>
      </c>
      <c r="EB18" s="826" t="s">
        <v>210</v>
      </c>
      <c r="EC18" s="790" t="s">
        <v>200</v>
      </c>
      <c r="ED18" s="827">
        <v>2013</v>
      </c>
      <c r="EE18" s="788">
        <v>0</v>
      </c>
      <c r="EF18" s="790" t="s">
        <v>96</v>
      </c>
      <c r="EG18" s="790" t="s">
        <v>183</v>
      </c>
      <c r="EH18" s="790" t="s">
        <v>200</v>
      </c>
      <c r="EI18" s="826" t="s">
        <v>210</v>
      </c>
      <c r="EJ18" s="1042" t="s">
        <v>200</v>
      </c>
      <c r="EK18" s="525">
        <v>2013</v>
      </c>
      <c r="EL18" s="527"/>
      <c r="EM18" s="1041" t="s">
        <v>96</v>
      </c>
      <c r="EN18" s="828" t="s">
        <v>63</v>
      </c>
      <c r="EO18" s="828"/>
      <c r="EP18" s="828"/>
      <c r="EQ18" s="828"/>
      <c r="ER18" s="828"/>
      <c r="ES18" s="828"/>
      <c r="ET18" s="828"/>
      <c r="EU18" s="828"/>
      <c r="EV18" s="828"/>
      <c r="EW18" s="828"/>
      <c r="EX18" s="828"/>
      <c r="EY18" s="828"/>
      <c r="EZ18" s="828"/>
      <c r="FA18" s="828"/>
      <c r="FB18" s="828"/>
      <c r="FC18" s="828"/>
      <c r="FD18" s="828"/>
      <c r="FE18" s="828"/>
      <c r="FF18" s="828"/>
      <c r="FG18" s="828"/>
      <c r="FH18" s="828"/>
      <c r="FI18" s="828"/>
      <c r="FJ18" s="828"/>
      <c r="FK18" s="828"/>
      <c r="FL18" s="829"/>
      <c r="FM18" s="829"/>
      <c r="FN18" s="829"/>
      <c r="FO18" s="829"/>
      <c r="FP18" s="829"/>
    </row>
    <row r="19" spans="1:175" s="830" customFormat="1" ht="22.5" customHeight="1" x14ac:dyDescent="0.2">
      <c r="A19" s="1042">
        <v>126</v>
      </c>
      <c r="B19" s="831">
        <v>3</v>
      </c>
      <c r="C19" s="1042"/>
      <c r="D19" s="1042" t="s">
        <v>83</v>
      </c>
      <c r="E19" s="354" t="s">
        <v>419</v>
      </c>
      <c r="F19" s="1042" t="s">
        <v>221</v>
      </c>
      <c r="G19" s="757" t="s">
        <v>174</v>
      </c>
      <c r="H19" s="758" t="s">
        <v>200</v>
      </c>
      <c r="I19" s="759">
        <v>3</v>
      </c>
      <c r="J19" s="758" t="s">
        <v>200</v>
      </c>
      <c r="K19" s="760">
        <v>1980</v>
      </c>
      <c r="L19" s="761" t="s">
        <v>264</v>
      </c>
      <c r="M19" s="762" t="s">
        <v>269</v>
      </c>
      <c r="N19" s="763"/>
      <c r="O19" s="764" t="e">
        <v>#N/A</v>
      </c>
      <c r="P19" s="765"/>
      <c r="Q19" s="766" t="e">
        <v>#N/A</v>
      </c>
      <c r="R19" s="921" t="s">
        <v>37</v>
      </c>
      <c r="S19" s="768" t="s">
        <v>342</v>
      </c>
      <c r="T19" s="769" t="s">
        <v>53</v>
      </c>
      <c r="U19" s="770" t="s">
        <v>96</v>
      </c>
      <c r="V19" s="771" t="s">
        <v>248</v>
      </c>
      <c r="W19" s="884" t="s">
        <v>254</v>
      </c>
      <c r="X19" s="832" t="s">
        <v>250</v>
      </c>
      <c r="Y19" s="772" t="s">
        <v>253</v>
      </c>
      <c r="Z19" s="772" t="s">
        <v>251</v>
      </c>
      <c r="AA19" s="524" t="s">
        <v>240</v>
      </c>
      <c r="AB19" s="773">
        <v>6</v>
      </c>
      <c r="AC19" s="774" t="s">
        <v>200</v>
      </c>
      <c r="AD19" s="775">
        <v>6</v>
      </c>
      <c r="AE19" s="776">
        <v>8</v>
      </c>
      <c r="AF19" s="777"/>
      <c r="AG19" s="777"/>
      <c r="AH19" s="778" t="s">
        <v>183</v>
      </c>
      <c r="AI19" s="779" t="s">
        <v>200</v>
      </c>
      <c r="AJ19" s="780" t="s">
        <v>210</v>
      </c>
      <c r="AK19" s="779" t="s">
        <v>200</v>
      </c>
      <c r="AL19" s="781">
        <v>2015</v>
      </c>
      <c r="AM19" s="782"/>
      <c r="AN19" s="783"/>
      <c r="AO19" s="784">
        <v>4</v>
      </c>
      <c r="AP19" s="785" t="s">
        <v>178</v>
      </c>
      <c r="AQ19" s="786">
        <v>5</v>
      </c>
      <c r="AR19" s="521" t="s">
        <v>178</v>
      </c>
      <c r="AS19" s="787"/>
      <c r="AT19" s="788" t="s">
        <v>183</v>
      </c>
      <c r="AU19" s="789" t="s">
        <v>200</v>
      </c>
      <c r="AV19" s="790" t="s">
        <v>210</v>
      </c>
      <c r="AW19" s="789" t="s">
        <v>200</v>
      </c>
      <c r="AX19" s="1088">
        <v>2018</v>
      </c>
      <c r="AY19" s="792"/>
      <c r="AZ19" s="793"/>
      <c r="BA19" s="522">
        <v>10</v>
      </c>
      <c r="BB19" s="794">
        <v>1</v>
      </c>
      <c r="BC19" s="523">
        <v>-24226</v>
      </c>
      <c r="BD19" s="523">
        <v>6.2</v>
      </c>
      <c r="BE19" s="795">
        <v>0.36</v>
      </c>
      <c r="BF19" s="796" t="s">
        <v>241</v>
      </c>
      <c r="BG19" s="797">
        <v>13</v>
      </c>
      <c r="BH19" s="798" t="s">
        <v>178</v>
      </c>
      <c r="BI19" s="799" t="s">
        <v>183</v>
      </c>
      <c r="BJ19" s="800" t="s">
        <v>200</v>
      </c>
      <c r="BK19" s="801">
        <v>7</v>
      </c>
      <c r="BL19" s="802" t="s">
        <v>356</v>
      </c>
      <c r="BM19" s="803"/>
      <c r="BN19" s="804"/>
      <c r="BO19" s="805"/>
      <c r="BP19" s="806">
        <v>14</v>
      </c>
      <c r="BQ19" s="807" t="s">
        <v>178</v>
      </c>
      <c r="BR19" s="789" t="s">
        <v>183</v>
      </c>
      <c r="BS19" s="1139" t="s">
        <v>200</v>
      </c>
      <c r="BT19" s="1134">
        <v>7</v>
      </c>
      <c r="BU19" s="808" t="s">
        <v>200</v>
      </c>
      <c r="BV19" s="1041">
        <v>2019</v>
      </c>
      <c r="BW19" s="809"/>
      <c r="BX19" s="810">
        <v>6</v>
      </c>
      <c r="BY19" s="881">
        <v>-24234</v>
      </c>
      <c r="BZ19" s="795" t="s">
        <v>96</v>
      </c>
      <c r="CA19" s="811" t="s">
        <v>337</v>
      </c>
      <c r="CB19" s="3" t="s">
        <v>201</v>
      </c>
      <c r="CC19" s="812" t="s">
        <v>125</v>
      </c>
      <c r="CD19" s="524" t="s">
        <v>63</v>
      </c>
      <c r="CE19" s="1042" t="s">
        <v>156</v>
      </c>
      <c r="CF19" s="1042">
        <v>2012</v>
      </c>
      <c r="CG19" s="1006" t="s">
        <v>251</v>
      </c>
      <c r="CH19" s="1042">
        <v>2007</v>
      </c>
      <c r="CI19" s="813"/>
      <c r="CJ19" s="1042" t="s">
        <v>126</v>
      </c>
      <c r="CK19" s="525" t="s">
        <v>113</v>
      </c>
      <c r="CL19" s="814">
        <v>1</v>
      </c>
      <c r="CM19" s="815">
        <v>2009</v>
      </c>
      <c r="CN19" s="814"/>
      <c r="CO19" s="816"/>
      <c r="CP19" s="525" t="s">
        <v>96</v>
      </c>
      <c r="CQ19" s="814"/>
      <c r="CR19" s="815"/>
      <c r="CS19" s="814"/>
      <c r="CT19" s="816"/>
      <c r="CU19" s="817" t="s">
        <v>63</v>
      </c>
      <c r="CV19" s="818" t="s">
        <v>29</v>
      </c>
      <c r="CW19" s="819">
        <v>9</v>
      </c>
      <c r="CX19" s="820">
        <v>2023</v>
      </c>
      <c r="CY19" s="819">
        <v>6</v>
      </c>
      <c r="CZ19" s="820">
        <v>2023</v>
      </c>
      <c r="DA19" s="819">
        <v>3</v>
      </c>
      <c r="DB19" s="820">
        <v>2023</v>
      </c>
      <c r="DC19" s="821" t="s">
        <v>96</v>
      </c>
      <c r="DD19" s="822" t="s">
        <v>336</v>
      </c>
      <c r="DE19" s="822">
        <v>7</v>
      </c>
      <c r="DF19" s="524">
        <v>804</v>
      </c>
      <c r="DG19" s="524">
        <v>-23468</v>
      </c>
      <c r="DH19" s="524">
        <v>-1956</v>
      </c>
      <c r="DI19" s="524" t="s">
        <v>236</v>
      </c>
      <c r="DJ19" s="524"/>
      <c r="DK19" s="524"/>
      <c r="DL19" s="795" t="s">
        <v>91</v>
      </c>
      <c r="DM19" s="814" t="s">
        <v>97</v>
      </c>
      <c r="DN19" s="823"/>
      <c r="DO19" s="1042"/>
      <c r="DP19" s="824"/>
      <c r="DQ19" s="823"/>
      <c r="DR19" s="816" t="s">
        <v>161</v>
      </c>
      <c r="DS19" s="825"/>
      <c r="DT19" s="535"/>
      <c r="DU19" s="526"/>
      <c r="DV19" s="1041"/>
      <c r="DW19" s="767"/>
      <c r="DX19" s="788" t="s">
        <v>66</v>
      </c>
      <c r="DY19" s="790"/>
      <c r="DZ19" s="790" t="s">
        <v>183</v>
      </c>
      <c r="EA19" s="790" t="s">
        <v>200</v>
      </c>
      <c r="EB19" s="826" t="s">
        <v>210</v>
      </c>
      <c r="EC19" s="790" t="s">
        <v>200</v>
      </c>
      <c r="ED19" s="827">
        <v>2012</v>
      </c>
      <c r="EE19" s="788">
        <v>0</v>
      </c>
      <c r="EF19" s="790" t="s">
        <v>96</v>
      </c>
      <c r="EG19" s="790" t="s">
        <v>183</v>
      </c>
      <c r="EH19" s="790" t="s">
        <v>200</v>
      </c>
      <c r="EI19" s="826" t="s">
        <v>210</v>
      </c>
      <c r="EJ19" s="1042" t="s">
        <v>200</v>
      </c>
      <c r="EK19" s="525">
        <v>2012</v>
      </c>
      <c r="EL19" s="527">
        <v>6.78</v>
      </c>
      <c r="EM19" s="1041" t="s">
        <v>96</v>
      </c>
      <c r="EN19" s="828" t="s">
        <v>63</v>
      </c>
      <c r="EO19" s="828"/>
      <c r="EP19" s="828"/>
      <c r="EQ19" s="828"/>
      <c r="ER19" s="828"/>
      <c r="ES19" s="828"/>
      <c r="ET19" s="828"/>
      <c r="EU19" s="828"/>
      <c r="EV19" s="828"/>
      <c r="EW19" s="828"/>
      <c r="EX19" s="828"/>
      <c r="EY19" s="828"/>
      <c r="EZ19" s="828"/>
      <c r="FA19" s="828"/>
      <c r="FB19" s="828"/>
      <c r="FC19" s="828"/>
      <c r="FD19" s="828"/>
      <c r="FE19" s="828"/>
      <c r="FF19" s="828"/>
      <c r="FG19" s="828"/>
      <c r="FH19" s="828"/>
      <c r="FI19" s="828"/>
      <c r="FJ19" s="828"/>
      <c r="FK19" s="828"/>
      <c r="FL19" s="829"/>
      <c r="FM19" s="829"/>
      <c r="FN19" s="829"/>
      <c r="FO19" s="829"/>
      <c r="FP19" s="829"/>
    </row>
    <row r="20" spans="1:175" s="830" customFormat="1" ht="23.25" customHeight="1" x14ac:dyDescent="0.2">
      <c r="A20" s="1042">
        <v>156</v>
      </c>
      <c r="B20" s="831">
        <v>4</v>
      </c>
      <c r="C20" s="1042"/>
      <c r="D20" s="1042" t="s">
        <v>84</v>
      </c>
      <c r="E20" s="354" t="s">
        <v>420</v>
      </c>
      <c r="F20" s="1042" t="s">
        <v>221</v>
      </c>
      <c r="G20" s="757" t="s">
        <v>131</v>
      </c>
      <c r="H20" s="758" t="s">
        <v>200</v>
      </c>
      <c r="I20" s="759" t="s">
        <v>186</v>
      </c>
      <c r="J20" s="758" t="s">
        <v>200</v>
      </c>
      <c r="K20" s="760" t="s">
        <v>234</v>
      </c>
      <c r="L20" s="761" t="s">
        <v>264</v>
      </c>
      <c r="M20" s="762" t="s">
        <v>269</v>
      </c>
      <c r="N20" s="763"/>
      <c r="O20" s="764" t="s">
        <v>52</v>
      </c>
      <c r="P20" s="765" t="s">
        <v>421</v>
      </c>
      <c r="Q20" s="766">
        <v>1.1000000000000001</v>
      </c>
      <c r="R20" s="921"/>
      <c r="S20" s="768" t="s">
        <v>324</v>
      </c>
      <c r="T20" s="769" t="s">
        <v>123</v>
      </c>
      <c r="U20" s="770" t="s">
        <v>54</v>
      </c>
      <c r="V20" s="771" t="s">
        <v>248</v>
      </c>
      <c r="W20" s="884" t="s">
        <v>253</v>
      </c>
      <c r="X20" s="832" t="s">
        <v>251</v>
      </c>
      <c r="Y20" s="772" t="s">
        <v>254</v>
      </c>
      <c r="Z20" s="772" t="s">
        <v>250</v>
      </c>
      <c r="AA20" s="524" t="s">
        <v>240</v>
      </c>
      <c r="AB20" s="773">
        <v>4</v>
      </c>
      <c r="AC20" s="774" t="s">
        <v>200</v>
      </c>
      <c r="AD20" s="775">
        <v>9</v>
      </c>
      <c r="AE20" s="776">
        <v>3.33</v>
      </c>
      <c r="AF20" s="777"/>
      <c r="AG20" s="777"/>
      <c r="AH20" s="778"/>
      <c r="AI20" s="779" t="s">
        <v>200</v>
      </c>
      <c r="AJ20" s="780"/>
      <c r="AK20" s="779" t="s">
        <v>200</v>
      </c>
      <c r="AL20" s="781"/>
      <c r="AM20" s="782"/>
      <c r="AN20" s="783"/>
      <c r="AO20" s="784">
        <v>5</v>
      </c>
      <c r="AP20" s="785" t="s">
        <v>200</v>
      </c>
      <c r="AQ20" s="786">
        <v>9</v>
      </c>
      <c r="AR20" s="521">
        <v>3.66</v>
      </c>
      <c r="AS20" s="787"/>
      <c r="AT20" s="788" t="s">
        <v>183</v>
      </c>
      <c r="AU20" s="789" t="s">
        <v>200</v>
      </c>
      <c r="AV20" s="790">
        <v>11</v>
      </c>
      <c r="AW20" s="789" t="s">
        <v>200</v>
      </c>
      <c r="AX20" s="1088">
        <v>2016</v>
      </c>
      <c r="AY20" s="792"/>
      <c r="AZ20" s="793"/>
      <c r="BA20" s="522"/>
      <c r="BB20" s="794">
        <v>3</v>
      </c>
      <c r="BC20" s="523">
        <v>-24203</v>
      </c>
      <c r="BD20" s="523">
        <v>2.34</v>
      </c>
      <c r="BE20" s="795">
        <v>0.33</v>
      </c>
      <c r="BF20" s="796" t="s">
        <v>241</v>
      </c>
      <c r="BG20" s="797">
        <v>23</v>
      </c>
      <c r="BH20" s="798" t="s">
        <v>178</v>
      </c>
      <c r="BI20" s="799" t="s">
        <v>183</v>
      </c>
      <c r="BJ20" s="800" t="s">
        <v>200</v>
      </c>
      <c r="BK20" s="801">
        <v>7</v>
      </c>
      <c r="BL20" s="802" t="s">
        <v>356</v>
      </c>
      <c r="BM20" s="803"/>
      <c r="BN20" s="804"/>
      <c r="BO20" s="805"/>
      <c r="BP20" s="806">
        <v>24</v>
      </c>
      <c r="BQ20" s="807" t="s">
        <v>178</v>
      </c>
      <c r="BR20" s="789" t="s">
        <v>183</v>
      </c>
      <c r="BS20" s="1139" t="s">
        <v>200</v>
      </c>
      <c r="BT20" s="1134">
        <v>7</v>
      </c>
      <c r="BU20" s="808" t="s">
        <v>200</v>
      </c>
      <c r="BV20" s="1041">
        <v>2019</v>
      </c>
      <c r="BW20" s="809"/>
      <c r="BX20" s="810">
        <v>6</v>
      </c>
      <c r="BY20" s="881">
        <v>-24234</v>
      </c>
      <c r="BZ20" s="795" t="s">
        <v>96</v>
      </c>
      <c r="CA20" s="811" t="s">
        <v>337</v>
      </c>
      <c r="CB20" s="3" t="s">
        <v>201</v>
      </c>
      <c r="CC20" s="812" t="s">
        <v>125</v>
      </c>
      <c r="CD20" s="524">
        <v>24227</v>
      </c>
      <c r="CE20" s="1042" t="s">
        <v>156</v>
      </c>
      <c r="CF20" s="1042">
        <v>2013</v>
      </c>
      <c r="CG20" s="1006" t="s">
        <v>250</v>
      </c>
      <c r="CH20" s="1042"/>
      <c r="CI20" s="813"/>
      <c r="CJ20" s="1042" t="s">
        <v>126</v>
      </c>
      <c r="CK20" s="525" t="s">
        <v>96</v>
      </c>
      <c r="CL20" s="814"/>
      <c r="CM20" s="815"/>
      <c r="CN20" s="814"/>
      <c r="CO20" s="816"/>
      <c r="CP20" s="525" t="s">
        <v>96</v>
      </c>
      <c r="CQ20" s="814"/>
      <c r="CR20" s="815"/>
      <c r="CS20" s="814"/>
      <c r="CT20" s="816"/>
      <c r="CU20" s="817" t="s">
        <v>63</v>
      </c>
      <c r="CV20" s="818" t="s">
        <v>29</v>
      </c>
      <c r="CW20" s="819">
        <v>7</v>
      </c>
      <c r="CX20" s="820">
        <v>2033</v>
      </c>
      <c r="CY20" s="819">
        <v>4</v>
      </c>
      <c r="CZ20" s="820">
        <v>2033</v>
      </c>
      <c r="DA20" s="819">
        <v>1</v>
      </c>
      <c r="DB20" s="820">
        <v>2033</v>
      </c>
      <c r="DC20" s="821" t="s">
        <v>96</v>
      </c>
      <c r="DD20" s="822" t="s">
        <v>90</v>
      </c>
      <c r="DE20" s="822"/>
      <c r="DF20" s="524">
        <v>660</v>
      </c>
      <c r="DG20" s="524">
        <v>-23730</v>
      </c>
      <c r="DH20" s="524">
        <v>-1978</v>
      </c>
      <c r="DI20" s="524" t="s">
        <v>237</v>
      </c>
      <c r="DJ20" s="524"/>
      <c r="DK20" s="524"/>
      <c r="DL20" s="795" t="s">
        <v>91</v>
      </c>
      <c r="DM20" s="814" t="s">
        <v>92</v>
      </c>
      <c r="DN20" s="823">
        <v>2008</v>
      </c>
      <c r="DO20" s="1042"/>
      <c r="DP20" s="824"/>
      <c r="DQ20" s="823"/>
      <c r="DR20" s="816"/>
      <c r="DS20" s="825"/>
      <c r="DT20" s="535"/>
      <c r="DU20" s="526" t="s">
        <v>238</v>
      </c>
      <c r="DV20" s="1041" t="s">
        <v>51</v>
      </c>
      <c r="DW20" s="767" t="s">
        <v>206</v>
      </c>
      <c r="DX20" s="788" t="s">
        <v>66</v>
      </c>
      <c r="DY20" s="790" t="s">
        <v>206</v>
      </c>
      <c r="DZ20" s="790" t="s">
        <v>183</v>
      </c>
      <c r="EA20" s="790" t="s">
        <v>200</v>
      </c>
      <c r="EB20" s="826">
        <v>11</v>
      </c>
      <c r="EC20" s="790" t="s">
        <v>200</v>
      </c>
      <c r="ED20" s="827">
        <v>2013</v>
      </c>
      <c r="EE20" s="788">
        <v>0</v>
      </c>
      <c r="EF20" s="790" t="s">
        <v>96</v>
      </c>
      <c r="EG20" s="790" t="s">
        <v>183</v>
      </c>
      <c r="EH20" s="790" t="s">
        <v>200</v>
      </c>
      <c r="EI20" s="826">
        <v>11</v>
      </c>
      <c r="EJ20" s="1042" t="s">
        <v>200</v>
      </c>
      <c r="EK20" s="525">
        <v>2013</v>
      </c>
      <c r="EL20" s="527"/>
      <c r="EM20" s="1041" t="s">
        <v>96</v>
      </c>
      <c r="EN20" s="828" t="s">
        <v>63</v>
      </c>
      <c r="EO20" s="828"/>
      <c r="EP20" s="828"/>
      <c r="EQ20" s="828"/>
      <c r="ER20" s="828"/>
      <c r="ES20" s="828"/>
      <c r="ET20" s="828"/>
      <c r="EU20" s="828"/>
      <c r="EV20" s="828"/>
      <c r="EW20" s="828"/>
      <c r="EX20" s="828"/>
      <c r="EY20" s="828"/>
      <c r="EZ20" s="828"/>
      <c r="FA20" s="828"/>
      <c r="FB20" s="828"/>
      <c r="FC20" s="828"/>
      <c r="FD20" s="828"/>
      <c r="FE20" s="828"/>
      <c r="FF20" s="828"/>
      <c r="FG20" s="828"/>
      <c r="FH20" s="828"/>
      <c r="FI20" s="828"/>
      <c r="FJ20" s="828"/>
      <c r="FK20" s="828"/>
      <c r="FL20" s="829"/>
      <c r="FM20" s="829"/>
      <c r="FN20" s="829"/>
      <c r="FO20" s="829"/>
      <c r="FP20" s="829"/>
    </row>
    <row r="21" spans="1:175" s="830" customFormat="1" ht="21.75" customHeight="1" x14ac:dyDescent="0.2">
      <c r="A21" s="1042">
        <v>169</v>
      </c>
      <c r="B21" s="831">
        <v>5</v>
      </c>
      <c r="C21" s="1042"/>
      <c r="D21" s="1042" t="s">
        <v>84</v>
      </c>
      <c r="E21" s="354" t="s">
        <v>422</v>
      </c>
      <c r="F21" s="1042" t="s">
        <v>221</v>
      </c>
      <c r="G21" s="757" t="s">
        <v>135</v>
      </c>
      <c r="H21" s="758" t="s">
        <v>200</v>
      </c>
      <c r="I21" s="759" t="s">
        <v>191</v>
      </c>
      <c r="J21" s="758" t="s">
        <v>200</v>
      </c>
      <c r="K21" s="760">
        <v>1959</v>
      </c>
      <c r="L21" s="761" t="s">
        <v>264</v>
      </c>
      <c r="M21" s="762" t="s">
        <v>269</v>
      </c>
      <c r="N21" s="763"/>
      <c r="O21" s="764" t="s">
        <v>52</v>
      </c>
      <c r="P21" s="765" t="s">
        <v>115</v>
      </c>
      <c r="Q21" s="766">
        <v>1</v>
      </c>
      <c r="R21" s="921"/>
      <c r="S21" s="768" t="s">
        <v>323</v>
      </c>
      <c r="T21" s="769" t="s">
        <v>123</v>
      </c>
      <c r="U21" s="770" t="s">
        <v>54</v>
      </c>
      <c r="V21" s="771" t="s">
        <v>248</v>
      </c>
      <c r="W21" s="884" t="s">
        <v>253</v>
      </c>
      <c r="X21" s="832" t="s">
        <v>251</v>
      </c>
      <c r="Y21" s="772" t="s">
        <v>255</v>
      </c>
      <c r="Z21" s="772" t="s">
        <v>252</v>
      </c>
      <c r="AA21" s="524" t="s">
        <v>240</v>
      </c>
      <c r="AB21" s="773">
        <v>3</v>
      </c>
      <c r="AC21" s="774" t="s">
        <v>200</v>
      </c>
      <c r="AD21" s="775">
        <v>8</v>
      </c>
      <c r="AE21" s="776">
        <v>5.08</v>
      </c>
      <c r="AF21" s="777"/>
      <c r="AG21" s="777"/>
      <c r="AH21" s="778" t="s">
        <v>183</v>
      </c>
      <c r="AI21" s="779" t="s">
        <v>200</v>
      </c>
      <c r="AJ21" s="780" t="s">
        <v>216</v>
      </c>
      <c r="AK21" s="779" t="s">
        <v>200</v>
      </c>
      <c r="AL21" s="781">
        <v>2016</v>
      </c>
      <c r="AM21" s="782"/>
      <c r="AN21" s="783"/>
      <c r="AO21" s="784">
        <v>4</v>
      </c>
      <c r="AP21" s="785" t="s">
        <v>200</v>
      </c>
      <c r="AQ21" s="786">
        <v>8</v>
      </c>
      <c r="AR21" s="521">
        <v>5.42</v>
      </c>
      <c r="AS21" s="787"/>
      <c r="AT21" s="788" t="s">
        <v>183</v>
      </c>
      <c r="AU21" s="789" t="s">
        <v>200</v>
      </c>
      <c r="AV21" s="790">
        <v>4</v>
      </c>
      <c r="AW21" s="789" t="s">
        <v>200</v>
      </c>
      <c r="AX21" s="1088">
        <v>2019</v>
      </c>
      <c r="AY21" s="792"/>
      <c r="AZ21" s="793"/>
      <c r="BA21" s="522"/>
      <c r="BB21" s="794">
        <v>3</v>
      </c>
      <c r="BC21" s="523">
        <v>-24232</v>
      </c>
      <c r="BD21" s="523">
        <v>4.4000000000000004</v>
      </c>
      <c r="BE21" s="795">
        <v>0.34</v>
      </c>
      <c r="BF21" s="796" t="s">
        <v>241</v>
      </c>
      <c r="BG21" s="797">
        <v>34</v>
      </c>
      <c r="BH21" s="798" t="s">
        <v>178</v>
      </c>
      <c r="BI21" s="799" t="s">
        <v>183</v>
      </c>
      <c r="BJ21" s="800" t="s">
        <v>200</v>
      </c>
      <c r="BK21" s="801">
        <v>7</v>
      </c>
      <c r="BL21" s="802" t="s">
        <v>356</v>
      </c>
      <c r="BM21" s="803"/>
      <c r="BN21" s="804"/>
      <c r="BO21" s="805"/>
      <c r="BP21" s="806">
        <v>35</v>
      </c>
      <c r="BQ21" s="807" t="s">
        <v>178</v>
      </c>
      <c r="BR21" s="789" t="s">
        <v>183</v>
      </c>
      <c r="BS21" s="1139" t="s">
        <v>200</v>
      </c>
      <c r="BT21" s="1134">
        <v>7</v>
      </c>
      <c r="BU21" s="808" t="s">
        <v>200</v>
      </c>
      <c r="BV21" s="1041">
        <v>2019</v>
      </c>
      <c r="BW21" s="809"/>
      <c r="BX21" s="810">
        <v>6</v>
      </c>
      <c r="BY21" s="881">
        <v>-24234</v>
      </c>
      <c r="BZ21" s="795" t="s">
        <v>96</v>
      </c>
      <c r="CA21" s="811" t="s">
        <v>337</v>
      </c>
      <c r="CB21" s="3" t="s">
        <v>201</v>
      </c>
      <c r="CC21" s="812" t="s">
        <v>125</v>
      </c>
      <c r="CD21" s="524">
        <v>24256</v>
      </c>
      <c r="CE21" s="1042" t="s">
        <v>156</v>
      </c>
      <c r="CF21" s="1042">
        <v>2013</v>
      </c>
      <c r="CG21" s="1006" t="s">
        <v>252</v>
      </c>
      <c r="CH21" s="1042"/>
      <c r="CI21" s="813"/>
      <c r="CJ21" s="1042" t="s">
        <v>126</v>
      </c>
      <c r="CK21" s="525" t="s">
        <v>113</v>
      </c>
      <c r="CL21" s="814">
        <v>1</v>
      </c>
      <c r="CM21" s="815" t="s">
        <v>203</v>
      </c>
      <c r="CN21" s="814"/>
      <c r="CO21" s="816"/>
      <c r="CP21" s="525" t="s">
        <v>96</v>
      </c>
      <c r="CQ21" s="814"/>
      <c r="CR21" s="815"/>
      <c r="CS21" s="814"/>
      <c r="CT21" s="816"/>
      <c r="CU21" s="817" t="s">
        <v>63</v>
      </c>
      <c r="CV21" s="818" t="s">
        <v>29</v>
      </c>
      <c r="CW21" s="819">
        <v>12</v>
      </c>
      <c r="CX21" s="820">
        <v>2025</v>
      </c>
      <c r="CY21" s="819">
        <v>9</v>
      </c>
      <c r="CZ21" s="820">
        <v>2025</v>
      </c>
      <c r="DA21" s="819">
        <v>6</v>
      </c>
      <c r="DB21" s="820">
        <v>2025</v>
      </c>
      <c r="DC21" s="821" t="s">
        <v>96</v>
      </c>
      <c r="DD21" s="822" t="s">
        <v>90</v>
      </c>
      <c r="DE21" s="822"/>
      <c r="DF21" s="524">
        <v>660</v>
      </c>
      <c r="DG21" s="524">
        <v>-23639</v>
      </c>
      <c r="DH21" s="524">
        <v>-1970</v>
      </c>
      <c r="DI21" s="524" t="s">
        <v>237</v>
      </c>
      <c r="DJ21" s="524"/>
      <c r="DK21" s="524"/>
      <c r="DL21" s="795" t="s">
        <v>91</v>
      </c>
      <c r="DM21" s="814" t="s">
        <v>97</v>
      </c>
      <c r="DN21" s="823"/>
      <c r="DO21" s="1042"/>
      <c r="DP21" s="824"/>
      <c r="DQ21" s="823"/>
      <c r="DR21" s="816"/>
      <c r="DS21" s="825"/>
      <c r="DT21" s="535"/>
      <c r="DU21" s="526"/>
      <c r="DV21" s="1041"/>
      <c r="DW21" s="767" t="s">
        <v>273</v>
      </c>
      <c r="DX21" s="788" t="s">
        <v>73</v>
      </c>
      <c r="DY21" s="790" t="s">
        <v>165</v>
      </c>
      <c r="DZ21" s="790" t="s">
        <v>183</v>
      </c>
      <c r="EA21" s="790" t="s">
        <v>200</v>
      </c>
      <c r="EB21" s="826">
        <v>4</v>
      </c>
      <c r="EC21" s="790" t="s">
        <v>200</v>
      </c>
      <c r="ED21" s="827">
        <v>2013</v>
      </c>
      <c r="EE21" s="788">
        <v>0</v>
      </c>
      <c r="EF21" s="790" t="s">
        <v>96</v>
      </c>
      <c r="EG21" s="790" t="s">
        <v>183</v>
      </c>
      <c r="EH21" s="790" t="s">
        <v>200</v>
      </c>
      <c r="EI21" s="826">
        <v>4</v>
      </c>
      <c r="EJ21" s="1042" t="s">
        <v>200</v>
      </c>
      <c r="EK21" s="525">
        <v>2013</v>
      </c>
      <c r="EL21" s="527">
        <v>3.66</v>
      </c>
      <c r="EM21" s="1041" t="s">
        <v>96</v>
      </c>
      <c r="EN21" s="828" t="s">
        <v>63</v>
      </c>
      <c r="EO21" s="828"/>
      <c r="EP21" s="828"/>
      <c r="EQ21" s="828"/>
      <c r="ER21" s="828"/>
      <c r="ES21" s="828"/>
      <c r="ET21" s="828"/>
      <c r="EU21" s="828"/>
      <c r="EV21" s="828"/>
      <c r="EW21" s="828"/>
      <c r="EX21" s="828"/>
      <c r="EY21" s="828"/>
      <c r="EZ21" s="828"/>
      <c r="FA21" s="828"/>
      <c r="FB21" s="828"/>
      <c r="FC21" s="828"/>
      <c r="FD21" s="828"/>
      <c r="FE21" s="828"/>
      <c r="FF21" s="828"/>
      <c r="FG21" s="828"/>
      <c r="FH21" s="828"/>
      <c r="FI21" s="828"/>
      <c r="FJ21" s="828"/>
      <c r="FK21" s="828"/>
      <c r="FL21" s="829"/>
      <c r="FM21" s="829"/>
      <c r="FN21" s="829"/>
      <c r="FO21" s="829"/>
      <c r="FP21" s="829"/>
    </row>
    <row r="22" spans="1:175" s="830" customFormat="1" ht="22.5" customHeight="1" x14ac:dyDescent="0.2">
      <c r="A22" s="1042">
        <v>226</v>
      </c>
      <c r="B22" s="831">
        <v>6</v>
      </c>
      <c r="C22" s="1042"/>
      <c r="D22" s="1042" t="s">
        <v>84</v>
      </c>
      <c r="E22" s="354" t="s">
        <v>377</v>
      </c>
      <c r="F22" s="1042" t="s">
        <v>221</v>
      </c>
      <c r="G22" s="757" t="s">
        <v>210</v>
      </c>
      <c r="H22" s="758" t="s">
        <v>200</v>
      </c>
      <c r="I22" s="759" t="s">
        <v>211</v>
      </c>
      <c r="J22" s="758" t="s">
        <v>200</v>
      </c>
      <c r="K22" s="760" t="s">
        <v>162</v>
      </c>
      <c r="L22" s="761" t="s">
        <v>264</v>
      </c>
      <c r="M22" s="762" t="s">
        <v>269</v>
      </c>
      <c r="N22" s="763"/>
      <c r="O22" s="764" t="e">
        <v>#N/A</v>
      </c>
      <c r="P22" s="765"/>
      <c r="Q22" s="766" t="e">
        <v>#N/A</v>
      </c>
      <c r="R22" s="921" t="s">
        <v>61</v>
      </c>
      <c r="S22" s="768" t="s">
        <v>325</v>
      </c>
      <c r="T22" s="769" t="s">
        <v>53</v>
      </c>
      <c r="U22" s="770" t="s">
        <v>96</v>
      </c>
      <c r="V22" s="771" t="s">
        <v>248</v>
      </c>
      <c r="W22" s="884" t="s">
        <v>254</v>
      </c>
      <c r="X22" s="832" t="s">
        <v>250</v>
      </c>
      <c r="Y22" s="772" t="s">
        <v>254</v>
      </c>
      <c r="Z22" s="772" t="s">
        <v>250</v>
      </c>
      <c r="AA22" s="524" t="s">
        <v>240</v>
      </c>
      <c r="AB22" s="773">
        <v>5</v>
      </c>
      <c r="AC22" s="774" t="s">
        <v>200</v>
      </c>
      <c r="AD22" s="775">
        <v>9</v>
      </c>
      <c r="AE22" s="776">
        <v>3.66</v>
      </c>
      <c r="AF22" s="777"/>
      <c r="AG22" s="777"/>
      <c r="AH22" s="778"/>
      <c r="AI22" s="779" t="s">
        <v>200</v>
      </c>
      <c r="AJ22" s="780"/>
      <c r="AK22" s="779" t="s">
        <v>200</v>
      </c>
      <c r="AL22" s="781"/>
      <c r="AM22" s="782"/>
      <c r="AN22" s="783"/>
      <c r="AO22" s="784">
        <v>6</v>
      </c>
      <c r="AP22" s="785" t="s">
        <v>200</v>
      </c>
      <c r="AQ22" s="786">
        <v>9</v>
      </c>
      <c r="AR22" s="521">
        <v>3.99</v>
      </c>
      <c r="AS22" s="787"/>
      <c r="AT22" s="788" t="s">
        <v>183</v>
      </c>
      <c r="AU22" s="789"/>
      <c r="AV22" s="790" t="s">
        <v>211</v>
      </c>
      <c r="AW22" s="789" t="s">
        <v>200</v>
      </c>
      <c r="AX22" s="1088">
        <v>2018</v>
      </c>
      <c r="AY22" s="792"/>
      <c r="AZ22" s="793"/>
      <c r="BA22" s="522"/>
      <c r="BB22" s="794">
        <v>3</v>
      </c>
      <c r="BC22" s="523">
        <v>-24227</v>
      </c>
      <c r="BD22" s="523">
        <v>2.34</v>
      </c>
      <c r="BE22" s="795">
        <v>0.33</v>
      </c>
      <c r="BF22" s="796" t="s">
        <v>241</v>
      </c>
      <c r="BG22" s="797">
        <v>14</v>
      </c>
      <c r="BH22" s="798" t="s">
        <v>178</v>
      </c>
      <c r="BI22" s="799" t="s">
        <v>183</v>
      </c>
      <c r="BJ22" s="800" t="s">
        <v>200</v>
      </c>
      <c r="BK22" s="801">
        <v>7</v>
      </c>
      <c r="BL22" s="802" t="s">
        <v>356</v>
      </c>
      <c r="BM22" s="803"/>
      <c r="BN22" s="804"/>
      <c r="BO22" s="805"/>
      <c r="BP22" s="806">
        <v>15</v>
      </c>
      <c r="BQ22" s="807" t="s">
        <v>178</v>
      </c>
      <c r="BR22" s="789" t="s">
        <v>183</v>
      </c>
      <c r="BS22" s="1139"/>
      <c r="BT22" s="1134">
        <v>7</v>
      </c>
      <c r="BU22" s="808"/>
      <c r="BV22" s="1041">
        <v>2019</v>
      </c>
      <c r="BW22" s="809"/>
      <c r="BX22" s="810">
        <v>6</v>
      </c>
      <c r="BY22" s="881">
        <v>-24234</v>
      </c>
      <c r="BZ22" s="795" t="s">
        <v>96</v>
      </c>
      <c r="CA22" s="811" t="s">
        <v>349</v>
      </c>
      <c r="CB22" s="3" t="s">
        <v>201</v>
      </c>
      <c r="CC22" s="812" t="s">
        <v>125</v>
      </c>
      <c r="CD22" s="524">
        <v>24251</v>
      </c>
      <c r="CE22" s="1042" t="s">
        <v>63</v>
      </c>
      <c r="CF22" s="1042"/>
      <c r="CG22" s="1006"/>
      <c r="CH22" s="1042"/>
      <c r="CI22" s="813"/>
      <c r="CJ22" s="1042" t="s">
        <v>96</v>
      </c>
      <c r="CK22" s="525" t="s">
        <v>96</v>
      </c>
      <c r="CL22" s="814"/>
      <c r="CM22" s="815"/>
      <c r="CN22" s="814"/>
      <c r="CO22" s="816"/>
      <c r="CP22" s="525" t="s">
        <v>96</v>
      </c>
      <c r="CQ22" s="814"/>
      <c r="CR22" s="815"/>
      <c r="CS22" s="814"/>
      <c r="CT22" s="816"/>
      <c r="CU22" s="817" t="s">
        <v>63</v>
      </c>
      <c r="CV22" s="818" t="s">
        <v>29</v>
      </c>
      <c r="CW22" s="819">
        <v>4</v>
      </c>
      <c r="CX22" s="820">
        <v>2035</v>
      </c>
      <c r="CY22" s="819">
        <v>1</v>
      </c>
      <c r="CZ22" s="820">
        <v>2035</v>
      </c>
      <c r="DA22" s="819">
        <v>10</v>
      </c>
      <c r="DB22" s="820">
        <v>2034</v>
      </c>
      <c r="DC22" s="821" t="s">
        <v>96</v>
      </c>
      <c r="DD22" s="822" t="s">
        <v>90</v>
      </c>
      <c r="DE22" s="822"/>
      <c r="DF22" s="524">
        <v>660</v>
      </c>
      <c r="DG22" s="524">
        <v>-23751</v>
      </c>
      <c r="DH22" s="524">
        <v>-1980</v>
      </c>
      <c r="DI22" s="524" t="s">
        <v>237</v>
      </c>
      <c r="DJ22" s="524"/>
      <c r="DK22" s="524"/>
      <c r="DL22" s="795" t="s">
        <v>91</v>
      </c>
      <c r="DM22" s="814" t="s">
        <v>92</v>
      </c>
      <c r="DN22" s="823">
        <v>2009</v>
      </c>
      <c r="DO22" s="1042"/>
      <c r="DP22" s="824"/>
      <c r="DQ22" s="823"/>
      <c r="DR22" s="816"/>
      <c r="DS22" s="825"/>
      <c r="DT22" s="535"/>
      <c r="DU22" s="526"/>
      <c r="DV22" s="1041"/>
      <c r="DW22" s="767" t="s">
        <v>226</v>
      </c>
      <c r="DX22" s="788" t="s">
        <v>78</v>
      </c>
      <c r="DY22" s="790" t="s">
        <v>226</v>
      </c>
      <c r="DZ22" s="790" t="s">
        <v>183</v>
      </c>
      <c r="EA22" s="790" t="s">
        <v>200</v>
      </c>
      <c r="EB22" s="826" t="s">
        <v>211</v>
      </c>
      <c r="EC22" s="790" t="s">
        <v>200</v>
      </c>
      <c r="ED22" s="827">
        <v>2012</v>
      </c>
      <c r="EE22" s="788">
        <v>0</v>
      </c>
      <c r="EF22" s="790" t="s">
        <v>96</v>
      </c>
      <c r="EG22" s="790" t="s">
        <v>183</v>
      </c>
      <c r="EH22" s="790" t="s">
        <v>200</v>
      </c>
      <c r="EI22" s="826" t="s">
        <v>211</v>
      </c>
      <c r="EJ22" s="1042" t="s">
        <v>200</v>
      </c>
      <c r="EK22" s="525">
        <v>2012</v>
      </c>
      <c r="EL22" s="527"/>
      <c r="EM22" s="1041" t="s">
        <v>96</v>
      </c>
      <c r="EN22" s="828" t="s">
        <v>63</v>
      </c>
      <c r="EO22" s="828"/>
      <c r="EP22" s="828"/>
      <c r="EQ22" s="828"/>
      <c r="ER22" s="828"/>
      <c r="ES22" s="828"/>
      <c r="ET22" s="828"/>
      <c r="EU22" s="828"/>
      <c r="EV22" s="828"/>
      <c r="EW22" s="828"/>
      <c r="EX22" s="828"/>
      <c r="EY22" s="828"/>
      <c r="EZ22" s="828"/>
      <c r="FA22" s="828"/>
      <c r="FB22" s="828"/>
      <c r="FC22" s="828"/>
      <c r="FD22" s="828"/>
      <c r="FE22" s="828"/>
      <c r="FF22" s="828"/>
      <c r="FG22" s="828"/>
      <c r="FH22" s="828"/>
      <c r="FI22" s="828"/>
      <c r="FJ22" s="828"/>
      <c r="FK22" s="828"/>
      <c r="FL22" s="829"/>
      <c r="FM22" s="829"/>
      <c r="FN22" s="829"/>
      <c r="FO22" s="829"/>
      <c r="FP22" s="829"/>
    </row>
    <row r="23" spans="1:175" s="830" customFormat="1" ht="23.25" customHeight="1" x14ac:dyDescent="0.2">
      <c r="A23" s="1042">
        <v>490</v>
      </c>
      <c r="B23" s="831">
        <v>7</v>
      </c>
      <c r="C23" s="1042"/>
      <c r="D23" s="1042" t="s">
        <v>83</v>
      </c>
      <c r="E23" s="354" t="s">
        <v>423</v>
      </c>
      <c r="F23" s="1042" t="s">
        <v>221</v>
      </c>
      <c r="G23" s="757" t="s">
        <v>210</v>
      </c>
      <c r="H23" s="758" t="s">
        <v>200</v>
      </c>
      <c r="I23" s="759" t="s">
        <v>188</v>
      </c>
      <c r="J23" s="758" t="s">
        <v>200</v>
      </c>
      <c r="K23" s="760">
        <v>1975</v>
      </c>
      <c r="L23" s="761" t="s">
        <v>264</v>
      </c>
      <c r="M23" s="762" t="s">
        <v>269</v>
      </c>
      <c r="N23" s="763"/>
      <c r="O23" s="764" t="s">
        <v>52</v>
      </c>
      <c r="P23" s="765" t="s">
        <v>424</v>
      </c>
      <c r="Q23" s="766">
        <v>0.8</v>
      </c>
      <c r="R23" s="921"/>
      <c r="S23" s="768" t="s">
        <v>328</v>
      </c>
      <c r="T23" s="769" t="s">
        <v>123</v>
      </c>
      <c r="U23" s="770" t="s">
        <v>54</v>
      </c>
      <c r="V23" s="771" t="s">
        <v>248</v>
      </c>
      <c r="W23" s="884" t="s">
        <v>253</v>
      </c>
      <c r="X23" s="832" t="s">
        <v>251</v>
      </c>
      <c r="Y23" s="772" t="s">
        <v>254</v>
      </c>
      <c r="Z23" s="772" t="s">
        <v>250</v>
      </c>
      <c r="AA23" s="524" t="s">
        <v>240</v>
      </c>
      <c r="AB23" s="773">
        <v>4</v>
      </c>
      <c r="AC23" s="774" t="s">
        <v>200</v>
      </c>
      <c r="AD23" s="775">
        <v>9</v>
      </c>
      <c r="AE23" s="776">
        <v>3.33</v>
      </c>
      <c r="AF23" s="777"/>
      <c r="AG23" s="777"/>
      <c r="AH23" s="778" t="s">
        <v>183</v>
      </c>
      <c r="AI23" s="779" t="s">
        <v>200</v>
      </c>
      <c r="AJ23" s="780" t="s">
        <v>188</v>
      </c>
      <c r="AK23" s="779" t="s">
        <v>200</v>
      </c>
      <c r="AL23" s="781">
        <v>2015</v>
      </c>
      <c r="AM23" s="782"/>
      <c r="AN23" s="783"/>
      <c r="AO23" s="784">
        <v>5</v>
      </c>
      <c r="AP23" s="785" t="s">
        <v>200</v>
      </c>
      <c r="AQ23" s="786">
        <v>9</v>
      </c>
      <c r="AR23" s="521">
        <v>3.66</v>
      </c>
      <c r="AS23" s="787"/>
      <c r="AT23" s="788" t="s">
        <v>183</v>
      </c>
      <c r="AU23" s="789" t="s">
        <v>200</v>
      </c>
      <c r="AV23" s="790" t="s">
        <v>188</v>
      </c>
      <c r="AW23" s="789" t="s">
        <v>200</v>
      </c>
      <c r="AX23" s="1088">
        <v>2018</v>
      </c>
      <c r="AY23" s="792"/>
      <c r="AZ23" s="793"/>
      <c r="BA23" s="522">
        <v>3.18</v>
      </c>
      <c r="BB23" s="794">
        <v>3</v>
      </c>
      <c r="BC23" s="523">
        <v>-24219</v>
      </c>
      <c r="BD23" s="523">
        <v>2.34</v>
      </c>
      <c r="BE23" s="795">
        <v>0.33</v>
      </c>
      <c r="BF23" s="796" t="s">
        <v>241</v>
      </c>
      <c r="BG23" s="797">
        <v>7</v>
      </c>
      <c r="BH23" s="798" t="s">
        <v>178</v>
      </c>
      <c r="BI23" s="799" t="s">
        <v>183</v>
      </c>
      <c r="BJ23" s="800" t="s">
        <v>200</v>
      </c>
      <c r="BK23" s="801" t="s">
        <v>189</v>
      </c>
      <c r="BL23" s="802" t="s">
        <v>356</v>
      </c>
      <c r="BM23" s="803"/>
      <c r="BN23" s="804"/>
      <c r="BO23" s="805"/>
      <c r="BP23" s="806">
        <v>8</v>
      </c>
      <c r="BQ23" s="807" t="s">
        <v>178</v>
      </c>
      <c r="BR23" s="789" t="s">
        <v>183</v>
      </c>
      <c r="BS23" s="1139" t="s">
        <v>200</v>
      </c>
      <c r="BT23" s="1134" t="s">
        <v>189</v>
      </c>
      <c r="BU23" s="808" t="s">
        <v>200</v>
      </c>
      <c r="BV23" s="1041">
        <v>2019</v>
      </c>
      <c r="BW23" s="809"/>
      <c r="BX23" s="810">
        <v>6</v>
      </c>
      <c r="BY23" s="881">
        <v>-24234</v>
      </c>
      <c r="BZ23" s="795" t="s">
        <v>96</v>
      </c>
      <c r="CA23" s="811" t="s">
        <v>335</v>
      </c>
      <c r="CB23" s="3" t="s">
        <v>201</v>
      </c>
      <c r="CC23" s="812" t="s">
        <v>125</v>
      </c>
      <c r="CD23" s="524">
        <v>24243</v>
      </c>
      <c r="CE23" s="1042" t="s">
        <v>63</v>
      </c>
      <c r="CF23" s="1042"/>
      <c r="CG23" s="1006"/>
      <c r="CH23" s="1042"/>
      <c r="CI23" s="813"/>
      <c r="CJ23" s="1042" t="s">
        <v>96</v>
      </c>
      <c r="CK23" s="525" t="s">
        <v>96</v>
      </c>
      <c r="CL23" s="814"/>
      <c r="CM23" s="815"/>
      <c r="CN23" s="814"/>
      <c r="CO23" s="816"/>
      <c r="CP23" s="525" t="s">
        <v>96</v>
      </c>
      <c r="CQ23" s="814"/>
      <c r="CR23" s="815"/>
      <c r="CS23" s="814"/>
      <c r="CT23" s="816"/>
      <c r="CU23" s="817" t="s">
        <v>63</v>
      </c>
      <c r="CV23" s="818" t="s">
        <v>29</v>
      </c>
      <c r="CW23" s="819">
        <v>12</v>
      </c>
      <c r="CX23" s="820">
        <v>2041</v>
      </c>
      <c r="CY23" s="819">
        <v>9</v>
      </c>
      <c r="CZ23" s="820">
        <v>2041</v>
      </c>
      <c r="DA23" s="819">
        <v>6</v>
      </c>
      <c r="DB23" s="820">
        <v>2041</v>
      </c>
      <c r="DC23" s="821" t="s">
        <v>96</v>
      </c>
      <c r="DD23" s="822" t="s">
        <v>90</v>
      </c>
      <c r="DE23" s="822"/>
      <c r="DF23" s="524">
        <v>720</v>
      </c>
      <c r="DG23" s="524">
        <v>-23771</v>
      </c>
      <c r="DH23" s="524">
        <v>-1981</v>
      </c>
      <c r="DI23" s="524" t="s">
        <v>236</v>
      </c>
      <c r="DJ23" s="524"/>
      <c r="DK23" s="524"/>
      <c r="DL23" s="795" t="s">
        <v>91</v>
      </c>
      <c r="DM23" s="814" t="s">
        <v>92</v>
      </c>
      <c r="DN23" s="823">
        <v>2009</v>
      </c>
      <c r="DO23" s="1042"/>
      <c r="DP23" s="824"/>
      <c r="DQ23" s="823"/>
      <c r="DR23" s="816"/>
      <c r="DS23" s="825"/>
      <c r="DT23" s="535"/>
      <c r="DU23" s="526"/>
      <c r="DV23" s="1041"/>
      <c r="DW23" s="767" t="s">
        <v>0</v>
      </c>
      <c r="DX23" s="788" t="s">
        <v>246</v>
      </c>
      <c r="DY23" s="790" t="s">
        <v>225</v>
      </c>
      <c r="DZ23" s="790" t="s">
        <v>183</v>
      </c>
      <c r="EA23" s="790" t="s">
        <v>200</v>
      </c>
      <c r="EB23" s="826" t="s">
        <v>188</v>
      </c>
      <c r="EC23" s="790" t="s">
        <v>200</v>
      </c>
      <c r="ED23" s="827" t="s">
        <v>218</v>
      </c>
      <c r="EE23" s="788">
        <v>0</v>
      </c>
      <c r="EF23" s="790" t="s">
        <v>96</v>
      </c>
      <c r="EG23" s="790" t="s">
        <v>183</v>
      </c>
      <c r="EH23" s="790" t="s">
        <v>200</v>
      </c>
      <c r="EI23" s="826" t="s">
        <v>188</v>
      </c>
      <c r="EJ23" s="1042" t="s">
        <v>200</v>
      </c>
      <c r="EK23" s="525" t="s">
        <v>218</v>
      </c>
      <c r="EL23" s="527"/>
      <c r="EM23" s="1041" t="s">
        <v>96</v>
      </c>
      <c r="EN23" s="828" t="s">
        <v>63</v>
      </c>
      <c r="EO23" s="828"/>
      <c r="EP23" s="828"/>
      <c r="EQ23" s="828"/>
      <c r="ER23" s="828"/>
      <c r="ES23" s="828"/>
      <c r="ET23" s="828"/>
      <c r="EU23" s="828"/>
      <c r="EV23" s="828"/>
      <c r="EW23" s="828"/>
      <c r="EX23" s="828"/>
      <c r="EY23" s="828"/>
      <c r="EZ23" s="828"/>
      <c r="FA23" s="828"/>
      <c r="FB23" s="828"/>
      <c r="FC23" s="828"/>
      <c r="FD23" s="828"/>
      <c r="FE23" s="828"/>
      <c r="FF23" s="828"/>
      <c r="FG23" s="828"/>
      <c r="FH23" s="828"/>
      <c r="FI23" s="828"/>
      <c r="FJ23" s="828"/>
      <c r="FK23" s="828"/>
      <c r="FL23" s="829"/>
      <c r="FM23" s="829"/>
      <c r="FN23" s="829"/>
      <c r="FO23" s="829"/>
      <c r="FP23" s="829"/>
    </row>
    <row r="24" spans="1:175" s="830" customFormat="1" ht="24" customHeight="1" x14ac:dyDescent="0.2">
      <c r="A24" s="1042">
        <v>657</v>
      </c>
      <c r="B24" s="831">
        <v>8</v>
      </c>
      <c r="C24" s="1042"/>
      <c r="D24" s="1042" t="s">
        <v>83</v>
      </c>
      <c r="E24" s="354" t="s">
        <v>425</v>
      </c>
      <c r="F24" s="1042" t="s">
        <v>221</v>
      </c>
      <c r="G24" s="757" t="s">
        <v>142</v>
      </c>
      <c r="H24" s="758" t="s">
        <v>200</v>
      </c>
      <c r="I24" s="759">
        <v>8</v>
      </c>
      <c r="J24" s="758" t="s">
        <v>200</v>
      </c>
      <c r="K24" s="760">
        <v>1979</v>
      </c>
      <c r="L24" s="761" t="s">
        <v>264</v>
      </c>
      <c r="M24" s="762" t="s">
        <v>269</v>
      </c>
      <c r="N24" s="763"/>
      <c r="O24" s="764" t="e">
        <v>#N/A</v>
      </c>
      <c r="P24" s="765"/>
      <c r="Q24" s="766" t="e">
        <v>#N/A</v>
      </c>
      <c r="R24" s="921" t="s">
        <v>426</v>
      </c>
      <c r="S24" s="768" t="s">
        <v>74</v>
      </c>
      <c r="T24" s="769" t="s">
        <v>53</v>
      </c>
      <c r="U24" s="770" t="s">
        <v>96</v>
      </c>
      <c r="V24" s="771" t="s">
        <v>248</v>
      </c>
      <c r="W24" s="884" t="s">
        <v>254</v>
      </c>
      <c r="X24" s="832" t="s">
        <v>250</v>
      </c>
      <c r="Y24" s="772" t="s">
        <v>255</v>
      </c>
      <c r="Z24" s="772" t="s">
        <v>252</v>
      </c>
      <c r="AA24" s="524" t="s">
        <v>240</v>
      </c>
      <c r="AB24" s="773">
        <v>6</v>
      </c>
      <c r="AC24" s="774" t="s">
        <v>200</v>
      </c>
      <c r="AD24" s="775">
        <v>8</v>
      </c>
      <c r="AE24" s="776">
        <v>6.1000000000000005</v>
      </c>
      <c r="AF24" s="777"/>
      <c r="AG24" s="777"/>
      <c r="AH24" s="778"/>
      <c r="AI24" s="779" t="s">
        <v>200</v>
      </c>
      <c r="AJ24" s="780"/>
      <c r="AK24" s="779" t="s">
        <v>200</v>
      </c>
      <c r="AL24" s="781"/>
      <c r="AM24" s="782"/>
      <c r="AN24" s="783"/>
      <c r="AO24" s="784">
        <v>7</v>
      </c>
      <c r="AP24" s="785" t="s">
        <v>200</v>
      </c>
      <c r="AQ24" s="786">
        <v>8</v>
      </c>
      <c r="AR24" s="521">
        <v>6.44</v>
      </c>
      <c r="AS24" s="787"/>
      <c r="AT24" s="788" t="s">
        <v>183</v>
      </c>
      <c r="AU24" s="789" t="s">
        <v>200</v>
      </c>
      <c r="AV24" s="790" t="s">
        <v>211</v>
      </c>
      <c r="AW24" s="789" t="s">
        <v>200</v>
      </c>
      <c r="AX24" s="1088">
        <v>2018</v>
      </c>
      <c r="AY24" s="792"/>
      <c r="AZ24" s="793"/>
      <c r="BA24" s="522"/>
      <c r="BB24" s="794">
        <v>3</v>
      </c>
      <c r="BC24" s="523">
        <v>-24227</v>
      </c>
      <c r="BD24" s="523">
        <v>4.4000000000000004</v>
      </c>
      <c r="BE24" s="795">
        <v>0.34</v>
      </c>
      <c r="BF24" s="796" t="s">
        <v>241</v>
      </c>
      <c r="BG24" s="797">
        <v>9</v>
      </c>
      <c r="BH24" s="798" t="s">
        <v>178</v>
      </c>
      <c r="BI24" s="799" t="s">
        <v>183</v>
      </c>
      <c r="BJ24" s="800" t="s">
        <v>200</v>
      </c>
      <c r="BK24" s="801" t="s">
        <v>189</v>
      </c>
      <c r="BL24" s="802" t="s">
        <v>356</v>
      </c>
      <c r="BM24" s="803"/>
      <c r="BN24" s="804"/>
      <c r="BO24" s="805"/>
      <c r="BP24" s="806">
        <v>10</v>
      </c>
      <c r="BQ24" s="807" t="s">
        <v>178</v>
      </c>
      <c r="BR24" s="789" t="s">
        <v>183</v>
      </c>
      <c r="BS24" s="1139" t="s">
        <v>200</v>
      </c>
      <c r="BT24" s="1134" t="s">
        <v>189</v>
      </c>
      <c r="BU24" s="808" t="s">
        <v>200</v>
      </c>
      <c r="BV24" s="1041">
        <v>2019</v>
      </c>
      <c r="BW24" s="809"/>
      <c r="BX24" s="810">
        <v>6</v>
      </c>
      <c r="BY24" s="881">
        <v>-24234</v>
      </c>
      <c r="BZ24" s="795" t="s">
        <v>96</v>
      </c>
      <c r="CA24" s="811" t="s">
        <v>338</v>
      </c>
      <c r="CB24" s="3" t="s">
        <v>201</v>
      </c>
      <c r="CC24" s="812" t="s">
        <v>125</v>
      </c>
      <c r="CD24" s="524">
        <v>24251</v>
      </c>
      <c r="CE24" s="1042" t="s">
        <v>156</v>
      </c>
      <c r="CF24" s="1042">
        <v>2009</v>
      </c>
      <c r="CG24" s="1006" t="s">
        <v>252</v>
      </c>
      <c r="CH24" s="1042"/>
      <c r="CI24" s="813"/>
      <c r="CJ24" s="1042" t="s">
        <v>126</v>
      </c>
      <c r="CK24" s="525" t="s">
        <v>113</v>
      </c>
      <c r="CL24" s="814"/>
      <c r="CM24" s="815" t="s">
        <v>220</v>
      </c>
      <c r="CN24" s="814"/>
      <c r="CO24" s="816"/>
      <c r="CP24" s="525" t="s">
        <v>96</v>
      </c>
      <c r="CQ24" s="814"/>
      <c r="CR24" s="815"/>
      <c r="CS24" s="814"/>
      <c r="CT24" s="816"/>
      <c r="CU24" s="817" t="s">
        <v>63</v>
      </c>
      <c r="CV24" s="818" t="s">
        <v>29</v>
      </c>
      <c r="CW24" s="819">
        <v>6</v>
      </c>
      <c r="CX24" s="820">
        <v>2022</v>
      </c>
      <c r="CY24" s="819">
        <v>3</v>
      </c>
      <c r="CZ24" s="820">
        <v>2022</v>
      </c>
      <c r="DA24" s="819">
        <v>12</v>
      </c>
      <c r="DB24" s="820">
        <v>2021</v>
      </c>
      <c r="DC24" s="821" t="s">
        <v>96</v>
      </c>
      <c r="DD24" s="822" t="s">
        <v>90</v>
      </c>
      <c r="DE24" s="822"/>
      <c r="DF24" s="524">
        <v>720</v>
      </c>
      <c r="DG24" s="524">
        <v>-23537</v>
      </c>
      <c r="DH24" s="524">
        <v>-1962</v>
      </c>
      <c r="DI24" s="524" t="s">
        <v>236</v>
      </c>
      <c r="DJ24" s="524"/>
      <c r="DK24" s="524"/>
      <c r="DL24" s="795" t="s">
        <v>91</v>
      </c>
      <c r="DM24" s="814" t="s">
        <v>97</v>
      </c>
      <c r="DN24" s="823"/>
      <c r="DO24" s="1042"/>
      <c r="DP24" s="824"/>
      <c r="DQ24" s="823"/>
      <c r="DR24" s="816"/>
      <c r="DS24" s="825"/>
      <c r="DT24" s="535"/>
      <c r="DU24" s="526"/>
      <c r="DV24" s="1041"/>
      <c r="DW24" s="767" t="s">
        <v>39</v>
      </c>
      <c r="DX24" s="788" t="s">
        <v>243</v>
      </c>
      <c r="DY24" s="790" t="s">
        <v>39</v>
      </c>
      <c r="DZ24" s="790" t="s">
        <v>183</v>
      </c>
      <c r="EA24" s="790" t="s">
        <v>200</v>
      </c>
      <c r="EB24" s="826" t="s">
        <v>211</v>
      </c>
      <c r="EC24" s="790" t="s">
        <v>200</v>
      </c>
      <c r="ED24" s="827">
        <v>2012</v>
      </c>
      <c r="EE24" s="788">
        <v>0</v>
      </c>
      <c r="EF24" s="790" t="s">
        <v>96</v>
      </c>
      <c r="EG24" s="790" t="s">
        <v>183</v>
      </c>
      <c r="EH24" s="790" t="s">
        <v>200</v>
      </c>
      <c r="EI24" s="826" t="s">
        <v>211</v>
      </c>
      <c r="EJ24" s="1042" t="s">
        <v>200</v>
      </c>
      <c r="EK24" s="525">
        <v>2012</v>
      </c>
      <c r="EL24" s="527">
        <v>4.9800000000000004</v>
      </c>
      <c r="EM24" s="1041" t="s">
        <v>96</v>
      </c>
      <c r="EN24" s="828" t="s">
        <v>63</v>
      </c>
      <c r="EO24" s="828"/>
      <c r="EP24" s="828"/>
      <c r="EQ24" s="828"/>
      <c r="ER24" s="828"/>
      <c r="ES24" s="828"/>
      <c r="ET24" s="828"/>
      <c r="EU24" s="828"/>
      <c r="EV24" s="828"/>
      <c r="EW24" s="828"/>
      <c r="EX24" s="828"/>
      <c r="EY24" s="828"/>
      <c r="EZ24" s="828"/>
      <c r="FA24" s="828"/>
      <c r="FB24" s="828"/>
      <c r="FC24" s="828"/>
      <c r="FD24" s="828"/>
      <c r="FE24" s="828"/>
      <c r="FF24" s="828"/>
      <c r="FG24" s="828"/>
      <c r="FH24" s="828"/>
      <c r="FI24" s="828"/>
      <c r="FJ24" s="828"/>
      <c r="FK24" s="828"/>
      <c r="FL24" s="829"/>
      <c r="FM24" s="829"/>
      <c r="FN24" s="829"/>
      <c r="FO24" s="829"/>
      <c r="FP24" s="829"/>
    </row>
    <row r="25" spans="1:175" s="830" customFormat="1" ht="23.25" customHeight="1" x14ac:dyDescent="0.2">
      <c r="A25" s="1042">
        <v>692</v>
      </c>
      <c r="B25" s="831">
        <v>9</v>
      </c>
      <c r="C25" s="1042"/>
      <c r="D25" s="1042" t="s">
        <v>83</v>
      </c>
      <c r="E25" s="354" t="s">
        <v>427</v>
      </c>
      <c r="F25" s="1042" t="s">
        <v>221</v>
      </c>
      <c r="G25" s="757" t="s">
        <v>233</v>
      </c>
      <c r="H25" s="758" t="s">
        <v>200</v>
      </c>
      <c r="I25" s="759">
        <v>5</v>
      </c>
      <c r="J25" s="758" t="s">
        <v>200</v>
      </c>
      <c r="K25" s="760">
        <v>1972</v>
      </c>
      <c r="L25" s="761" t="s">
        <v>264</v>
      </c>
      <c r="M25" s="762" t="s">
        <v>269</v>
      </c>
      <c r="N25" s="763"/>
      <c r="O25" s="764" t="e">
        <v>#N/A</v>
      </c>
      <c r="P25" s="765" t="s">
        <v>428</v>
      </c>
      <c r="Q25" s="766" t="e">
        <v>#N/A</v>
      </c>
      <c r="R25" s="921" t="s">
        <v>37</v>
      </c>
      <c r="S25" s="768" t="s">
        <v>326</v>
      </c>
      <c r="T25" s="769" t="s">
        <v>53</v>
      </c>
      <c r="U25" s="770" t="s">
        <v>96</v>
      </c>
      <c r="V25" s="771" t="s">
        <v>248</v>
      </c>
      <c r="W25" s="884" t="s">
        <v>254</v>
      </c>
      <c r="X25" s="832" t="s">
        <v>250</v>
      </c>
      <c r="Y25" s="772" t="s">
        <v>253</v>
      </c>
      <c r="Z25" s="772" t="s">
        <v>251</v>
      </c>
      <c r="AA25" s="524" t="s">
        <v>240</v>
      </c>
      <c r="AB25" s="773">
        <v>4</v>
      </c>
      <c r="AC25" s="774" t="s">
        <v>200</v>
      </c>
      <c r="AD25" s="775">
        <v>6</v>
      </c>
      <c r="AE25" s="776">
        <v>7.28</v>
      </c>
      <c r="AF25" s="777"/>
      <c r="AG25" s="777"/>
      <c r="AH25" s="778"/>
      <c r="AI25" s="779" t="s">
        <v>200</v>
      </c>
      <c r="AJ25" s="780"/>
      <c r="AK25" s="779" t="s">
        <v>200</v>
      </c>
      <c r="AL25" s="781"/>
      <c r="AM25" s="782"/>
      <c r="AN25" s="783"/>
      <c r="AO25" s="784">
        <v>5</v>
      </c>
      <c r="AP25" s="785" t="s">
        <v>200</v>
      </c>
      <c r="AQ25" s="786">
        <v>6</v>
      </c>
      <c r="AR25" s="521">
        <v>7.6400000000000006</v>
      </c>
      <c r="AS25" s="787"/>
      <c r="AT25" s="788" t="s">
        <v>183</v>
      </c>
      <c r="AU25" s="789" t="s">
        <v>200</v>
      </c>
      <c r="AV25" s="790" t="s">
        <v>184</v>
      </c>
      <c r="AW25" s="789" t="s">
        <v>200</v>
      </c>
      <c r="AX25" s="1088">
        <v>2018</v>
      </c>
      <c r="AY25" s="792"/>
      <c r="AZ25" s="793"/>
      <c r="BA25" s="522"/>
      <c r="BB25" s="794">
        <v>3</v>
      </c>
      <c r="BC25" s="523">
        <v>-24218</v>
      </c>
      <c r="BD25" s="523">
        <v>6.2</v>
      </c>
      <c r="BE25" s="795">
        <v>0.36</v>
      </c>
      <c r="BF25" s="796" t="s">
        <v>241</v>
      </c>
      <c r="BG25" s="797">
        <v>13</v>
      </c>
      <c r="BH25" s="798" t="s">
        <v>178</v>
      </c>
      <c r="BI25" s="799" t="s">
        <v>183</v>
      </c>
      <c r="BJ25" s="800" t="s">
        <v>200</v>
      </c>
      <c r="BK25" s="801">
        <v>7</v>
      </c>
      <c r="BL25" s="802" t="s">
        <v>356</v>
      </c>
      <c r="BM25" s="803"/>
      <c r="BN25" s="804"/>
      <c r="BO25" s="805"/>
      <c r="BP25" s="806">
        <v>14</v>
      </c>
      <c r="BQ25" s="807" t="s">
        <v>178</v>
      </c>
      <c r="BR25" s="789" t="s">
        <v>183</v>
      </c>
      <c r="BS25" s="1139" t="s">
        <v>200</v>
      </c>
      <c r="BT25" s="1134">
        <v>7</v>
      </c>
      <c r="BU25" s="808" t="s">
        <v>200</v>
      </c>
      <c r="BV25" s="1041">
        <v>2019</v>
      </c>
      <c r="BW25" s="809"/>
      <c r="BX25" s="810">
        <v>6</v>
      </c>
      <c r="BY25" s="881">
        <v>-24234</v>
      </c>
      <c r="BZ25" s="795" t="s">
        <v>96</v>
      </c>
      <c r="CA25" s="811" t="s">
        <v>338</v>
      </c>
      <c r="CB25" s="3" t="s">
        <v>201</v>
      </c>
      <c r="CC25" s="812" t="s">
        <v>125</v>
      </c>
      <c r="CD25" s="524">
        <v>24242</v>
      </c>
      <c r="CE25" s="1042" t="s">
        <v>156</v>
      </c>
      <c r="CF25" s="1042">
        <v>2017</v>
      </c>
      <c r="CG25" s="1006"/>
      <c r="CH25" s="1042"/>
      <c r="CI25" s="813"/>
      <c r="CJ25" s="1042" t="s">
        <v>96</v>
      </c>
      <c r="CK25" s="525" t="s">
        <v>113</v>
      </c>
      <c r="CL25" s="814">
        <v>5</v>
      </c>
      <c r="CM25" s="815">
        <v>2012</v>
      </c>
      <c r="CN25" s="814"/>
      <c r="CO25" s="816"/>
      <c r="CP25" s="525" t="s">
        <v>96</v>
      </c>
      <c r="CQ25" s="814"/>
      <c r="CR25" s="815"/>
      <c r="CS25" s="814"/>
      <c r="CT25" s="816"/>
      <c r="CU25" s="817" t="s">
        <v>63</v>
      </c>
      <c r="CV25" s="818" t="s">
        <v>29</v>
      </c>
      <c r="CW25" s="819">
        <v>12</v>
      </c>
      <c r="CX25" s="820">
        <v>2019</v>
      </c>
      <c r="CY25" s="819">
        <v>9</v>
      </c>
      <c r="CZ25" s="820">
        <v>2019</v>
      </c>
      <c r="DA25" s="819">
        <v>6</v>
      </c>
      <c r="DB25" s="820">
        <v>2019</v>
      </c>
      <c r="DC25" s="821" t="s">
        <v>96</v>
      </c>
      <c r="DD25" s="822" t="s">
        <v>336</v>
      </c>
      <c r="DE25" s="822">
        <v>5</v>
      </c>
      <c r="DF25" s="524">
        <v>780</v>
      </c>
      <c r="DG25" s="524">
        <v>-23447</v>
      </c>
      <c r="DH25" s="524">
        <v>-1954</v>
      </c>
      <c r="DI25" s="524" t="s">
        <v>236</v>
      </c>
      <c r="DJ25" s="524"/>
      <c r="DK25" s="524"/>
      <c r="DL25" s="795" t="s">
        <v>91</v>
      </c>
      <c r="DM25" s="814" t="s">
        <v>97</v>
      </c>
      <c r="DN25" s="823"/>
      <c r="DO25" s="1042"/>
      <c r="DP25" s="824"/>
      <c r="DQ25" s="823"/>
      <c r="DR25" s="816"/>
      <c r="DS25" s="825"/>
      <c r="DT25" s="535"/>
      <c r="DU25" s="526"/>
      <c r="DV25" s="1041"/>
      <c r="DW25" s="767" t="s">
        <v>152</v>
      </c>
      <c r="DX25" s="788" t="s">
        <v>243</v>
      </c>
      <c r="DY25" s="790" t="s">
        <v>152</v>
      </c>
      <c r="DZ25" s="790" t="s">
        <v>183</v>
      </c>
      <c r="EA25" s="790" t="s">
        <v>200</v>
      </c>
      <c r="EB25" s="826" t="s">
        <v>187</v>
      </c>
      <c r="EC25" s="790" t="s">
        <v>200</v>
      </c>
      <c r="ED25" s="827">
        <v>2012</v>
      </c>
      <c r="EE25" s="788">
        <v>0</v>
      </c>
      <c r="EF25" s="790" t="s">
        <v>96</v>
      </c>
      <c r="EG25" s="790" t="s">
        <v>183</v>
      </c>
      <c r="EH25" s="790" t="s">
        <v>200</v>
      </c>
      <c r="EI25" s="826" t="s">
        <v>187</v>
      </c>
      <c r="EJ25" s="1042" t="s">
        <v>200</v>
      </c>
      <c r="EK25" s="525">
        <v>2012</v>
      </c>
      <c r="EL25" s="527">
        <v>6.44</v>
      </c>
      <c r="EM25" s="1041" t="s">
        <v>96</v>
      </c>
      <c r="EN25" s="828" t="s">
        <v>63</v>
      </c>
      <c r="EO25" s="828"/>
      <c r="EP25" s="828"/>
      <c r="EQ25" s="828"/>
      <c r="ER25" s="828"/>
      <c r="ES25" s="828"/>
      <c r="ET25" s="828"/>
      <c r="EU25" s="828"/>
      <c r="EV25" s="828"/>
      <c r="EW25" s="828"/>
      <c r="EX25" s="828"/>
      <c r="EY25" s="828"/>
      <c r="EZ25" s="828"/>
      <c r="FA25" s="828"/>
      <c r="FB25" s="828"/>
      <c r="FC25" s="828"/>
      <c r="FD25" s="828"/>
      <c r="FE25" s="828"/>
      <c r="FF25" s="828"/>
      <c r="FG25" s="828"/>
      <c r="FH25" s="828"/>
      <c r="FI25" s="828"/>
      <c r="FJ25" s="828"/>
      <c r="FK25" s="828"/>
      <c r="FL25" s="829"/>
      <c r="FM25" s="829"/>
      <c r="FN25" s="829"/>
      <c r="FO25" s="829"/>
      <c r="FP25" s="829"/>
    </row>
    <row r="26" spans="1:175" s="145" customFormat="1" ht="23.25" customHeight="1" x14ac:dyDescent="0.3">
      <c r="A26" s="146"/>
      <c r="B26" s="141"/>
      <c r="C26" s="153"/>
      <c r="D26" s="1147"/>
      <c r="E26" s="1147"/>
      <c r="F26" s="1147"/>
      <c r="G26" s="1147"/>
      <c r="H26" s="1147"/>
      <c r="I26" s="1147"/>
      <c r="J26" s="1147"/>
      <c r="K26" s="1147"/>
      <c r="L26" s="1147"/>
      <c r="M26" s="1147"/>
      <c r="N26" s="1147"/>
      <c r="O26" s="1147"/>
      <c r="P26" s="1147"/>
      <c r="Q26" s="1147"/>
      <c r="R26" s="1147"/>
      <c r="S26" s="1144"/>
      <c r="T26" s="143"/>
      <c r="U26" s="143"/>
      <c r="V26" s="144"/>
      <c r="W26" s="1144"/>
      <c r="X26" s="1213" t="s">
        <v>340</v>
      </c>
      <c r="Y26" s="1213"/>
      <c r="Z26" s="1213"/>
      <c r="AA26" s="1213"/>
      <c r="AB26" s="1213"/>
      <c r="AC26" s="1213"/>
      <c r="AD26" s="1213"/>
      <c r="AE26" s="1213"/>
      <c r="AF26" s="1213"/>
      <c r="AG26" s="1213"/>
      <c r="AH26" s="1213"/>
      <c r="AI26" s="1213"/>
      <c r="AJ26" s="1213"/>
      <c r="AK26" s="1213"/>
      <c r="AL26" s="1213"/>
      <c r="AM26" s="1213"/>
      <c r="AN26" s="1213"/>
      <c r="AO26" s="1213"/>
      <c r="AP26" s="1213"/>
      <c r="AQ26" s="1213"/>
      <c r="AR26" s="1213"/>
      <c r="AS26" s="1213"/>
      <c r="AT26" s="1213"/>
      <c r="AU26" s="1213"/>
      <c r="AV26" s="1213"/>
      <c r="AW26" s="1213"/>
      <c r="AX26" s="1213"/>
      <c r="AY26" s="1213"/>
      <c r="AZ26" s="1213"/>
      <c r="BA26" s="1213"/>
      <c r="BB26" s="1213"/>
      <c r="BC26" s="1213"/>
      <c r="BD26" s="1213"/>
      <c r="BE26" s="1213"/>
      <c r="BF26" s="1213"/>
      <c r="BG26" s="1213"/>
      <c r="BH26" s="1213"/>
      <c r="BI26" s="1213"/>
      <c r="BJ26" s="1213"/>
      <c r="BK26" s="1213"/>
      <c r="BL26" s="1213"/>
      <c r="BM26" s="1213"/>
      <c r="BN26" s="1213"/>
      <c r="BO26" s="1213"/>
      <c r="BP26" s="1213"/>
      <c r="BQ26" s="1213"/>
      <c r="BR26" s="1213"/>
      <c r="BS26" s="1213"/>
      <c r="BT26" s="1213"/>
      <c r="BU26" s="1213"/>
      <c r="BV26" s="1213"/>
      <c r="BW26" s="1213"/>
      <c r="BX26" s="417"/>
      <c r="BY26" s="417"/>
      <c r="BZ26" s="417"/>
      <c r="CA26" s="417"/>
      <c r="CB26" s="417"/>
      <c r="CC26" s="417"/>
      <c r="CD26" s="417"/>
      <c r="CF26" s="287"/>
      <c r="CG26" s="284"/>
      <c r="CI26" s="291"/>
    </row>
    <row r="27" spans="1:175" s="142" customFormat="1" ht="17.25" customHeight="1" x14ac:dyDescent="0.3">
      <c r="A27" s="1127"/>
      <c r="B27" s="147"/>
      <c r="C27" s="148"/>
      <c r="D27" s="400"/>
      <c r="E27" s="401"/>
      <c r="F27" s="402"/>
      <c r="G27" s="403"/>
      <c r="H27" s="400"/>
      <c r="I27" s="404"/>
      <c r="J27" s="404"/>
      <c r="K27" s="404"/>
      <c r="L27" s="404"/>
      <c r="M27" s="404"/>
      <c r="N27" s="404"/>
      <c r="O27" s="404"/>
      <c r="P27" s="404"/>
      <c r="Q27" s="405"/>
      <c r="R27" s="405"/>
      <c r="S27" s="150"/>
      <c r="T27" s="150"/>
      <c r="U27" s="150"/>
      <c r="V27" s="151"/>
      <c r="W27" s="149"/>
      <c r="X27" s="1148"/>
      <c r="Y27" s="1148"/>
      <c r="Z27" s="1148"/>
      <c r="AA27" s="1148"/>
      <c r="AB27" s="1148"/>
      <c r="AC27" s="1148"/>
      <c r="AD27" s="1148"/>
      <c r="AE27" s="1148"/>
      <c r="AF27" s="1148"/>
      <c r="AG27" s="1148"/>
      <c r="AH27" s="1148"/>
      <c r="AI27" s="1148"/>
      <c r="AJ27" s="1148"/>
      <c r="AK27" s="1148"/>
      <c r="AL27" s="1148"/>
      <c r="AM27" s="1148"/>
      <c r="AN27" s="1148"/>
      <c r="AO27" s="1148"/>
      <c r="AP27" s="1148"/>
      <c r="AQ27" s="1148"/>
      <c r="AR27" s="1148"/>
      <c r="AS27" s="1148"/>
      <c r="AT27" s="1148"/>
      <c r="AU27" s="1148"/>
      <c r="AV27" s="1148"/>
      <c r="AW27" s="1148"/>
      <c r="AX27" s="1148"/>
      <c r="AY27" s="1148"/>
      <c r="AZ27" s="1148"/>
      <c r="BA27" s="1148"/>
      <c r="BB27" s="1148"/>
      <c r="BC27" s="1148"/>
      <c r="BD27" s="1148"/>
      <c r="BE27" s="1148"/>
      <c r="BF27" s="1148"/>
      <c r="BG27" s="1148"/>
      <c r="BH27" s="1148"/>
      <c r="BI27" s="1148"/>
      <c r="BJ27" s="1148"/>
      <c r="BK27" s="1148"/>
      <c r="BL27" s="1148"/>
      <c r="BM27" s="1148"/>
      <c r="BN27" s="1148"/>
      <c r="BO27" s="1148"/>
      <c r="BP27" s="1148"/>
      <c r="BQ27" s="1148"/>
      <c r="BR27" s="1148"/>
      <c r="BS27" s="1148"/>
      <c r="BT27" s="1148"/>
      <c r="BU27" s="1148"/>
      <c r="BV27" s="1148"/>
      <c r="BW27" s="416"/>
      <c r="BX27" s="416"/>
      <c r="BY27" s="416"/>
      <c r="BZ27" s="416"/>
      <c r="CA27" s="416"/>
      <c r="CB27" s="416"/>
      <c r="CC27" s="416"/>
      <c r="CD27" s="416"/>
      <c r="CF27" s="288"/>
      <c r="CG27" s="285"/>
      <c r="CI27" s="294"/>
      <c r="CJ27" s="295"/>
    </row>
    <row r="28" spans="1:175" s="1130" customFormat="1" ht="21.75" customHeight="1" x14ac:dyDescent="0.2">
      <c r="D28" s="1145"/>
      <c r="E28" s="1145"/>
      <c r="F28" s="1145"/>
      <c r="G28" s="1145"/>
      <c r="H28" s="1145"/>
      <c r="I28" s="1145"/>
      <c r="J28" s="1145"/>
      <c r="K28" s="1145"/>
      <c r="L28" s="1145"/>
      <c r="M28" s="1145"/>
      <c r="N28" s="1145"/>
      <c r="O28" s="1145"/>
      <c r="P28" s="1145"/>
      <c r="Q28" s="1145"/>
      <c r="R28" s="280"/>
      <c r="S28" s="299"/>
      <c r="T28" s="1145"/>
      <c r="U28" s="1145"/>
      <c r="V28" s="1145"/>
      <c r="W28" s="883"/>
      <c r="X28" s="1008"/>
      <c r="Y28" s="1145"/>
      <c r="Z28" s="1145"/>
      <c r="AA28" s="1145"/>
      <c r="AB28" s="1145"/>
      <c r="AC28" s="1145"/>
      <c r="AD28" s="1145"/>
      <c r="AE28" s="1008"/>
      <c r="AF28" s="1008"/>
      <c r="AG28" s="1008"/>
      <c r="AH28" s="1008"/>
      <c r="AI28" s="1008"/>
      <c r="AJ28" s="1008"/>
      <c r="AK28" s="1008"/>
      <c r="AL28" s="1008"/>
      <c r="AM28" s="1008"/>
      <c r="AN28" s="1008"/>
      <c r="AO28" s="1145"/>
      <c r="AP28" s="1145"/>
      <c r="AQ28" s="1145"/>
      <c r="AR28" s="1145"/>
      <c r="AS28" s="1145"/>
      <c r="AT28" s="1145"/>
      <c r="AU28" s="1145"/>
      <c r="AV28" s="1145"/>
      <c r="AW28" s="1145"/>
      <c r="AX28" s="1145"/>
      <c r="AY28" s="1145"/>
      <c r="AZ28" s="1145"/>
      <c r="BA28" s="1145"/>
      <c r="BB28" s="1145"/>
      <c r="BC28" s="1145"/>
      <c r="BD28" s="1145"/>
      <c r="BE28" s="1008"/>
      <c r="BF28" s="1145"/>
      <c r="BG28" s="1145"/>
      <c r="BH28" s="1145"/>
      <c r="BI28" s="279"/>
      <c r="BJ28" s="173"/>
      <c r="BK28" s="279"/>
      <c r="BL28" s="1215" t="s">
        <v>160</v>
      </c>
      <c r="BM28" s="1215"/>
      <c r="BN28" s="1215"/>
      <c r="BO28" s="1215"/>
      <c r="BP28" s="1145"/>
      <c r="BQ28" s="173"/>
      <c r="BR28" s="279"/>
      <c r="BS28" s="279"/>
      <c r="BT28" s="173"/>
      <c r="BU28" s="279"/>
      <c r="BV28" s="279"/>
      <c r="BW28" s="1145"/>
      <c r="BX28" s="1145"/>
      <c r="BY28" s="1007"/>
      <c r="BZ28" s="1007"/>
      <c r="CA28" s="1145"/>
      <c r="CB28" s="1145"/>
      <c r="CC28" s="1145"/>
      <c r="CD28" s="1145"/>
      <c r="CF28" s="279"/>
      <c r="CG28" s="279"/>
      <c r="FQ28" s="461"/>
      <c r="FR28" s="461"/>
      <c r="FS28" s="461"/>
    </row>
    <row r="29" spans="1:175" s="140" customFormat="1" ht="19.5" customHeight="1" x14ac:dyDescent="0.25">
      <c r="A29" s="10">
        <v>721</v>
      </c>
      <c r="B29" s="147"/>
      <c r="C29" s="148"/>
      <c r="D29" s="400"/>
      <c r="E29" s="401"/>
      <c r="F29" s="402"/>
      <c r="G29" s="403"/>
      <c r="H29" s="400"/>
      <c r="I29" s="406"/>
      <c r="J29" s="406"/>
      <c r="K29" s="406"/>
      <c r="L29" s="406"/>
      <c r="M29" s="406"/>
      <c r="N29" s="406"/>
      <c r="O29" s="406"/>
      <c r="P29" s="406"/>
      <c r="Q29" s="407"/>
      <c r="R29" s="407"/>
      <c r="S29" s="154"/>
      <c r="T29" s="154"/>
      <c r="U29" s="154"/>
      <c r="V29" s="155"/>
      <c r="W29" s="179"/>
      <c r="X29" s="179"/>
      <c r="Y29" s="152"/>
      <c r="Z29" s="152"/>
      <c r="AA29" s="1149" t="s">
        <v>160</v>
      </c>
      <c r="AB29" s="1149"/>
      <c r="AC29" s="1149"/>
      <c r="AD29" s="1149"/>
      <c r="AE29" s="1149"/>
      <c r="AF29" s="1149"/>
      <c r="AG29" s="1149"/>
      <c r="AH29" s="1149"/>
      <c r="AI29" s="1149"/>
      <c r="AJ29" s="1149"/>
      <c r="AK29" s="1149"/>
      <c r="AL29" s="1149"/>
      <c r="AM29" s="1149"/>
      <c r="AN29" s="1149"/>
      <c r="AO29" s="1149"/>
      <c r="AP29" s="1149"/>
      <c r="AQ29" s="1149"/>
      <c r="AR29" s="1149"/>
      <c r="AS29" s="1149"/>
      <c r="AT29" s="1149"/>
      <c r="AU29" s="1149"/>
      <c r="AV29" s="1149"/>
      <c r="AW29" s="1149"/>
      <c r="AX29" s="1149"/>
      <c r="AY29" s="1149"/>
      <c r="AZ29" s="1149"/>
      <c r="BA29" s="1149"/>
      <c r="BB29" s="1149"/>
      <c r="BC29" s="1149"/>
      <c r="BD29" s="1149"/>
      <c r="BE29" s="1149"/>
      <c r="BF29" s="1149"/>
      <c r="BG29" s="1149"/>
      <c r="BH29" s="1149"/>
      <c r="BI29" s="1149"/>
      <c r="BJ29" s="1149"/>
      <c r="BK29" s="1149"/>
      <c r="BL29" s="1149"/>
      <c r="BM29" s="1149"/>
      <c r="BN29" s="1149"/>
      <c r="BO29" s="1149"/>
      <c r="BP29" s="1149"/>
      <c r="BQ29" s="1149"/>
      <c r="BR29" s="1149"/>
      <c r="BS29" s="1149"/>
      <c r="BT29" s="1149"/>
      <c r="BU29" s="1149"/>
      <c r="BV29" s="1149"/>
      <c r="BW29" s="1149"/>
      <c r="BX29" s="1149"/>
      <c r="BY29" s="1149"/>
      <c r="BZ29" s="1149"/>
      <c r="CA29" s="1149"/>
      <c r="CB29" s="1149"/>
      <c r="CC29" s="1149"/>
      <c r="CD29" s="1149"/>
      <c r="CE29" s="249"/>
      <c r="CF29" s="289"/>
      <c r="CG29" s="110"/>
      <c r="CH29" s="10"/>
      <c r="CI29" s="33"/>
      <c r="CJ29" s="195"/>
      <c r="CK29" s="159"/>
      <c r="CL29" s="19"/>
      <c r="CM29" s="15"/>
      <c r="CN29" s="160"/>
      <c r="CO29" s="161"/>
      <c r="CP29" s="161"/>
      <c r="CQ29" s="15"/>
      <c r="CR29" s="16"/>
      <c r="CS29" s="11"/>
      <c r="CT29" s="11"/>
      <c r="CU29" s="8"/>
      <c r="CV29" s="8"/>
      <c r="CW29" s="8"/>
      <c r="CX29" s="8"/>
      <c r="CY29" s="8"/>
      <c r="CZ29" s="8"/>
      <c r="DA29" s="8"/>
      <c r="DB29" s="8"/>
      <c r="DC29" s="8"/>
      <c r="DD29" s="8"/>
      <c r="DE29" s="8"/>
      <c r="DF29" s="8"/>
      <c r="DG29" s="8"/>
      <c r="DH29" s="8"/>
      <c r="DI29" s="8"/>
      <c r="DJ29" s="8"/>
      <c r="DK29" s="134"/>
      <c r="DL29" s="135"/>
      <c r="DM29" s="12"/>
      <c r="DN29" s="6"/>
      <c r="DO29" s="136"/>
      <c r="DP29" s="13"/>
      <c r="DQ29" s="137"/>
      <c r="DR29" s="138"/>
      <c r="DS29" s="139"/>
      <c r="DT29" s="18"/>
      <c r="DU29" s="18"/>
      <c r="DV29" s="137"/>
      <c r="DW29" s="14"/>
      <c r="DX29" s="4"/>
      <c r="DY29" s="17"/>
      <c r="DZ29" s="17"/>
    </row>
    <row r="30" spans="1:175" s="140" customFormat="1" ht="29.25" customHeight="1" x14ac:dyDescent="0.3">
      <c r="A30" s="10">
        <v>746</v>
      </c>
      <c r="C30" s="148"/>
      <c r="D30" s="400"/>
      <c r="E30" s="401"/>
      <c r="F30" s="402"/>
      <c r="G30" s="403"/>
      <c r="H30" s="400"/>
      <c r="I30" s="406"/>
      <c r="J30" s="406"/>
      <c r="K30" s="406"/>
      <c r="L30" s="406"/>
      <c r="M30" s="406"/>
      <c r="N30" s="406"/>
      <c r="O30" s="406"/>
      <c r="P30" s="406"/>
      <c r="Q30" s="407"/>
      <c r="R30" s="407"/>
      <c r="S30" s="154"/>
      <c r="T30" s="154"/>
      <c r="U30" s="154"/>
      <c r="V30" s="155"/>
      <c r="W30" s="179"/>
      <c r="X30" s="1214" t="s">
        <v>8</v>
      </c>
      <c r="Y30" s="1214"/>
      <c r="Z30" s="1214"/>
      <c r="AA30" s="1214"/>
      <c r="AB30" s="1214"/>
      <c r="AC30" s="1214"/>
      <c r="AD30" s="1214"/>
      <c r="AE30" s="1214"/>
      <c r="AF30" s="1214"/>
      <c r="AG30" s="1214"/>
      <c r="AH30" s="1214"/>
      <c r="AI30" s="1214"/>
      <c r="AJ30" s="1214"/>
      <c r="AK30" s="1214"/>
      <c r="AL30" s="1214"/>
      <c r="AM30" s="1214"/>
      <c r="AN30" s="1214"/>
      <c r="AO30" s="1214"/>
      <c r="AP30" s="1214"/>
      <c r="AQ30" s="1214"/>
      <c r="AR30" s="1214"/>
      <c r="AS30" s="1214"/>
      <c r="AT30" s="1214"/>
      <c r="AU30" s="1214"/>
      <c r="AV30" s="1214"/>
      <c r="AW30" s="1214"/>
      <c r="AX30" s="1214"/>
      <c r="AY30" s="1214"/>
      <c r="AZ30" s="1214"/>
      <c r="BA30" s="1214"/>
      <c r="BB30" s="1214"/>
      <c r="BC30" s="1214"/>
      <c r="BD30" s="1214"/>
      <c r="BE30" s="1214"/>
      <c r="BF30" s="1214"/>
      <c r="BG30" s="1214"/>
      <c r="BH30" s="1214"/>
      <c r="BI30" s="1214"/>
      <c r="BJ30" s="1214"/>
      <c r="BK30" s="1214"/>
      <c r="BL30" s="1214"/>
      <c r="BM30" s="1214"/>
      <c r="BN30" s="1214"/>
      <c r="BO30" s="1214"/>
      <c r="BP30" s="1214"/>
      <c r="BQ30" s="1214"/>
      <c r="BR30" s="1214"/>
      <c r="BS30" s="1214"/>
      <c r="BT30" s="1214"/>
      <c r="BU30" s="1214"/>
      <c r="BV30" s="1214"/>
      <c r="BW30" s="1214"/>
      <c r="BX30" s="1143"/>
      <c r="BY30" s="1143"/>
      <c r="BZ30" s="1143"/>
      <c r="CA30" s="1143"/>
      <c r="CB30" s="1143"/>
      <c r="CC30" s="1143"/>
      <c r="CD30" s="1143"/>
      <c r="CE30" s="249"/>
      <c r="CF30" s="296"/>
      <c r="CG30" s="297"/>
      <c r="CH30" s="298"/>
      <c r="CI30" s="33"/>
      <c r="CJ30" s="195"/>
      <c r="CK30" s="159"/>
      <c r="CL30" s="19"/>
      <c r="CM30" s="15"/>
      <c r="CN30" s="160"/>
      <c r="CO30" s="161"/>
      <c r="CP30" s="161"/>
      <c r="CQ30" s="15"/>
      <c r="CR30" s="16"/>
      <c r="CS30" s="11"/>
      <c r="CT30" s="11"/>
      <c r="CU30" s="8"/>
      <c r="CV30" s="8"/>
      <c r="CW30" s="8"/>
      <c r="CX30" s="8"/>
      <c r="CY30" s="8"/>
      <c r="CZ30" s="8"/>
      <c r="DA30" s="8"/>
      <c r="DB30" s="8"/>
      <c r="DC30" s="8"/>
      <c r="DD30" s="8"/>
      <c r="DE30" s="8"/>
      <c r="DF30" s="8"/>
      <c r="DG30" s="8"/>
      <c r="DH30" s="8"/>
      <c r="DI30" s="8"/>
      <c r="DJ30" s="8"/>
      <c r="DK30" s="134"/>
      <c r="DL30" s="135"/>
      <c r="DM30" s="12"/>
      <c r="DN30" s="6"/>
      <c r="DO30" s="136"/>
      <c r="DP30" s="13"/>
      <c r="DQ30" s="137"/>
      <c r="DR30" s="138"/>
      <c r="DS30" s="139"/>
      <c r="DT30" s="18"/>
      <c r="DU30" s="18"/>
      <c r="DV30" s="137"/>
      <c r="DW30" s="14"/>
      <c r="DX30" s="4"/>
      <c r="DY30" s="17"/>
      <c r="DZ30" s="17"/>
    </row>
    <row r="31" spans="1:175" s="140" customFormat="1" ht="17.25" x14ac:dyDescent="0.3">
      <c r="A31" s="10">
        <v>749</v>
      </c>
      <c r="B31" s="156"/>
      <c r="C31" s="148"/>
      <c r="D31" s="1151"/>
      <c r="E31" s="1151"/>
      <c r="F31" s="1151"/>
      <c r="G31" s="1151"/>
      <c r="H31" s="1151"/>
      <c r="I31" s="1151"/>
      <c r="J31" s="1151"/>
      <c r="K31" s="1151"/>
      <c r="L31" s="1151"/>
      <c r="M31" s="1151"/>
      <c r="N31" s="1151"/>
      <c r="O31" s="1151"/>
      <c r="P31" s="1151"/>
      <c r="Q31" s="1151"/>
      <c r="R31" s="1151"/>
      <c r="S31" s="1144"/>
      <c r="T31" s="154"/>
      <c r="U31" s="154"/>
      <c r="V31" s="155"/>
      <c r="W31" s="179"/>
      <c r="X31" s="1150"/>
      <c r="Y31" s="1150"/>
      <c r="Z31" s="1150"/>
      <c r="AA31" s="1150"/>
      <c r="AB31" s="1150"/>
      <c r="AC31" s="1150"/>
      <c r="AD31" s="1150"/>
      <c r="AE31" s="1150"/>
      <c r="AF31" s="1150"/>
      <c r="AG31" s="1150"/>
      <c r="AH31" s="1150"/>
      <c r="AI31" s="1150"/>
      <c r="AJ31" s="1150"/>
      <c r="AK31" s="1150"/>
      <c r="AL31" s="1150"/>
      <c r="AM31" s="1150"/>
      <c r="AN31" s="1150"/>
      <c r="AO31" s="1150"/>
      <c r="AP31" s="1150"/>
      <c r="AQ31" s="1150"/>
      <c r="AR31" s="1150"/>
      <c r="AS31" s="1150"/>
      <c r="AT31" s="1150"/>
      <c r="AU31" s="1150"/>
      <c r="AV31" s="1150"/>
      <c r="AW31" s="1150"/>
      <c r="AX31" s="1150"/>
      <c r="AY31" s="1150"/>
      <c r="AZ31" s="1150"/>
      <c r="BA31" s="1150"/>
      <c r="BB31" s="1150"/>
      <c r="BC31" s="1150"/>
      <c r="BD31" s="1150"/>
      <c r="BE31" s="1150"/>
      <c r="BF31" s="1150"/>
      <c r="BG31" s="1150"/>
      <c r="BH31" s="1150"/>
      <c r="BI31" s="1150"/>
      <c r="BJ31" s="1150"/>
      <c r="BK31" s="1150"/>
      <c r="BL31" s="1150"/>
      <c r="BM31" s="1150"/>
      <c r="BN31" s="1150"/>
      <c r="BO31" s="1150"/>
      <c r="BP31" s="1150"/>
      <c r="BQ31" s="1150"/>
      <c r="BR31" s="1150"/>
      <c r="BS31" s="1150"/>
      <c r="BT31" s="1150"/>
      <c r="BU31" s="1150"/>
      <c r="BV31" s="1150"/>
      <c r="BW31" s="415"/>
      <c r="BX31" s="415"/>
      <c r="BY31" s="415"/>
      <c r="BZ31" s="415"/>
      <c r="CA31" s="415"/>
      <c r="CB31" s="415"/>
      <c r="CC31" s="415"/>
      <c r="CD31" s="415"/>
      <c r="CE31" s="196"/>
      <c r="CF31" s="22"/>
      <c r="CG31" s="187"/>
      <c r="CH31" s="195"/>
      <c r="CI31" s="33"/>
      <c r="CJ31" s="195"/>
      <c r="CK31" s="159"/>
      <c r="CL31" s="19"/>
      <c r="CM31" s="15"/>
      <c r="CN31" s="160"/>
      <c r="CO31" s="161"/>
      <c r="CP31" s="161"/>
      <c r="CQ31" s="15"/>
      <c r="CR31" s="16"/>
      <c r="CS31" s="11"/>
      <c r="CT31" s="11"/>
      <c r="CU31" s="8"/>
      <c r="CV31" s="8"/>
      <c r="CW31" s="8"/>
      <c r="CX31" s="8"/>
      <c r="CY31" s="8"/>
      <c r="CZ31" s="8"/>
      <c r="DA31" s="8"/>
      <c r="DB31" s="8"/>
      <c r="DC31" s="8"/>
      <c r="DD31" s="8"/>
      <c r="DE31" s="8"/>
      <c r="DF31" s="8"/>
      <c r="DG31" s="8"/>
      <c r="DH31" s="8"/>
      <c r="DI31" s="8"/>
      <c r="DJ31" s="8"/>
      <c r="DK31" s="134"/>
      <c r="DL31" s="135"/>
      <c r="DM31" s="12"/>
      <c r="DN31" s="6"/>
      <c r="DO31" s="136"/>
      <c r="DP31" s="13"/>
      <c r="DQ31" s="137"/>
      <c r="DR31" s="138"/>
      <c r="DS31" s="139"/>
      <c r="DT31" s="18"/>
      <c r="DU31" s="18"/>
      <c r="DV31" s="137"/>
      <c r="DW31" s="14"/>
      <c r="DX31" s="4"/>
      <c r="DY31" s="17"/>
      <c r="DZ31" s="17"/>
    </row>
    <row r="32" spans="1:175" s="140" customFormat="1" ht="41.25" customHeight="1" x14ac:dyDescent="0.3">
      <c r="A32" s="922"/>
      <c r="B32" s="156"/>
      <c r="C32" s="148"/>
      <c r="D32" s="1128"/>
      <c r="E32" s="1128"/>
      <c r="F32" s="1128"/>
      <c r="G32" s="1128"/>
      <c r="H32" s="1128"/>
      <c r="I32" s="1128"/>
      <c r="J32" s="1128"/>
      <c r="K32" s="1128"/>
      <c r="L32" s="1128"/>
      <c r="M32" s="1128"/>
      <c r="N32" s="1128"/>
      <c r="O32" s="1128"/>
      <c r="P32" s="1128"/>
      <c r="Q32" s="1128"/>
      <c r="R32" s="1128"/>
      <c r="S32" s="154"/>
      <c r="T32" s="154"/>
      <c r="U32" s="154"/>
      <c r="V32" s="155"/>
      <c r="W32" s="179"/>
      <c r="X32" s="1129"/>
      <c r="Y32" s="1129"/>
      <c r="Z32" s="1129"/>
      <c r="AA32" s="1129"/>
      <c r="AB32" s="1129"/>
      <c r="AC32" s="1129"/>
      <c r="AD32" s="1129"/>
      <c r="AE32" s="1129"/>
      <c r="AF32" s="1129"/>
      <c r="AG32" s="1129"/>
      <c r="AH32" s="1129"/>
      <c r="AI32" s="1129"/>
      <c r="AJ32" s="1129"/>
      <c r="AK32" s="1129"/>
      <c r="AL32" s="1129"/>
      <c r="AM32" s="1129"/>
      <c r="AN32" s="1129"/>
      <c r="AO32" s="1129"/>
      <c r="AP32" s="1129"/>
      <c r="AQ32" s="1129"/>
      <c r="AR32" s="1129"/>
      <c r="AS32" s="1129"/>
      <c r="AT32" s="1129"/>
      <c r="AU32" s="1129"/>
      <c r="AV32" s="1129"/>
      <c r="AW32" s="1129"/>
      <c r="AX32" s="1129"/>
      <c r="AY32" s="1129"/>
      <c r="AZ32" s="1129"/>
      <c r="BA32" s="1129"/>
      <c r="BB32" s="1129"/>
      <c r="BC32" s="1129"/>
      <c r="BD32" s="1129"/>
      <c r="BE32" s="1129"/>
      <c r="BF32" s="1129"/>
      <c r="BG32" s="1129"/>
      <c r="BH32" s="1129"/>
      <c r="BI32" s="1129"/>
      <c r="BJ32" s="1129"/>
      <c r="BK32" s="1129"/>
      <c r="BL32" s="1129"/>
      <c r="BM32" s="1129"/>
      <c r="BN32" s="1129"/>
      <c r="BO32" s="1129"/>
      <c r="BP32" s="1129"/>
      <c r="BQ32" s="1129"/>
      <c r="BR32" s="1129"/>
      <c r="BS32" s="1129"/>
      <c r="BT32" s="1133"/>
      <c r="BU32" s="1129"/>
      <c r="BV32" s="1129"/>
      <c r="BW32" s="415"/>
      <c r="BX32" s="415"/>
      <c r="BY32" s="415"/>
      <c r="BZ32" s="415"/>
      <c r="CA32" s="415"/>
      <c r="CB32" s="415"/>
      <c r="CC32" s="415"/>
      <c r="CD32" s="415"/>
      <c r="CE32" s="196"/>
      <c r="CF32" s="22"/>
      <c r="CG32" s="187"/>
      <c r="CH32" s="195"/>
      <c r="CI32" s="33"/>
      <c r="CJ32" s="195"/>
      <c r="CK32" s="159"/>
      <c r="CL32" s="19"/>
      <c r="CM32" s="923"/>
      <c r="CN32" s="160"/>
      <c r="CO32" s="161"/>
      <c r="CP32" s="161"/>
      <c r="CQ32" s="924"/>
      <c r="CR32" s="925"/>
      <c r="CS32" s="10"/>
      <c r="CT32" s="926"/>
      <c r="CU32" s="8"/>
      <c r="CV32" s="8"/>
      <c r="CW32" s="8"/>
      <c r="CX32" s="8"/>
      <c r="CY32" s="8"/>
      <c r="CZ32" s="8"/>
      <c r="DA32" s="8"/>
      <c r="DB32" s="8"/>
      <c r="DC32" s="8"/>
      <c r="DD32" s="8"/>
      <c r="DE32" s="8"/>
      <c r="DF32" s="8"/>
      <c r="DG32" s="8"/>
      <c r="DH32" s="8"/>
      <c r="DI32" s="8"/>
      <c r="DJ32" s="8"/>
      <c r="DK32" s="134"/>
      <c r="DL32" s="135"/>
      <c r="DM32" s="927"/>
      <c r="DN32" s="928"/>
      <c r="DO32" s="136"/>
      <c r="DP32" s="929"/>
      <c r="DQ32" s="930"/>
      <c r="DR32" s="931"/>
      <c r="DS32" s="932"/>
      <c r="DT32" s="18"/>
      <c r="DU32" s="18"/>
      <c r="DV32" s="930"/>
      <c r="DW32" s="933"/>
      <c r="DX32" s="934"/>
      <c r="DY32" s="935"/>
      <c r="DZ32" s="935"/>
    </row>
    <row r="33" spans="1:172" s="140" customFormat="1" ht="41.25" customHeight="1" x14ac:dyDescent="0.3">
      <c r="A33" s="922"/>
      <c r="B33" s="156"/>
      <c r="C33" s="148"/>
      <c r="D33" s="1128"/>
      <c r="E33" s="1128"/>
      <c r="F33" s="1128"/>
      <c r="G33" s="1128"/>
      <c r="H33" s="1128"/>
      <c r="I33" s="1128"/>
      <c r="J33" s="1128"/>
      <c r="K33" s="1128"/>
      <c r="L33" s="1128"/>
      <c r="M33" s="1128"/>
      <c r="N33" s="1128"/>
      <c r="O33" s="1128"/>
      <c r="P33" s="1128"/>
      <c r="Q33" s="1128"/>
      <c r="R33" s="1128"/>
      <c r="S33" s="154"/>
      <c r="T33" s="154"/>
      <c r="U33" s="154"/>
      <c r="V33" s="155"/>
      <c r="W33" s="179"/>
      <c r="X33" s="1129"/>
      <c r="Y33" s="1129"/>
      <c r="Z33" s="1129"/>
      <c r="AA33" s="1129"/>
      <c r="AB33" s="1129"/>
      <c r="AC33" s="1129"/>
      <c r="AD33" s="1129"/>
      <c r="AE33" s="1129"/>
      <c r="AF33" s="1129"/>
      <c r="AG33" s="1129"/>
      <c r="AH33" s="1129"/>
      <c r="AI33" s="1129"/>
      <c r="AJ33" s="1129"/>
      <c r="AK33" s="1129"/>
      <c r="AL33" s="1129"/>
      <c r="AM33" s="1129"/>
      <c r="AN33" s="1129"/>
      <c r="AO33" s="1129"/>
      <c r="AP33" s="1129"/>
      <c r="AQ33" s="1129"/>
      <c r="AR33" s="1129"/>
      <c r="AS33" s="1129"/>
      <c r="AT33" s="1129"/>
      <c r="AU33" s="1129"/>
      <c r="AV33" s="1129"/>
      <c r="AW33" s="1129"/>
      <c r="AX33" s="1129"/>
      <c r="AY33" s="1129"/>
      <c r="AZ33" s="1129"/>
      <c r="BA33" s="1129"/>
      <c r="BB33" s="1129"/>
      <c r="BC33" s="1129"/>
      <c r="BD33" s="1129"/>
      <c r="BE33" s="1129"/>
      <c r="BF33" s="1129"/>
      <c r="BG33" s="1129"/>
      <c r="BH33" s="1129"/>
      <c r="BI33" s="1129"/>
      <c r="BJ33" s="1129"/>
      <c r="BK33" s="1129"/>
      <c r="BL33" s="1129"/>
      <c r="BM33" s="1129"/>
      <c r="BN33" s="1129"/>
      <c r="BO33" s="1129"/>
      <c r="BP33" s="1129"/>
      <c r="BQ33" s="1129"/>
      <c r="BR33" s="1129"/>
      <c r="BS33" s="1129"/>
      <c r="BT33" s="1133"/>
      <c r="BU33" s="1129"/>
      <c r="BV33" s="1129"/>
      <c r="BW33" s="415"/>
      <c r="BX33" s="415"/>
      <c r="BY33" s="415"/>
      <c r="BZ33" s="415"/>
      <c r="CA33" s="415"/>
      <c r="CB33" s="415"/>
      <c r="CC33" s="415"/>
      <c r="CD33" s="415"/>
      <c r="CE33" s="196"/>
      <c r="CF33" s="22"/>
      <c r="CG33" s="187"/>
      <c r="CH33" s="195"/>
      <c r="CI33" s="33"/>
      <c r="CJ33" s="195"/>
      <c r="CK33" s="159"/>
      <c r="CL33" s="19"/>
      <c r="CM33" s="923"/>
      <c r="CN33" s="160"/>
      <c r="CO33" s="161"/>
      <c r="CP33" s="161"/>
      <c r="CQ33" s="924"/>
      <c r="CR33" s="925"/>
      <c r="CS33" s="10"/>
      <c r="CT33" s="926"/>
      <c r="CU33" s="8"/>
      <c r="CV33" s="8"/>
      <c r="CW33" s="8"/>
      <c r="CX33" s="8"/>
      <c r="CY33" s="8"/>
      <c r="CZ33" s="8"/>
      <c r="DA33" s="8"/>
      <c r="DB33" s="8"/>
      <c r="DC33" s="8"/>
      <c r="DD33" s="8"/>
      <c r="DE33" s="8"/>
      <c r="DF33" s="8"/>
      <c r="DG33" s="8"/>
      <c r="DH33" s="8"/>
      <c r="DI33" s="8"/>
      <c r="DJ33" s="8"/>
      <c r="DK33" s="134"/>
      <c r="DL33" s="135"/>
      <c r="DM33" s="927"/>
      <c r="DN33" s="928"/>
      <c r="DO33" s="136"/>
      <c r="DP33" s="929"/>
      <c r="DQ33" s="930"/>
      <c r="DR33" s="931"/>
      <c r="DS33" s="932"/>
      <c r="DT33" s="18"/>
      <c r="DU33" s="18"/>
      <c r="DV33" s="930"/>
      <c r="DW33" s="933"/>
      <c r="DX33" s="934"/>
      <c r="DY33" s="935"/>
      <c r="DZ33" s="935"/>
    </row>
    <row r="34" spans="1:172" s="140" customFormat="1" ht="41.25" customHeight="1" x14ac:dyDescent="0.3">
      <c r="A34" s="922"/>
      <c r="B34" s="156"/>
      <c r="C34" s="148"/>
      <c r="D34" s="1128"/>
      <c r="E34" s="1128"/>
      <c r="F34" s="1128"/>
      <c r="G34" s="1128"/>
      <c r="H34" s="1128"/>
      <c r="I34" s="1128"/>
      <c r="J34" s="1128"/>
      <c r="K34" s="1128"/>
      <c r="L34" s="1128"/>
      <c r="M34" s="1128"/>
      <c r="N34" s="1128"/>
      <c r="O34" s="1128"/>
      <c r="P34" s="1128"/>
      <c r="Q34" s="1128"/>
      <c r="R34" s="1128"/>
      <c r="S34" s="154"/>
      <c r="T34" s="154"/>
      <c r="U34" s="154"/>
      <c r="V34" s="155"/>
      <c r="W34" s="179"/>
      <c r="X34" s="1129"/>
      <c r="Y34" s="1129"/>
      <c r="Z34" s="1129"/>
      <c r="AA34" s="1129"/>
      <c r="AB34" s="1129"/>
      <c r="AC34" s="1129"/>
      <c r="AD34" s="1129"/>
      <c r="AE34" s="1129"/>
      <c r="AF34" s="1129"/>
      <c r="AG34" s="1129"/>
      <c r="AH34" s="1129"/>
      <c r="AI34" s="1129"/>
      <c r="AJ34" s="1129"/>
      <c r="AK34" s="1129"/>
      <c r="AL34" s="1129"/>
      <c r="AM34" s="1129"/>
      <c r="AN34" s="1129"/>
      <c r="AO34" s="1129"/>
      <c r="AP34" s="1129"/>
      <c r="AQ34" s="1129"/>
      <c r="AR34" s="1129"/>
      <c r="AS34" s="1129"/>
      <c r="AT34" s="1129"/>
      <c r="AU34" s="1129"/>
      <c r="AV34" s="1129"/>
      <c r="AW34" s="1129"/>
      <c r="AX34" s="1129"/>
      <c r="AY34" s="1129"/>
      <c r="AZ34" s="1129"/>
      <c r="BA34" s="1129"/>
      <c r="BB34" s="1129"/>
      <c r="BC34" s="1129"/>
      <c r="BD34" s="1129"/>
      <c r="BE34" s="1129"/>
      <c r="BF34" s="1129"/>
      <c r="BG34" s="1129"/>
      <c r="BH34" s="1129"/>
      <c r="BI34" s="1129"/>
      <c r="BJ34" s="1129"/>
      <c r="BK34" s="1129"/>
      <c r="BL34" s="1129"/>
      <c r="BM34" s="1129"/>
      <c r="BN34" s="1129"/>
      <c r="BO34" s="1129"/>
      <c r="BP34" s="1129"/>
      <c r="BQ34" s="1129"/>
      <c r="BR34" s="1129"/>
      <c r="BS34" s="1129"/>
      <c r="BT34" s="1133"/>
      <c r="BU34" s="1129"/>
      <c r="BV34" s="1129"/>
      <c r="BW34" s="415"/>
      <c r="BX34" s="415"/>
      <c r="BY34" s="415"/>
      <c r="BZ34" s="415"/>
      <c r="CA34" s="415"/>
      <c r="CB34" s="415"/>
      <c r="CC34" s="415"/>
      <c r="CD34" s="415"/>
      <c r="CE34" s="196"/>
      <c r="CF34" s="22"/>
      <c r="CG34" s="187"/>
      <c r="CH34" s="195"/>
      <c r="CI34" s="33"/>
      <c r="CJ34" s="195"/>
      <c r="CK34" s="159"/>
      <c r="CL34" s="19"/>
      <c r="CM34" s="923"/>
      <c r="CN34" s="160"/>
      <c r="CO34" s="161"/>
      <c r="CP34" s="161"/>
      <c r="CQ34" s="924"/>
      <c r="CR34" s="925"/>
      <c r="CS34" s="10"/>
      <c r="CT34" s="926"/>
      <c r="CU34" s="8"/>
      <c r="CV34" s="8"/>
      <c r="CW34" s="8"/>
      <c r="CX34" s="8"/>
      <c r="CY34" s="8"/>
      <c r="CZ34" s="8"/>
      <c r="DA34" s="8"/>
      <c r="DB34" s="8"/>
      <c r="DC34" s="8"/>
      <c r="DD34" s="8"/>
      <c r="DE34" s="8"/>
      <c r="DF34" s="8"/>
      <c r="DG34" s="8"/>
      <c r="DH34" s="8"/>
      <c r="DI34" s="8"/>
      <c r="DJ34" s="8"/>
      <c r="DK34" s="134"/>
      <c r="DL34" s="135"/>
      <c r="DM34" s="927"/>
      <c r="DN34" s="928"/>
      <c r="DO34" s="136"/>
      <c r="DP34" s="929"/>
      <c r="DQ34" s="930"/>
      <c r="DR34" s="931"/>
      <c r="DS34" s="932"/>
      <c r="DT34" s="18"/>
      <c r="DU34" s="18"/>
      <c r="DV34" s="930"/>
      <c r="DW34" s="933"/>
      <c r="DX34" s="934"/>
      <c r="DY34" s="935"/>
      <c r="DZ34" s="935"/>
    </row>
    <row r="35" spans="1:172" s="140" customFormat="1" ht="41.25" customHeight="1" x14ac:dyDescent="0.3">
      <c r="A35" s="922"/>
      <c r="B35" s="156"/>
      <c r="C35" s="148"/>
      <c r="D35" s="1128"/>
      <c r="E35" s="1128"/>
      <c r="F35" s="1128"/>
      <c r="G35" s="1128"/>
      <c r="H35" s="1128"/>
      <c r="I35" s="1128"/>
      <c r="J35" s="1128"/>
      <c r="K35" s="1128"/>
      <c r="L35" s="1128"/>
      <c r="M35" s="1128"/>
      <c r="N35" s="1128"/>
      <c r="O35" s="1128"/>
      <c r="P35" s="1128"/>
      <c r="Q35" s="1128"/>
      <c r="R35" s="1128"/>
      <c r="S35" s="154"/>
      <c r="T35" s="154"/>
      <c r="U35" s="154"/>
      <c r="V35" s="155"/>
      <c r="W35" s="179"/>
      <c r="X35" s="1129"/>
      <c r="Y35" s="1129"/>
      <c r="Z35" s="1129"/>
      <c r="AA35" s="1129"/>
      <c r="AB35" s="1129"/>
      <c r="AC35" s="1129"/>
      <c r="AD35" s="1129"/>
      <c r="AE35" s="1129"/>
      <c r="AF35" s="1129"/>
      <c r="AG35" s="1129"/>
      <c r="AH35" s="1129"/>
      <c r="AI35" s="1129"/>
      <c r="AJ35" s="1129"/>
      <c r="AK35" s="1129"/>
      <c r="AL35" s="1129"/>
      <c r="AM35" s="1129"/>
      <c r="AN35" s="1129"/>
      <c r="AO35" s="1129"/>
      <c r="AP35" s="1129"/>
      <c r="AQ35" s="1129"/>
      <c r="AR35" s="1129"/>
      <c r="AS35" s="1129"/>
      <c r="AT35" s="1129"/>
      <c r="AU35" s="1129"/>
      <c r="AV35" s="1129"/>
      <c r="AW35" s="1129"/>
      <c r="AX35" s="1129"/>
      <c r="AY35" s="1129"/>
      <c r="AZ35" s="1129"/>
      <c r="BA35" s="1129"/>
      <c r="BB35" s="1129"/>
      <c r="BC35" s="1129"/>
      <c r="BD35" s="1129"/>
      <c r="BE35" s="1129"/>
      <c r="BF35" s="1129"/>
      <c r="BG35" s="1129"/>
      <c r="BH35" s="1129"/>
      <c r="BI35" s="1129"/>
      <c r="BJ35" s="1129"/>
      <c r="BK35" s="1129"/>
      <c r="BL35" s="1129"/>
      <c r="BM35" s="1129"/>
      <c r="BN35" s="1129"/>
      <c r="BO35" s="1129"/>
      <c r="BP35" s="1129"/>
      <c r="BQ35" s="1129"/>
      <c r="BR35" s="1129"/>
      <c r="BS35" s="1129"/>
      <c r="BT35" s="1133"/>
      <c r="BU35" s="1129"/>
      <c r="BV35" s="1129"/>
      <c r="BW35" s="415"/>
      <c r="BX35" s="415"/>
      <c r="BY35" s="415"/>
      <c r="BZ35" s="415"/>
      <c r="CA35" s="415"/>
      <c r="CB35" s="415"/>
      <c r="CC35" s="415"/>
      <c r="CD35" s="415"/>
      <c r="CE35" s="196"/>
      <c r="CF35" s="22"/>
      <c r="CG35" s="187"/>
      <c r="CH35" s="195"/>
      <c r="CI35" s="33"/>
      <c r="CJ35" s="195"/>
      <c r="CK35" s="159"/>
      <c r="CL35" s="19"/>
      <c r="CM35" s="923"/>
      <c r="CN35" s="160"/>
      <c r="CO35" s="161"/>
      <c r="CP35" s="161"/>
      <c r="CQ35" s="924"/>
      <c r="CR35" s="925"/>
      <c r="CS35" s="10"/>
      <c r="CT35" s="926"/>
      <c r="CU35" s="8"/>
      <c r="CV35" s="8"/>
      <c r="CW35" s="8"/>
      <c r="CX35" s="8"/>
      <c r="CY35" s="8"/>
      <c r="CZ35" s="8"/>
      <c r="DA35" s="8"/>
      <c r="DB35" s="8"/>
      <c r="DC35" s="8"/>
      <c r="DD35" s="8"/>
      <c r="DE35" s="8"/>
      <c r="DF35" s="8"/>
      <c r="DG35" s="8"/>
      <c r="DH35" s="8"/>
      <c r="DI35" s="8"/>
      <c r="DJ35" s="8"/>
      <c r="DK35" s="134"/>
      <c r="DL35" s="135"/>
      <c r="DM35" s="927"/>
      <c r="DN35" s="928"/>
      <c r="DO35" s="136"/>
      <c r="DP35" s="929"/>
      <c r="DQ35" s="930"/>
      <c r="DR35" s="931"/>
      <c r="DS35" s="932"/>
      <c r="DT35" s="18"/>
      <c r="DU35" s="18"/>
      <c r="DV35" s="930"/>
      <c r="DW35" s="933"/>
      <c r="DX35" s="934"/>
      <c r="DY35" s="935"/>
      <c r="DZ35" s="935"/>
    </row>
    <row r="36" spans="1:172" s="140" customFormat="1" ht="41.25" customHeight="1" x14ac:dyDescent="0.3">
      <c r="A36" s="922"/>
      <c r="B36" s="156"/>
      <c r="C36" s="148"/>
      <c r="D36" s="1128"/>
      <c r="E36" s="1128"/>
      <c r="F36" s="1128"/>
      <c r="G36" s="1128"/>
      <c r="H36" s="1128"/>
      <c r="I36" s="1128"/>
      <c r="J36" s="1128"/>
      <c r="K36" s="1128"/>
      <c r="L36" s="1128"/>
      <c r="M36" s="1128"/>
      <c r="N36" s="1128"/>
      <c r="O36" s="1128"/>
      <c r="P36" s="1128"/>
      <c r="Q36" s="1128"/>
      <c r="R36" s="1128"/>
      <c r="S36" s="154"/>
      <c r="T36" s="154"/>
      <c r="U36" s="154"/>
      <c r="V36" s="155"/>
      <c r="W36" s="179"/>
      <c r="X36" s="1129"/>
      <c r="Y36" s="1129"/>
      <c r="Z36" s="1129"/>
      <c r="AA36" s="1129"/>
      <c r="AB36" s="1129"/>
      <c r="AC36" s="1129"/>
      <c r="AD36" s="1129"/>
      <c r="AE36" s="1129"/>
      <c r="AF36" s="1129"/>
      <c r="AG36" s="1129"/>
      <c r="AH36" s="1129"/>
      <c r="AI36" s="1129"/>
      <c r="AJ36" s="1129"/>
      <c r="AK36" s="1129"/>
      <c r="AL36" s="1129"/>
      <c r="AM36" s="1129"/>
      <c r="AN36" s="1129"/>
      <c r="AO36" s="1129"/>
      <c r="AP36" s="1129"/>
      <c r="AQ36" s="1129"/>
      <c r="AR36" s="1129"/>
      <c r="AS36" s="1129"/>
      <c r="AT36" s="1129"/>
      <c r="AU36" s="1129"/>
      <c r="AV36" s="1129"/>
      <c r="AW36" s="1129"/>
      <c r="AX36" s="1129"/>
      <c r="AY36" s="1129"/>
      <c r="AZ36" s="1129"/>
      <c r="BA36" s="1129"/>
      <c r="BB36" s="1129"/>
      <c r="BC36" s="1129"/>
      <c r="BD36" s="1129"/>
      <c r="BE36" s="1129"/>
      <c r="BF36" s="1129"/>
      <c r="BG36" s="1129"/>
      <c r="BH36" s="1129"/>
      <c r="BI36" s="1129"/>
      <c r="BJ36" s="1129"/>
      <c r="BK36" s="1129"/>
      <c r="BL36" s="1129"/>
      <c r="BM36" s="1129"/>
      <c r="BN36" s="1129"/>
      <c r="BO36" s="1129"/>
      <c r="BP36" s="1129"/>
      <c r="BQ36" s="1129"/>
      <c r="BR36" s="1129"/>
      <c r="BS36" s="1129"/>
      <c r="BT36" s="1133"/>
      <c r="BU36" s="1129"/>
      <c r="BV36" s="1129"/>
      <c r="BW36" s="415"/>
      <c r="BX36" s="415"/>
      <c r="BY36" s="415"/>
      <c r="BZ36" s="415"/>
      <c r="CA36" s="415"/>
      <c r="CB36" s="415"/>
      <c r="CC36" s="415"/>
      <c r="CD36" s="415"/>
      <c r="CE36" s="196"/>
      <c r="CF36" s="22"/>
      <c r="CG36" s="187"/>
      <c r="CH36" s="195"/>
      <c r="CI36" s="33"/>
      <c r="CJ36" s="195"/>
      <c r="CK36" s="159"/>
      <c r="CL36" s="19"/>
      <c r="CM36" s="923"/>
      <c r="CN36" s="160"/>
      <c r="CO36" s="161"/>
      <c r="CP36" s="161"/>
      <c r="CQ36" s="924"/>
      <c r="CR36" s="925"/>
      <c r="CS36" s="10"/>
      <c r="CT36" s="926"/>
      <c r="CU36" s="8"/>
      <c r="CV36" s="8"/>
      <c r="CW36" s="8"/>
      <c r="CX36" s="8"/>
      <c r="CY36" s="8"/>
      <c r="CZ36" s="8"/>
      <c r="DA36" s="8"/>
      <c r="DB36" s="8"/>
      <c r="DC36" s="8"/>
      <c r="DD36" s="8"/>
      <c r="DE36" s="8"/>
      <c r="DF36" s="8"/>
      <c r="DG36" s="8"/>
      <c r="DH36" s="8"/>
      <c r="DI36" s="8"/>
      <c r="DJ36" s="8"/>
      <c r="DK36" s="134"/>
      <c r="DL36" s="135"/>
      <c r="DM36" s="927"/>
      <c r="DN36" s="928"/>
      <c r="DO36" s="136"/>
      <c r="DP36" s="929"/>
      <c r="DQ36" s="930"/>
      <c r="DR36" s="931"/>
      <c r="DS36" s="932"/>
      <c r="DT36" s="18"/>
      <c r="DU36" s="18"/>
      <c r="DV36" s="930"/>
      <c r="DW36" s="933"/>
      <c r="DX36" s="934"/>
      <c r="DY36" s="935"/>
      <c r="DZ36" s="935"/>
    </row>
    <row r="37" spans="1:172" s="140" customFormat="1" ht="41.25" customHeight="1" x14ac:dyDescent="0.3">
      <c r="A37" s="986"/>
      <c r="B37" s="156"/>
      <c r="C37" s="148"/>
      <c r="D37" s="1128"/>
      <c r="E37" s="1128"/>
      <c r="F37" s="1128"/>
      <c r="G37" s="1128"/>
      <c r="H37" s="1128"/>
      <c r="I37" s="1128"/>
      <c r="J37" s="1128"/>
      <c r="K37" s="1128"/>
      <c r="L37" s="1128"/>
      <c r="M37" s="1128"/>
      <c r="N37" s="1128"/>
      <c r="O37" s="1128"/>
      <c r="P37" s="1128"/>
      <c r="Q37" s="1128"/>
      <c r="R37" s="1128"/>
      <c r="S37" s="154"/>
      <c r="T37" s="154"/>
      <c r="U37" s="154"/>
      <c r="V37" s="155"/>
      <c r="W37" s="179"/>
      <c r="X37" s="1129"/>
      <c r="Y37" s="1129"/>
      <c r="Z37" s="1129"/>
      <c r="AA37" s="1129"/>
      <c r="AB37" s="1129"/>
      <c r="AC37" s="1129"/>
      <c r="AD37" s="1129"/>
      <c r="AE37" s="1129"/>
      <c r="AF37" s="1129"/>
      <c r="AG37" s="1129"/>
      <c r="AH37" s="1129"/>
      <c r="AI37" s="1129"/>
      <c r="AJ37" s="1129"/>
      <c r="AK37" s="1129"/>
      <c r="AL37" s="1129"/>
      <c r="AM37" s="1129"/>
      <c r="AN37" s="1129"/>
      <c r="AO37" s="1129"/>
      <c r="AP37" s="1129"/>
      <c r="AQ37" s="1129"/>
      <c r="AR37" s="1129"/>
      <c r="AS37" s="1129"/>
      <c r="AT37" s="1129"/>
      <c r="AU37" s="1129"/>
      <c r="AV37" s="1129"/>
      <c r="AW37" s="1129"/>
      <c r="AX37" s="1129"/>
      <c r="AY37" s="1129"/>
      <c r="AZ37" s="1129"/>
      <c r="BA37" s="1129"/>
      <c r="BB37" s="1129"/>
      <c r="BC37" s="1129"/>
      <c r="BD37" s="1129"/>
      <c r="BE37" s="1129"/>
      <c r="BF37" s="1129"/>
      <c r="BG37" s="1129"/>
      <c r="BH37" s="1129"/>
      <c r="BI37" s="1129"/>
      <c r="BJ37" s="1129"/>
      <c r="BK37" s="1129"/>
      <c r="BL37" s="1129"/>
      <c r="BM37" s="1129"/>
      <c r="BN37" s="1129"/>
      <c r="BO37" s="1129"/>
      <c r="BP37" s="1129"/>
      <c r="BQ37" s="1129"/>
      <c r="BR37" s="1129"/>
      <c r="BS37" s="1129"/>
      <c r="BT37" s="1133"/>
      <c r="BU37" s="1129"/>
      <c r="BV37" s="1129"/>
      <c r="BW37" s="415"/>
      <c r="BX37" s="415"/>
      <c r="BY37" s="415"/>
      <c r="BZ37" s="415"/>
      <c r="CA37" s="415"/>
      <c r="CB37" s="415"/>
      <c r="CC37" s="415"/>
      <c r="CD37" s="415"/>
      <c r="CE37" s="196"/>
      <c r="CF37" s="22"/>
      <c r="CG37" s="187"/>
      <c r="CH37" s="195"/>
      <c r="CI37" s="33"/>
      <c r="CJ37" s="195"/>
      <c r="CK37" s="159"/>
      <c r="CL37" s="987"/>
      <c r="CM37" s="988"/>
      <c r="CN37" s="989"/>
      <c r="CO37" s="990"/>
      <c r="CP37" s="990"/>
      <c r="CQ37" s="991"/>
      <c r="CR37" s="992"/>
      <c r="CS37" s="298"/>
      <c r="CT37" s="993"/>
      <c r="CU37" s="8"/>
      <c r="CV37" s="8"/>
      <c r="CW37" s="8"/>
      <c r="CX37" s="8"/>
      <c r="CY37" s="8"/>
      <c r="CZ37" s="8"/>
      <c r="DA37" s="8"/>
      <c r="DB37" s="8"/>
      <c r="DC37" s="8"/>
      <c r="DD37" s="8"/>
      <c r="DE37" s="8"/>
      <c r="DF37" s="8"/>
      <c r="DG37" s="8"/>
      <c r="DH37" s="8"/>
      <c r="DI37" s="8"/>
      <c r="DJ37" s="8"/>
      <c r="DK37" s="994"/>
      <c r="DL37" s="135"/>
      <c r="DM37" s="995"/>
      <c r="DN37" s="996"/>
      <c r="DO37" s="997"/>
      <c r="DP37" s="998"/>
      <c r="DQ37" s="999"/>
      <c r="DR37" s="1000"/>
      <c r="DS37" s="1001"/>
      <c r="DT37" s="1002"/>
      <c r="DU37" s="1002"/>
      <c r="DV37" s="999"/>
      <c r="DW37" s="1003"/>
      <c r="DX37" s="1004"/>
      <c r="DY37" s="1005"/>
      <c r="DZ37" s="1005"/>
    </row>
    <row r="38" spans="1:172" s="830" customFormat="1" ht="30.75" customHeight="1" x14ac:dyDescent="0.2">
      <c r="A38" s="1042">
        <v>258</v>
      </c>
      <c r="B38" s="831">
        <v>7</v>
      </c>
      <c r="C38" s="1042"/>
      <c r="D38" s="1042" t="str">
        <f>IF(F38="Nam","Ông","Bà")</f>
        <v>Ông</v>
      </c>
      <c r="E38" s="354" t="s">
        <v>19</v>
      </c>
      <c r="F38" s="1042" t="s">
        <v>219</v>
      </c>
      <c r="G38" s="757" t="s">
        <v>175</v>
      </c>
      <c r="H38" s="758" t="s">
        <v>200</v>
      </c>
      <c r="I38" s="759" t="s">
        <v>216</v>
      </c>
      <c r="J38" s="758" t="s">
        <v>200</v>
      </c>
      <c r="K38" s="760" t="s">
        <v>171</v>
      </c>
      <c r="L38" s="761" t="s">
        <v>264</v>
      </c>
      <c r="M38" s="762" t="str">
        <f>IF(L38="công chức","CC",IF(L38="viên chức","VC",IF(L38="người lao động","NLĐ","- - -")))</f>
        <v>VC</v>
      </c>
      <c r="N38" s="763"/>
      <c r="O38" s="764" t="e">
        <f>IF(AND((Q38+0)&gt;0.3,(Q38+0)&lt;1.5),"CVụ","- -")</f>
        <v>#REF!</v>
      </c>
      <c r="P38" s="765"/>
      <c r="Q38" s="766" t="e">
        <f>VLOOKUP(P38,#REF!,2,0)</f>
        <v>#REF!</v>
      </c>
      <c r="R38" s="921"/>
      <c r="S38" s="768" t="s">
        <v>68</v>
      </c>
      <c r="T38" s="769" t="e">
        <f>VLOOKUP(Y38,#REF!,5,0)</f>
        <v>#REF!</v>
      </c>
      <c r="U38" s="770" t="e">
        <f>VLOOKUP(Y38,#REF!,6,0)</f>
        <v>#REF!</v>
      </c>
      <c r="V38" s="771" t="s">
        <v>248</v>
      </c>
      <c r="W38" s="884" t="str">
        <f>IF(OR(Y38="Kỹ thuật viên đánh máy",Y38="Nhân viên đánh máy",Y38="Nhân viên kỹ thuật",Y38="Nhân viên văn thư",Y38="Nhân viên phục vụ",Y38="Lái xe cơ quan",Y38="Nhân viên bảo vệ"),"Nhân viên",Y38)</f>
        <v>Giảng viên chính (hạng II)</v>
      </c>
      <c r="X38" s="832" t="e">
        <f>IF(W38="Nhân viên","01.005",Z38)</f>
        <v>#REF!</v>
      </c>
      <c r="Y38" s="772" t="s">
        <v>255</v>
      </c>
      <c r="Z38" s="772" t="e">
        <f>VLOOKUP(Y38,#REF!,2,0)</f>
        <v>#REF!</v>
      </c>
      <c r="AA38" s="524" t="e">
        <f>IF(OR(AND(BB38=36,BA38=3),AND(BB38=24,BA38=2),AND(BB38=12,BA38=1)),"Đến $",IF(OR(AND(BB38&gt;36,BA38=3),AND(BB38&gt;24,BA38=2),AND(BB38&gt;12,BA38=1)),"Dừng $","Lương"))</f>
        <v>#REF!</v>
      </c>
      <c r="AB38" s="773">
        <v>1</v>
      </c>
      <c r="AC38" s="774" t="e">
        <f>IF(AD38&gt;0,"/")</f>
        <v>#REF!</v>
      </c>
      <c r="AD38" s="775" t="e">
        <f>IF(OR(BD38=0.18,BD38=0.2),12,IF(BD38=0.31,10,IF(BD38=0.33,9,IF(BD38=0.34,8,IF(BD38=0.36,6)))))</f>
        <v>#REF!</v>
      </c>
      <c r="AE38" s="776" t="e">
        <f>BC38+(AB38-1)*BD38</f>
        <v>#REF!</v>
      </c>
      <c r="AF38" s="777"/>
      <c r="AG38" s="777"/>
      <c r="AH38" s="778"/>
      <c r="AI38" s="779"/>
      <c r="AJ38" s="780"/>
      <c r="AK38" s="779"/>
      <c r="AL38" s="781"/>
      <c r="AM38" s="782"/>
      <c r="AN38" s="783"/>
      <c r="AO38" s="784">
        <f>AB38+1</f>
        <v>2</v>
      </c>
      <c r="AP38" s="785" t="e">
        <f>IF(AD38=AB38,"%",IF(AD38&gt;AB38,"/"))</f>
        <v>#REF!</v>
      </c>
      <c r="AQ38" s="786" t="e">
        <f>IF(AND(AD38=AB38,AO38=4),5,IF(AND(AD38=AB38,AO38&gt;4),AO38+1,IF(AD38&gt;AB38,AD38)))</f>
        <v>#REF!</v>
      </c>
      <c r="AR38" s="521" t="e">
        <f>IF(AD38=AB38,"%",IF(AD38&gt;AB38,AE38+BD38))</f>
        <v>#REF!</v>
      </c>
      <c r="AS38" s="787"/>
      <c r="AT38" s="788" t="s">
        <v>183</v>
      </c>
      <c r="AU38" s="789" t="s">
        <v>200</v>
      </c>
      <c r="AV38" s="790" t="s">
        <v>189</v>
      </c>
      <c r="AW38" s="789" t="s">
        <v>200</v>
      </c>
      <c r="AX38" s="1088">
        <v>2015</v>
      </c>
      <c r="AY38" s="792"/>
      <c r="AZ38" s="793"/>
      <c r="BA38" s="522" t="e">
        <f>IF(AND(AD38&gt;AB38,OR(BD38=0.18,BD38=0.2)),2,IF(AND(AD38&gt;AB38,OR(BD38=0.31,BD38=0.33,BD38=0.34,BD38=0.36)),3,IF(AD38=AB38,1)))</f>
        <v>#REF!</v>
      </c>
      <c r="BB38" s="794">
        <f>12*($AA$2-AX38)+($AA$3-AV38)-AM38</f>
        <v>-24187</v>
      </c>
      <c r="BC38" s="523" t="e">
        <f>VLOOKUP(Y38,#REF!,3,0)</f>
        <v>#REF!</v>
      </c>
      <c r="BD38" s="523" t="e">
        <f>VLOOKUP(Y38,#REF!,4,0)</f>
        <v>#REF!</v>
      </c>
      <c r="BE38" s="795" t="str">
        <f>IF(AND(BF38&gt;3,BY38=12),"Đến %",IF(AND(BF38&gt;3,BY38&gt;12,BY38&lt;120),"Dừng %",IF(AND(BF38&gt;3,BY38&lt;12),"PCTN","o-o-o")))</f>
        <v>PCTN</v>
      </c>
      <c r="BF38" s="796">
        <v>15</v>
      </c>
      <c r="BG38" s="797" t="s">
        <v>178</v>
      </c>
      <c r="BH38" s="798" t="s">
        <v>183</v>
      </c>
      <c r="BI38" s="799" t="s">
        <v>200</v>
      </c>
      <c r="BJ38" s="800">
        <v>3</v>
      </c>
      <c r="BK38" s="801" t="s">
        <v>200</v>
      </c>
      <c r="BL38" s="802">
        <v>2017</v>
      </c>
      <c r="BM38" s="803"/>
      <c r="BN38" s="804"/>
      <c r="BO38" s="805">
        <f>IF(BF38&gt;3,BF38+1,0)</f>
        <v>16</v>
      </c>
      <c r="BP38" s="806" t="s">
        <v>178</v>
      </c>
      <c r="BQ38" s="807" t="s">
        <v>183</v>
      </c>
      <c r="BR38" s="789" t="s">
        <v>200</v>
      </c>
      <c r="BS38" s="1139"/>
      <c r="BT38" s="1134">
        <v>3</v>
      </c>
      <c r="BU38" s="808" t="s">
        <v>200</v>
      </c>
      <c r="BV38" s="1041">
        <v>2018</v>
      </c>
      <c r="BW38" s="809"/>
      <c r="BX38" s="810">
        <v>3</v>
      </c>
      <c r="BY38" s="881">
        <f>IF(BF38&gt;3,(($BE$2-BV38)*12+($BE$3-BT38)-BM38),"- - -")</f>
        <v>-24219</v>
      </c>
      <c r="BZ38" s="795" t="str">
        <f>IF(AND(CV38="Hưu",BF38&gt;3),12-(12*(DB38-BV38)+(DA38-BT38))-BM38,"- - -")</f>
        <v>- - -</v>
      </c>
      <c r="CA38" s="811" t="str">
        <f>IF(OR(S38="Ban Tổ chức - Cán bộ",S38="Văn phòng Học viện",S38="Phó Giám đốc Thường trực Học viện",S38="Phó Giám đốc Học viện"),"Chánh Văn phòng Học viện, Trưởng Ban Tổ chức - Cán bộ",IF(OR(S38="Trung tâm Ngoại ngữ",S38="Trung tâm Tin học hành chính và Công nghệ thông tin",S38="Trung tâm Tin học - Thư viện",S38="Phân viện khu vực Tây Nguyên"),"Chánh Văn phòng Học viện, Trưởng Ban Tổ chức - Cán bộ, "&amp;CONCATENATE("Giám đốc ",S38),IF(S38="Tạp chí Quản lý nhà nước","Chánh Văn phòng Học viện, Trưởng Ban Tổ chức - Cán bộ, "&amp;CONCATENATE("Tổng Biên tập ",S38),IF(S38="Văn phòng Đảng uỷ Học viện","Chánh Văn phòng Học viện, Trưởng Ban Tổ chức - Cán bộ, "&amp;CONCATENATE("Chánh",S38),IF(S38="Viện Nghiên cứu Khoa học hành chính","Chánh Văn phòng Học viện, Trưởng Ban Tổ chức - Cán bộ, "&amp;CONCATENATE("Viện Trưởng ",S38),IF(OR(S38="Cơ sở Học viện Hành chính Quốc gia khu vực miền Trung",S38="Cơ sở Học viện Hành chính Quốc gia tại Thành phố Hồ Chí Minh"),"Chánh Văn phòng Học viện, Trưởng Ban Tổ chức - Cán bộ, "&amp;CONCATENATE("Thủ trưởng ",S38),"Chánh Văn phòng Học viện, Trưởng Ban Tổ chức - Cán bộ, "&amp;CONCATENATE("Trưởng ",S38)))))))</f>
        <v>Chánh Văn phòng Học viện, Trưởng Ban Tổ chức - Cán bộ, Trưởng Khoa Quản lý nhà nước về Kinh tế</v>
      </c>
      <c r="CB38" s="3" t="str">
        <f>IF(S38="Cơ sở Học viện Hành chính khu vực miền Trung","B",IF(S38="Phân viện Khu vực Tây Nguyên","C",IF(S38="Cơ sở Học viện Hành chính tại thành phố Hồ Chí Minh","D","A")))</f>
        <v>A</v>
      </c>
      <c r="CC38" s="812" t="e">
        <f>IF(AND(AO38&gt;0,AB38&lt;(AD38-1),CD38&gt;0,CD38&lt;13,OR(AND(CJ38="Cùg Ng",($CC$2-CF38)&gt;BA38),CJ38="- - -")),"Sớm TT","=&gt; s")</f>
        <v>#REF!</v>
      </c>
      <c r="CD38" s="524" t="e">
        <f>IF(BA38=3,36-(12*($CC$2-AX38)+(12-AV38)-AM38),IF(BA38=2,24-(12*($CC$2-AX38)+(12-AV38)-AM38),"---"))</f>
        <v>#REF!</v>
      </c>
      <c r="CE38" s="1042" t="str">
        <f>IF(CF38&gt;1,"S","---")</f>
        <v>---</v>
      </c>
      <c r="CF38" s="1042"/>
      <c r="CG38" s="1006"/>
      <c r="CH38" s="1042"/>
      <c r="CI38" s="813"/>
      <c r="CJ38" s="1042" t="e">
        <f>IF(X38=CG38,"Cùg Ng","- - -")</f>
        <v>#REF!</v>
      </c>
      <c r="CK38" s="525" t="str">
        <f>IF(CM38&gt;2000,"NN","- - -")</f>
        <v>NN</v>
      </c>
      <c r="CL38" s="814">
        <v>7</v>
      </c>
      <c r="CM38" s="815">
        <v>2012</v>
      </c>
      <c r="CN38" s="814"/>
      <c r="CO38" s="816"/>
      <c r="CP38" s="525" t="str">
        <f>IF(CR38&gt;2000,"CN","- - -")</f>
        <v>- - -</v>
      </c>
      <c r="CQ38" s="814"/>
      <c r="CR38" s="815"/>
      <c r="CS38" s="814"/>
      <c r="CT38" s="816"/>
      <c r="CU38" s="817" t="e">
        <f>IF(AND(CV38="Hưu",AB38&lt;(AD38-1),DC38&gt;0,DC38&lt;18,OR(BF38&lt;4,AND(BF38&gt;3,OR(BZ38&lt;3,BZ38&gt;5)))),"Lg Sớm",IF(AND(CV38="Hưu",AB38&gt;(AD38-2),OR(BD38=0.33,BD38=0.34),OR(BF38&lt;4,AND(BF38&gt;3,OR(BZ38&lt;3,BZ38&gt;5)))),"Nâng Ngạch",IF(AND(CV38="Hưu",BA38=1,DC38&gt;2,DC38&lt;6,OR(BF38&lt;4,AND(BF38&gt;3,OR(BZ38&lt;3,BZ38&gt;5)))),"Nâng PcVK cùng QĐ",IF(AND(CV38="Hưu",BF38&gt;3,BZ38&gt;2,BZ38&lt;6,AB38&lt;(AD38-1),DC38&gt;17,OR(BA38&gt;1,AND(BA38=1,OR(DC38&lt;3,DC38&gt;5)))),"Nâng PcNG cùng QĐ",IF(AND(CV38="Hưu",AB38&lt;(AD38-1),DC38&gt;0,DC38&lt;18,BF38&gt;3,BZ38&gt;2,BZ38&lt;6),"Nâng Lg Sớm +(PcNG cùng QĐ)",IF(AND(CV38="Hưu",AB38&gt;(AD38-2),OR(BD38=0.33,BD38=0.34),BF38&gt;3,BZ38&gt;2,BZ38&lt;6),"Nâng Ngạch +(PcNG cùng QĐ)",IF(AND(CV38="Hưu",BA38=1,DC38&gt;2,DC38&lt;6,BF38&gt;3,BZ38&gt;2,BZ38&lt;6),"Nâng (PcVK +PcNG) cùng QĐ",("---"))))))))</f>
        <v>#REF!</v>
      </c>
      <c r="CV38" s="818" t="str">
        <f>IF(AND(DG38&gt;DF38,DG38&lt;(DF38+13)),"Hưu",IF(AND(DG38&gt;(DF38+12),DG38&lt;1000),"Quá","/-/ /-/"))</f>
        <v>/-/ /-/</v>
      </c>
      <c r="CW38" s="819">
        <f>IF((I38+0)&lt;12,(I38+0)+1,IF((I38+0)=12,1,IF((I38+0)&gt;12,(I38+0)-12)))</f>
        <v>5</v>
      </c>
      <c r="CX38" s="820">
        <f>IF(OR((I38+0)=12,(I38+0)&gt;12),K38+DF38/12+1,IF(AND((I38+0)&gt;0,(I38+0)&lt;12),K38+DF38/12,"---"))</f>
        <v>2029</v>
      </c>
      <c r="CY38" s="819">
        <f>IF(AND(CW38&gt;3,CW38&lt;13),CW38-3,IF(CW38&lt;4,CW38-3+12))</f>
        <v>2</v>
      </c>
      <c r="CZ38" s="820">
        <f>IF(CY38&lt;CW38,CX38,IF(CY38&gt;CW38,CX38-1))</f>
        <v>2029</v>
      </c>
      <c r="DA38" s="819">
        <f>IF(CW38&gt;6,CW38-6,IF(CW38=6,12,IF(CW38&lt;6,CW38+6)))</f>
        <v>11</v>
      </c>
      <c r="DB38" s="820">
        <f>IF(CW38&gt;6,CX38,IF(CW38&lt;7,CX38-1))</f>
        <v>2028</v>
      </c>
      <c r="DC38" s="821" t="e">
        <f>IF(AND(CV38="Hưu",BA38=3),36+AM38-(12*(DB38-AX38)+(DA38-AV38)),IF(AND(CV38="Hưu",BA38=2),24+AM38-(12*(DB38-AX38)+(DA38-AV38)),IF(AND(CV38="Hưu",BA38=1),12+AM38-(12*(DB38-AX38)+(DA38-AV38)),"- - -")))</f>
        <v>#REF!</v>
      </c>
      <c r="DD38" s="822" t="str">
        <f>IF(DE38&gt;0,"K.Dài",". .")</f>
        <v>. .</v>
      </c>
      <c r="DE38" s="822"/>
      <c r="DF38" s="524">
        <f>IF(F38="Nam",(60+DE38)*12,IF(F38="Nữ",(55+DE38)*12,))</f>
        <v>720</v>
      </c>
      <c r="DG38" s="524">
        <f>12*($CV$4-K38)+(12-I38)</f>
        <v>-23620</v>
      </c>
      <c r="DH38" s="524">
        <f>$DL$4-K38</f>
        <v>-1969</v>
      </c>
      <c r="DI38" s="524" t="str">
        <f>IF(AND(DH38&lt;35,F38="Nam"),"Nam dưới 35",IF(AND(DH38&lt;30,F38="Nữ"),"Nữ dưới 30",IF(AND(DH38&gt;34,DH38&lt;46,F38="Nam"),"Nam từ 35 - 45",IF(AND(DH38&gt;29,DH38&lt;41,F38="Nữ"),"Nữ từ 30 - 40",IF(AND(DH38&gt;45,DH38&lt;56,F38="Nam"),"Nam trên 45 - 55",IF(AND(DH38&gt;40,DH38&lt;51,F38="Nữ"),"Nữ trên 40 - 50",IF(AND(DH38&gt;55,F38="Nam"),"Nam trên 55","Nữ trên 50")))))))</f>
        <v>Nam dưới 35</v>
      </c>
      <c r="DJ38" s="524"/>
      <c r="DK38" s="524"/>
      <c r="DL38" s="795" t="str">
        <f>IF(DH38&lt;31,"Đến 30",IF(AND(DH38&gt;30,DH38&lt;46),"31 - 45",IF(AND(DH38&gt;45,DH38&lt;70),"Trên 45")))</f>
        <v>Đến 30</v>
      </c>
      <c r="DM38" s="814" t="str">
        <f>IF(DN38&gt;0,"TD","--")</f>
        <v>--</v>
      </c>
      <c r="DN38" s="823"/>
      <c r="DO38" s="1042"/>
      <c r="DP38" s="824"/>
      <c r="DQ38" s="823"/>
      <c r="DR38" s="816"/>
      <c r="DS38" s="825"/>
      <c r="DT38" s="535"/>
      <c r="DU38" s="526"/>
      <c r="DV38" s="1041"/>
      <c r="DW38" s="767"/>
      <c r="DX38" s="788" t="s">
        <v>183</v>
      </c>
      <c r="DY38" s="790" t="s">
        <v>200</v>
      </c>
      <c r="DZ38" s="790" t="s">
        <v>189</v>
      </c>
      <c r="EA38" s="790" t="s">
        <v>200</v>
      </c>
      <c r="EB38" s="826">
        <v>2012</v>
      </c>
      <c r="EC38" s="790">
        <f>(DX38+0)-(EE38+0)</f>
        <v>0</v>
      </c>
      <c r="ED38" s="827" t="str">
        <f>IF(EC38&gt;0,"Sửa","- - -")</f>
        <v>- - -</v>
      </c>
      <c r="EE38" s="788" t="s">
        <v>183</v>
      </c>
      <c r="EF38" s="790" t="s">
        <v>200</v>
      </c>
      <c r="EG38" s="790" t="s">
        <v>189</v>
      </c>
      <c r="EH38" s="790" t="s">
        <v>200</v>
      </c>
      <c r="EI38" s="826">
        <v>2012</v>
      </c>
      <c r="EJ38" s="1042">
        <v>3.66</v>
      </c>
      <c r="EK38" s="525" t="e">
        <f>IF(AND(BD38&gt;0.34,AO38=1,OR(BC38=6.2,BC38=5.75)),((BC38-EJ38)-2*0.34),IF(AND(BD38&gt;0.33,AO38=1,OR(BC38=4.4,BC38=4)),((BC38-EJ38)-2*0.33),"- - -"))</f>
        <v>#REF!</v>
      </c>
      <c r="EL38" s="527" t="str">
        <f>IF(CV38="Hưu",12*(DB38-AX38)+(DA38-AV38),"---")</f>
        <v>---</v>
      </c>
      <c r="EM38" s="1041"/>
      <c r="EN38" s="828"/>
      <c r="EO38" s="828"/>
      <c r="EP38" s="828"/>
      <c r="EQ38" s="828"/>
      <c r="ER38" s="828"/>
      <c r="ES38" s="828"/>
      <c r="ET38" s="828"/>
      <c r="EU38" s="828"/>
      <c r="EV38" s="828"/>
      <c r="EW38" s="828"/>
      <c r="EX38" s="828"/>
      <c r="EY38" s="828"/>
      <c r="EZ38" s="828"/>
      <c r="FA38" s="828"/>
      <c r="FB38" s="828"/>
      <c r="FC38" s="828"/>
      <c r="FD38" s="828"/>
      <c r="FE38" s="828"/>
      <c r="FF38" s="828"/>
      <c r="FG38" s="828"/>
      <c r="FH38" s="828"/>
      <c r="FI38" s="828"/>
      <c r="FJ38" s="828"/>
      <c r="FK38" s="828"/>
      <c r="FL38" s="829"/>
      <c r="FM38" s="829"/>
      <c r="FN38" s="829"/>
      <c r="FO38" s="829"/>
      <c r="FP38" s="829"/>
    </row>
    <row r="39" spans="1:172" s="985" customFormat="1" ht="30.75" customHeight="1" x14ac:dyDescent="0.2">
      <c r="A39" s="606"/>
      <c r="B39" s="944"/>
      <c r="C39" s="606"/>
      <c r="D39" s="606"/>
      <c r="E39" s="612"/>
      <c r="F39" s="606"/>
      <c r="G39" s="945"/>
      <c r="H39" s="946"/>
      <c r="I39" s="945"/>
      <c r="J39" s="946"/>
      <c r="K39" s="612"/>
      <c r="L39" s="947"/>
      <c r="M39" s="948"/>
      <c r="N39" s="949"/>
      <c r="O39" s="950"/>
      <c r="P39" s="612"/>
      <c r="Q39" s="944"/>
      <c r="R39" s="951"/>
      <c r="S39" s="952"/>
      <c r="T39" s="120"/>
      <c r="U39" s="953"/>
      <c r="V39" s="936"/>
      <c r="W39" s="954"/>
      <c r="X39" s="955"/>
      <c r="Y39" s="956"/>
      <c r="Z39" s="956"/>
      <c r="AA39" s="604"/>
      <c r="AB39" s="957"/>
      <c r="AC39" s="609"/>
      <c r="AD39" s="609"/>
      <c r="AE39" s="958"/>
      <c r="AF39" s="958"/>
      <c r="AG39" s="958"/>
      <c r="AH39" s="958"/>
      <c r="AI39" s="959"/>
      <c r="AJ39" s="958"/>
      <c r="AK39" s="959"/>
      <c r="AL39" s="960"/>
      <c r="AM39" s="961"/>
      <c r="AN39" s="611"/>
      <c r="AO39" s="962"/>
      <c r="AP39" s="614"/>
      <c r="AQ39" s="963"/>
      <c r="AR39" s="614"/>
      <c r="AS39" s="614"/>
      <c r="AT39" s="964"/>
      <c r="AU39" s="613"/>
      <c r="AV39" s="605"/>
      <c r="AW39" s="613"/>
      <c r="AX39" s="612"/>
      <c r="AY39" s="965"/>
      <c r="AZ39" s="966"/>
      <c r="BA39" s="617"/>
      <c r="BB39" s="967"/>
      <c r="BC39" s="120"/>
      <c r="BD39" s="120"/>
      <c r="BE39" s="968"/>
      <c r="BF39" s="969"/>
      <c r="BG39" s="970"/>
      <c r="BH39" s="971"/>
      <c r="BI39" s="972"/>
      <c r="BJ39" s="973"/>
      <c r="BK39" s="972"/>
      <c r="BL39" s="974"/>
      <c r="BM39" s="568"/>
      <c r="BN39" s="975"/>
      <c r="BO39" s="969"/>
      <c r="BP39" s="611"/>
      <c r="BQ39" s="971"/>
      <c r="BR39" s="613"/>
      <c r="BS39" s="613"/>
      <c r="BT39" s="971"/>
      <c r="BU39" s="613"/>
      <c r="BV39" s="612"/>
      <c r="BW39" s="976"/>
      <c r="BX39" s="977"/>
      <c r="BY39" s="978"/>
      <c r="BZ39" s="968"/>
      <c r="CA39" s="979"/>
      <c r="CB39" s="615"/>
      <c r="CC39" s="604"/>
      <c r="CD39" s="604"/>
      <c r="CE39" s="606"/>
      <c r="CF39" s="606"/>
      <c r="CG39" s="754"/>
      <c r="CH39" s="606"/>
      <c r="CI39" s="980"/>
      <c r="CJ39" s="606"/>
      <c r="CK39" s="608"/>
      <c r="CL39" s="608"/>
      <c r="CM39" s="606"/>
      <c r="CN39" s="608"/>
      <c r="CO39" s="608"/>
      <c r="CP39" s="608"/>
      <c r="CQ39" s="608"/>
      <c r="CR39" s="606"/>
      <c r="CS39" s="608"/>
      <c r="CT39" s="608"/>
      <c r="CU39" s="618"/>
      <c r="CV39" s="981"/>
      <c r="CW39" s="610"/>
      <c r="CX39" s="610"/>
      <c r="CY39" s="610"/>
      <c r="CZ39" s="610"/>
      <c r="DA39" s="610"/>
      <c r="DB39" s="610"/>
      <c r="DC39" s="616"/>
      <c r="DD39" s="982"/>
      <c r="DE39" s="982"/>
      <c r="DF39" s="604"/>
      <c r="DG39" s="604"/>
      <c r="DH39" s="604"/>
      <c r="DI39" s="604"/>
      <c r="DJ39" s="604"/>
      <c r="DK39" s="604"/>
      <c r="DL39" s="968"/>
      <c r="DM39" s="608"/>
      <c r="DN39" s="606"/>
      <c r="DO39" s="606"/>
      <c r="DP39" s="606"/>
      <c r="DQ39" s="606"/>
      <c r="DR39" s="608"/>
      <c r="DS39" s="608"/>
      <c r="DT39" s="609"/>
      <c r="DU39" s="607"/>
      <c r="DV39" s="612"/>
      <c r="DW39" s="612"/>
      <c r="DX39" s="964"/>
      <c r="DY39" s="605"/>
      <c r="DZ39" s="605"/>
      <c r="EA39" s="605"/>
      <c r="EB39" s="983"/>
      <c r="EC39" s="605"/>
      <c r="ED39" s="606"/>
      <c r="EE39" s="964"/>
      <c r="EF39" s="605"/>
      <c r="EG39" s="605"/>
      <c r="EH39" s="605"/>
      <c r="EI39" s="983"/>
      <c r="EJ39" s="606"/>
      <c r="EK39" s="608"/>
      <c r="EL39" s="616"/>
      <c r="EM39" s="612"/>
      <c r="EN39" s="610"/>
      <c r="EO39" s="610"/>
      <c r="EP39" s="610"/>
      <c r="EQ39" s="610"/>
      <c r="ER39" s="610"/>
      <c r="ES39" s="610"/>
      <c r="ET39" s="610"/>
      <c r="EU39" s="610"/>
      <c r="EV39" s="610"/>
      <c r="EW39" s="610"/>
      <c r="EX39" s="610"/>
      <c r="EY39" s="610"/>
      <c r="EZ39" s="610"/>
      <c r="FA39" s="610"/>
      <c r="FB39" s="610"/>
      <c r="FC39" s="610"/>
      <c r="FD39" s="610"/>
      <c r="FE39" s="610"/>
      <c r="FF39" s="610"/>
      <c r="FG39" s="610"/>
      <c r="FH39" s="610"/>
      <c r="FI39" s="610"/>
      <c r="FJ39" s="610"/>
      <c r="FK39" s="610"/>
      <c r="FL39" s="984"/>
      <c r="FM39" s="984"/>
      <c r="FN39" s="984"/>
      <c r="FO39" s="984"/>
      <c r="FP39" s="984"/>
    </row>
    <row r="40" spans="1:172" s="985" customFormat="1" ht="30.75" customHeight="1" x14ac:dyDescent="0.2">
      <c r="A40" s="606"/>
      <c r="B40" s="944"/>
      <c r="C40" s="606"/>
      <c r="D40" s="606"/>
      <c r="E40" s="612"/>
      <c r="F40" s="606"/>
      <c r="G40" s="945"/>
      <c r="H40" s="946"/>
      <c r="I40" s="945"/>
      <c r="J40" s="946"/>
      <c r="K40" s="612"/>
      <c r="L40" s="947"/>
      <c r="M40" s="948"/>
      <c r="N40" s="949"/>
      <c r="O40" s="950"/>
      <c r="P40" s="612"/>
      <c r="Q40" s="944"/>
      <c r="R40" s="951"/>
      <c r="S40" s="952"/>
      <c r="T40" s="120"/>
      <c r="U40" s="953"/>
      <c r="V40" s="936"/>
      <c r="W40" s="954"/>
      <c r="X40" s="955"/>
      <c r="Y40" s="956"/>
      <c r="Z40" s="956"/>
      <c r="AA40" s="604"/>
      <c r="AB40" s="957"/>
      <c r="AC40" s="609"/>
      <c r="AD40" s="609"/>
      <c r="AE40" s="958"/>
      <c r="AF40" s="958"/>
      <c r="AG40" s="958"/>
      <c r="AH40" s="958"/>
      <c r="AI40" s="959"/>
      <c r="AJ40" s="958"/>
      <c r="AK40" s="959"/>
      <c r="AL40" s="960"/>
      <c r="AM40" s="961"/>
      <c r="AN40" s="611"/>
      <c r="AO40" s="962"/>
      <c r="AP40" s="614"/>
      <c r="AQ40" s="963"/>
      <c r="AR40" s="614"/>
      <c r="AS40" s="614"/>
      <c r="AT40" s="964"/>
      <c r="AU40" s="613"/>
      <c r="AV40" s="605"/>
      <c r="AW40" s="613"/>
      <c r="AX40" s="612"/>
      <c r="AY40" s="965"/>
      <c r="AZ40" s="966"/>
      <c r="BA40" s="617"/>
      <c r="BB40" s="967"/>
      <c r="BC40" s="120"/>
      <c r="BD40" s="120"/>
      <c r="BE40" s="968"/>
      <c r="BF40" s="969"/>
      <c r="BG40" s="970"/>
      <c r="BH40" s="971"/>
      <c r="BI40" s="972"/>
      <c r="BJ40" s="973"/>
      <c r="BK40" s="972"/>
      <c r="BL40" s="974"/>
      <c r="BM40" s="568"/>
      <c r="BN40" s="975"/>
      <c r="BO40" s="969"/>
      <c r="BP40" s="611"/>
      <c r="BQ40" s="971"/>
      <c r="BR40" s="613"/>
      <c r="BS40" s="613"/>
      <c r="BT40" s="971"/>
      <c r="BU40" s="613"/>
      <c r="BV40" s="612"/>
      <c r="BW40" s="976"/>
      <c r="BX40" s="977"/>
      <c r="BY40" s="978"/>
      <c r="BZ40" s="968"/>
      <c r="CA40" s="979"/>
      <c r="CB40" s="615"/>
      <c r="CC40" s="604"/>
      <c r="CD40" s="604"/>
      <c r="CE40" s="606"/>
      <c r="CF40" s="606"/>
      <c r="CG40" s="754"/>
      <c r="CH40" s="606"/>
      <c r="CI40" s="980"/>
      <c r="CJ40" s="606"/>
      <c r="CK40" s="608"/>
      <c r="CL40" s="608"/>
      <c r="CM40" s="606"/>
      <c r="CN40" s="608"/>
      <c r="CO40" s="608"/>
      <c r="CP40" s="608"/>
      <c r="CQ40" s="608"/>
      <c r="CR40" s="606"/>
      <c r="CS40" s="608"/>
      <c r="CT40" s="608"/>
      <c r="CU40" s="618"/>
      <c r="CV40" s="981"/>
      <c r="CW40" s="610"/>
      <c r="CX40" s="610"/>
      <c r="CY40" s="610"/>
      <c r="CZ40" s="610"/>
      <c r="DA40" s="610"/>
      <c r="DB40" s="610"/>
      <c r="DC40" s="616"/>
      <c r="DD40" s="982"/>
      <c r="DE40" s="982"/>
      <c r="DF40" s="604"/>
      <c r="DG40" s="604"/>
      <c r="DH40" s="604"/>
      <c r="DI40" s="604"/>
      <c r="DJ40" s="604"/>
      <c r="DK40" s="604"/>
      <c r="DL40" s="968"/>
      <c r="DM40" s="608"/>
      <c r="DN40" s="606"/>
      <c r="DO40" s="606"/>
      <c r="DP40" s="606"/>
      <c r="DQ40" s="606"/>
      <c r="DR40" s="608"/>
      <c r="DS40" s="608"/>
      <c r="DT40" s="609"/>
      <c r="DU40" s="607"/>
      <c r="DV40" s="612"/>
      <c r="DW40" s="612"/>
      <c r="DX40" s="964"/>
      <c r="DY40" s="605"/>
      <c r="DZ40" s="605"/>
      <c r="EA40" s="605"/>
      <c r="EB40" s="983"/>
      <c r="EC40" s="605"/>
      <c r="ED40" s="606"/>
      <c r="EE40" s="964"/>
      <c r="EF40" s="605"/>
      <c r="EG40" s="605"/>
      <c r="EH40" s="605"/>
      <c r="EI40" s="983"/>
      <c r="EJ40" s="606"/>
      <c r="EK40" s="608"/>
      <c r="EL40" s="616"/>
      <c r="EM40" s="612"/>
      <c r="EN40" s="610"/>
      <c r="EO40" s="610"/>
      <c r="EP40" s="610"/>
      <c r="EQ40" s="610"/>
      <c r="ER40" s="610"/>
      <c r="ES40" s="610"/>
      <c r="ET40" s="610"/>
      <c r="EU40" s="610"/>
      <c r="EV40" s="610"/>
      <c r="EW40" s="610"/>
      <c r="EX40" s="610"/>
      <c r="EY40" s="610"/>
      <c r="EZ40" s="610"/>
      <c r="FA40" s="610"/>
      <c r="FB40" s="610"/>
      <c r="FC40" s="610"/>
      <c r="FD40" s="610"/>
      <c r="FE40" s="610"/>
      <c r="FF40" s="610"/>
      <c r="FG40" s="610"/>
      <c r="FH40" s="610"/>
      <c r="FI40" s="610"/>
      <c r="FJ40" s="610"/>
      <c r="FK40" s="610"/>
      <c r="FL40" s="984"/>
      <c r="FM40" s="984"/>
      <c r="FN40" s="984"/>
      <c r="FO40" s="984"/>
      <c r="FP40" s="984"/>
    </row>
    <row r="41" spans="1:172" s="140" customFormat="1" ht="41.25" customHeight="1" x14ac:dyDescent="0.3">
      <c r="A41" s="922"/>
      <c r="B41" s="156"/>
      <c r="C41" s="148"/>
      <c r="D41" s="919"/>
      <c r="E41" s="919"/>
      <c r="F41" s="919"/>
      <c r="G41" s="919"/>
      <c r="H41" s="919"/>
      <c r="I41" s="919"/>
      <c r="J41" s="919"/>
      <c r="K41" s="919"/>
      <c r="L41" s="919"/>
      <c r="M41" s="919"/>
      <c r="N41" s="919"/>
      <c r="O41" s="919"/>
      <c r="P41" s="919"/>
      <c r="Q41" s="919"/>
      <c r="R41" s="919"/>
      <c r="S41" s="154"/>
      <c r="T41" s="154"/>
      <c r="U41" s="154"/>
      <c r="V41" s="155"/>
      <c r="W41" s="179"/>
      <c r="X41" s="918"/>
      <c r="Y41" s="918"/>
      <c r="Z41" s="918"/>
      <c r="AA41" s="918"/>
      <c r="AB41" s="918"/>
      <c r="AC41" s="918"/>
      <c r="AD41" s="918"/>
      <c r="AE41" s="918"/>
      <c r="AF41" s="918"/>
      <c r="AG41" s="918"/>
      <c r="AH41" s="918"/>
      <c r="AI41" s="918"/>
      <c r="AJ41" s="918"/>
      <c r="AK41" s="918"/>
      <c r="AL41" s="918"/>
      <c r="AM41" s="918"/>
      <c r="AN41" s="918"/>
      <c r="AO41" s="918"/>
      <c r="AP41" s="918"/>
      <c r="AQ41" s="918"/>
      <c r="AR41" s="918"/>
      <c r="AS41" s="918"/>
      <c r="AT41" s="918"/>
      <c r="AU41" s="918"/>
      <c r="AV41" s="918"/>
      <c r="AW41" s="918"/>
      <c r="AX41" s="918"/>
      <c r="AY41" s="918"/>
      <c r="AZ41" s="918"/>
      <c r="BA41" s="918"/>
      <c r="BB41" s="918"/>
      <c r="BC41" s="918"/>
      <c r="BD41" s="918"/>
      <c r="BE41" s="918"/>
      <c r="BF41" s="918"/>
      <c r="BG41" s="918"/>
      <c r="BH41" s="918"/>
      <c r="BI41" s="918"/>
      <c r="BJ41" s="918"/>
      <c r="BK41" s="918"/>
      <c r="BL41" s="918"/>
      <c r="BM41" s="918"/>
      <c r="BN41" s="918"/>
      <c r="BO41" s="918"/>
      <c r="BP41" s="918"/>
      <c r="BQ41" s="918"/>
      <c r="BR41" s="918"/>
      <c r="BS41" s="1129"/>
      <c r="BT41" s="1133"/>
      <c r="BU41" s="918"/>
      <c r="BV41" s="918"/>
      <c r="BW41" s="415"/>
      <c r="BX41" s="415"/>
      <c r="BY41" s="415"/>
      <c r="BZ41" s="415"/>
      <c r="CA41" s="415"/>
      <c r="CB41" s="415"/>
      <c r="CC41" s="415"/>
      <c r="CD41" s="415"/>
      <c r="CE41" s="196"/>
      <c r="CF41" s="22"/>
      <c r="CG41" s="187"/>
      <c r="CH41" s="195"/>
      <c r="CI41" s="33"/>
      <c r="CJ41" s="195"/>
      <c r="CK41" s="159"/>
      <c r="CL41" s="19"/>
      <c r="CM41" s="923"/>
      <c r="CN41" s="160"/>
      <c r="CO41" s="161"/>
      <c r="CP41" s="161"/>
      <c r="CQ41" s="924"/>
      <c r="CR41" s="925"/>
      <c r="CS41" s="10"/>
      <c r="CT41" s="926"/>
      <c r="CU41" s="8"/>
      <c r="CV41" s="8"/>
      <c r="CW41" s="8"/>
      <c r="CX41" s="8"/>
      <c r="CY41" s="8"/>
      <c r="CZ41" s="8"/>
      <c r="DA41" s="8"/>
      <c r="DB41" s="8"/>
      <c r="DC41" s="8"/>
      <c r="DD41" s="8"/>
      <c r="DE41" s="8"/>
      <c r="DF41" s="8"/>
      <c r="DG41" s="8"/>
      <c r="DH41" s="8"/>
      <c r="DI41" s="8"/>
      <c r="DJ41" s="8"/>
      <c r="DK41" s="134"/>
      <c r="DL41" s="135"/>
      <c r="DM41" s="927"/>
      <c r="DN41" s="928"/>
      <c r="DO41" s="136"/>
      <c r="DP41" s="929"/>
      <c r="DQ41" s="930"/>
      <c r="DR41" s="931"/>
      <c r="DS41" s="932"/>
      <c r="DT41" s="18"/>
      <c r="DU41" s="18"/>
      <c r="DV41" s="930"/>
      <c r="DW41" s="933"/>
      <c r="DX41" s="934"/>
      <c r="DY41" s="935"/>
      <c r="DZ41" s="935"/>
    </row>
    <row r="42" spans="1:172" ht="37.5" customHeight="1" x14ac:dyDescent="0.2"/>
    <row r="53" spans="1:175" s="104" customFormat="1" ht="11.25" customHeight="1" x14ac:dyDescent="0.2">
      <c r="A53" s="98">
        <v>3</v>
      </c>
      <c r="B53" s="937">
        <v>1</v>
      </c>
      <c r="C53" s="301" t="s">
        <v>227</v>
      </c>
      <c r="D53" s="301" t="str">
        <f t="shared" ref="D53:D61" si="0">IF(F53="Nam","Ông","Bà")</f>
        <v>Ông</v>
      </c>
      <c r="E53" s="302" t="s">
        <v>278</v>
      </c>
      <c r="F53" s="301" t="s">
        <v>219</v>
      </c>
      <c r="G53" s="1028" t="s">
        <v>191</v>
      </c>
      <c r="H53" s="1029" t="s">
        <v>200</v>
      </c>
      <c r="I53" s="1028" t="s">
        <v>187</v>
      </c>
      <c r="J53" s="1029" t="s">
        <v>200</v>
      </c>
      <c r="K53" s="302">
        <v>1960</v>
      </c>
      <c r="L53" s="210" t="s">
        <v>265</v>
      </c>
      <c r="M53" s="1047" t="str">
        <f t="shared" ref="M53:M61" si="1">IF(L53="công chức","CC",IF(L53="viên chức","VC",IF(L53="người lao động","NLĐ","- - -")))</f>
        <v>CC</v>
      </c>
      <c r="N53" s="223"/>
      <c r="O53" s="1030" t="e">
        <f t="shared" ref="O53:O61" si="2">IF(AND((Q53+0)&gt;0.3,(Q53+0)&lt;1.5),"CVụ","- -")</f>
        <v>#REF!</v>
      </c>
      <c r="P53" s="302" t="s">
        <v>114</v>
      </c>
      <c r="Q53" s="381" t="e">
        <f>VLOOKUP(P53,#REF!,2,0)</f>
        <v>#REF!</v>
      </c>
      <c r="R53" s="1034"/>
      <c r="S53" s="382" t="s">
        <v>114</v>
      </c>
      <c r="T53" s="305" t="e">
        <f>VLOOKUP(Y53,#REF!,5,0)</f>
        <v>#REF!</v>
      </c>
      <c r="U53" s="306" t="e">
        <f>VLOOKUP(Y53,#REF!,6,0)</f>
        <v>#REF!</v>
      </c>
      <c r="V53" s="328" t="s">
        <v>248</v>
      </c>
      <c r="W53" s="383" t="str">
        <f t="shared" ref="W53:W61" si="3">IF(OR(Y53="Kỹ thuật viên đánh máy",Y53="Nhân viên đánh máy",Y53="Nhân viên kỹ thuật",Y53="Nhân viên văn thư",Y53="Nhân viên phục vụ",Y53="Lái xe cơ quan",Y53="Nhân viên bảo vệ"),"Nhân viên",Y53)</f>
        <v>Giảng viên chính (hạng II)</v>
      </c>
      <c r="X53" s="328" t="e">
        <f t="shared" ref="X53:X61" si="4">IF(W53="Nhân viên","01.005",Z53)</f>
        <v>#REF!</v>
      </c>
      <c r="Y53" s="384" t="s">
        <v>255</v>
      </c>
      <c r="Z53" s="384" t="e">
        <f>VLOOKUP(Y53,#REF!,2,0)</f>
        <v>#REF!</v>
      </c>
      <c r="AA53" s="1152" t="e">
        <f t="shared" ref="AA53:AA61" si="5">IF(OR(AND(BC53=36,BB53=3),AND(BC53=24,BB53=2),AND(BC53=12,BB53=1)),"Đến $",IF(OR(AND(BC53&gt;36,BB53=3),AND(BC53&gt;24,BB53=2),AND(BC53&gt;12,BB53=1)),"Dừng $","Lương"))</f>
        <v>#REF!</v>
      </c>
      <c r="AB53" s="352">
        <v>5</v>
      </c>
      <c r="AC53" s="701" t="e">
        <f>IF(AD53&gt;0,"/")</f>
        <v>#REF!</v>
      </c>
      <c r="AD53" s="309" t="e">
        <f>IF(OR(BE53=0.18,BE53=0.2),12,IF(BE53=0.31,10,IF(BE53=0.33,9,IF(BE53=0.34,8,IF(BE53=0.36,6)))))</f>
        <v>#REF!</v>
      </c>
      <c r="AE53" s="310" t="e">
        <f>BD53+(AB53-1)*BE53</f>
        <v>#REF!</v>
      </c>
      <c r="AF53" s="507"/>
      <c r="AG53" s="311"/>
      <c r="AH53" s="673"/>
      <c r="AI53" s="694" t="s">
        <v>200</v>
      </c>
      <c r="AJ53" s="100"/>
      <c r="AK53" s="694" t="s">
        <v>200</v>
      </c>
      <c r="AL53" s="695"/>
      <c r="AM53" s="319"/>
      <c r="AN53" s="320"/>
      <c r="AO53" s="1018">
        <f>AB53+1</f>
        <v>6</v>
      </c>
      <c r="AP53" s="1019" t="e">
        <f t="shared" ref="AP53:AP61" si="6">IF(AD53=AB53,"%",IF(AD53&gt;AB53,"/"))</f>
        <v>#REF!</v>
      </c>
      <c r="AQ53" s="312" t="e">
        <f t="shared" ref="AQ53:AQ61" si="7">IF(AND(AD53=AB53,AO53=4),5,IF(AND(AD53=AB53,AO53&gt;4),AO53+1,IF(AD53&gt;AB53,AD53)))</f>
        <v>#REF!</v>
      </c>
      <c r="AR53" s="313" t="e">
        <f t="shared" ref="AR53:AR61" si="8">IF(AD53=AB53,"%",IF(AD53&gt;AB53,AE53+BE53))</f>
        <v>#REF!</v>
      </c>
      <c r="AS53" s="439"/>
      <c r="AT53" s="314" t="s">
        <v>183</v>
      </c>
      <c r="AU53" s="676" t="s">
        <v>200</v>
      </c>
      <c r="AV53" s="315" t="s">
        <v>210</v>
      </c>
      <c r="AW53" s="676" t="s">
        <v>200</v>
      </c>
      <c r="AX53" s="316">
        <v>2016</v>
      </c>
      <c r="AY53" s="346"/>
      <c r="AZ53" s="515"/>
      <c r="BA53" s="518"/>
      <c r="BB53" s="318" t="e">
        <f t="shared" ref="BB53:BB61" si="9">IF(AND(AD53&gt;AB53,OR(BE53=0.18,BE53=0.2)),2,IF(AND(AD53&gt;AB53,OR(BE53=0.31,BE53=0.33,BE53=0.34,BE53=0.36)),3,IF(AD53=AB53,1)))</f>
        <v>#REF!</v>
      </c>
      <c r="BC53" s="385">
        <f t="shared" ref="BC53:BC61" si="10">12*($AA$2-AX53)+($AA$3-AV53)-AM53</f>
        <v>-24202</v>
      </c>
      <c r="BD53" s="310" t="e">
        <f>VLOOKUP(Y53,#REF!,3,0)</f>
        <v>#REF!</v>
      </c>
      <c r="BE53" s="310" t="e">
        <f>VLOOKUP(Y53,#REF!,4,0)</f>
        <v>#REF!</v>
      </c>
      <c r="BF53" s="321" t="str">
        <f t="shared" ref="BF53:BF61" si="11">IF(AND(BG53&gt;3,BY53=12),"Đến %",IF(AND(BG53&gt;3,BY53&gt;12,BY53&lt;120),"Dừng %",IF(AND(BG53&gt;3,BY53&lt;12),"PCTN","o-o-o")))</f>
        <v>PCTN</v>
      </c>
      <c r="BG53" s="322">
        <v>29</v>
      </c>
      <c r="BH53" s="710" t="s">
        <v>178</v>
      </c>
      <c r="BI53" s="60" t="s">
        <v>183</v>
      </c>
      <c r="BJ53" s="677" t="s">
        <v>200</v>
      </c>
      <c r="BK53" s="448">
        <v>6</v>
      </c>
      <c r="BL53" s="677"/>
      <c r="BM53" s="1077">
        <v>2018</v>
      </c>
      <c r="BN53" s="319"/>
      <c r="BO53" s="325"/>
      <c r="BP53" s="323">
        <f t="shared" ref="BP53:BP61" si="12">IF(BG53&gt;3,BG53+1,0)</f>
        <v>30</v>
      </c>
      <c r="BQ53" s="455" t="s">
        <v>178</v>
      </c>
      <c r="BR53" s="510" t="s">
        <v>183</v>
      </c>
      <c r="BS53" s="676" t="s">
        <v>200</v>
      </c>
      <c r="BT53" s="446" t="s">
        <v>186</v>
      </c>
      <c r="BU53" s="676" t="s">
        <v>200</v>
      </c>
      <c r="BV53" s="316">
        <v>2019</v>
      </c>
      <c r="BW53" s="324"/>
      <c r="BX53" s="317"/>
      <c r="BY53" s="386">
        <f t="shared" ref="BY53:BY61" si="13">IF(BG53&gt;3,(($BF$2-BV53)*12+($BF$3-BT53)-BN53),"- - -")</f>
        <v>-24234</v>
      </c>
      <c r="BZ53" s="321" t="str">
        <f t="shared" ref="BZ53:BZ61" si="14">IF(AND(CV53="Hưu",BG53&gt;3),12-(12*(DB53-BV53)+(DA53-BT53))-BN53,"- - -")</f>
        <v>- - -</v>
      </c>
      <c r="CA53" s="302" t="str">
        <f t="shared" ref="CA53:CA61" si="15">IF(OR(S53="Ban Tổ chức - Cán bộ",S53="Văn phòng Học viện",S53="Phó Giám đốc Thường trực Học viện",S53="Phó Giám đốc Học viện"),"Chánh Văn phòng Học viện, Trưởng Ban Tổ chức - Cán bộ",IF(OR(S53="Trung tâm Ngoại ngữ",S53="Trung tâm Tin học hành chính và Công nghệ thông tin",S53="Trung tâm Tin học - Thư viện",S53="Phân viện khu vực Tây Nguyên"),"Chánh Văn phòng Học viện, Trưởng Ban Tổ chức - Cán bộ, "&amp;CONCATENATE("Giám đốc ",S53),IF(S53="Tạp chí Quản lý nhà nước","Chánh Văn phòng Học viện, Trưởng Ban Tổ chức - Cán bộ, "&amp;CONCATENATE("Tổng Biên tập ",S53),IF(S53="Văn phòng Đảng uỷ Học viện","Chánh Văn phòng Học viện, Trưởng Ban Tổ chức - Cán bộ, "&amp;CONCATENATE("Chánh",S53),IF(S53="Viện Nghiên cứu Khoa học hành chính","Chánh Văn phòng Học viện, Trưởng Ban Tổ chức - Cán bộ, "&amp;CONCATENATE("Viện Trưởng ",S53),IF(OR(S53="Cơ sở Học viện Hành chính Quốc gia khu vực miền Trung",S53="Cơ sở Học viện Hành chính Quốc gia tại Thành phố Hồ Chí Minh"),"Chánh Văn phòng Học viện, Trưởng Ban Tổ chức - Cán bộ, "&amp;CONCATENATE("Thủ trưởng ",S53),"Chánh Văn phòng Học viện, Trưởng Ban Tổ chức - Cán bộ, "&amp;CONCATENATE("Trưởng ",S53)))))))</f>
        <v>Chánh Văn phòng Học viện, Trưởng Ban Tổ chức - Cán bộ</v>
      </c>
      <c r="CB53" s="326" t="str">
        <f t="shared" ref="CB53:CB61" si="16">IF(S53="Cơ sở Học viện Hành chính khu vực miền Trung","B",IF(S53="Phân viện Khu vực Tây Nguyên","C",IF(S53="Cơ sở Học viện Hành chính tại thành phố Hồ Chí Minh","D","A")))</f>
        <v>A</v>
      </c>
      <c r="CC53" s="327" t="e">
        <f t="shared" ref="CC53:CC61" si="17">IF(AND(AO53&gt;0,AB53&lt;(AD53-1),CD53&gt;0,CD53&lt;13,OR(AND(CJ53="Cùg Ng",($CC$2-CF53)&gt;BB53),CJ53="- - -")),"Sớm TT","=&gt; s")</f>
        <v>#REF!</v>
      </c>
      <c r="CD53" s="307" t="e">
        <f t="shared" ref="CD53:CD61" si="18">IF(BB53=3,36-(12*($CC$2-AX53)+(12-AV53)-AM53),IF(BB53=2,24-(12*($CC$2-AX53)+(12-AV53)-AM53),"---"))</f>
        <v>#REF!</v>
      </c>
      <c r="CE53" s="301" t="str">
        <f t="shared" ref="CE53:CE61" si="19">IF(CF53&gt;1,"S","---")</f>
        <v>---</v>
      </c>
      <c r="CF53" s="301"/>
      <c r="CG53" s="377"/>
      <c r="CH53" s="301"/>
      <c r="CI53" s="328"/>
      <c r="CJ53" s="301" t="e">
        <f t="shared" ref="CJ53:CJ61" si="20">IF(X53=CG53,"Cùg Ng","- - -")</f>
        <v>#REF!</v>
      </c>
      <c r="CK53" s="329" t="str">
        <f t="shared" ref="CK53:CK61" si="21">IF(CM53&gt;2000,"NN","- - -")</f>
        <v>- - -</v>
      </c>
      <c r="CL53" s="330"/>
      <c r="CM53" s="331"/>
      <c r="CN53" s="330"/>
      <c r="CO53" s="332"/>
      <c r="CP53" s="329" t="str">
        <f t="shared" ref="CP53:CP61" si="22">IF(CR53&gt;2000,"CN","- - -")</f>
        <v>- - -</v>
      </c>
      <c r="CQ53" s="330"/>
      <c r="CR53" s="331"/>
      <c r="CS53" s="330"/>
      <c r="CT53" s="332"/>
      <c r="CU53" s="333" t="e">
        <f t="shared" ref="CU53:CU61" si="23">IF(AND(CV53="Hưu",AB53&lt;(AD53-1),DC53&gt;0,DC53&lt;18,OR(BG53&lt;4,AND(BG53&gt;3,OR(BZ53&lt;3,BZ53&gt;5)))),"Lg Sớm",IF(AND(CV53="Hưu",AB53&gt;(AD53-2),OR(BE53=0.33,BE53=0.34),OR(BG53&lt;4,AND(BG53&gt;3,OR(BZ53&lt;3,BZ53&gt;5)))),"Nâng Ngạch",IF(AND(CV53="Hưu",BB53=1,DC53&gt;2,DC53&lt;6,OR(BG53&lt;4,AND(BG53&gt;3,OR(BZ53&lt;3,BZ53&gt;5)))),"Nâng PcVK cùng QĐ",IF(AND(CV53="Hưu",BG53&gt;3,BZ53&gt;2,BZ53&lt;6,AB53&lt;(AD53-1),DC53&gt;17,OR(BB53&gt;1,AND(BB53=1,OR(DC53&lt;3,DC53&gt;5)))),"Nâng PcNG cùng QĐ",IF(AND(CV53="Hưu",AB53&lt;(AD53-1),DC53&gt;0,DC53&lt;18,BG53&gt;3,BZ53&gt;2,BZ53&lt;6),"Nâng Lg Sớm +(PcNG cùng QĐ)",IF(AND(CV53="Hưu",AB53&gt;(AD53-2),OR(BE53=0.33,BE53=0.34),BG53&gt;3,BZ53&gt;2,BZ53&lt;6),"Nâng Ngạch +(PcNG cùng QĐ)",IF(AND(CV53="Hưu",BB53=1,DC53&gt;2,DC53&lt;6,BG53&gt;3,BZ53&gt;2,BZ53&lt;6),"Nâng (PcVK +PcNG) cùng QĐ",("---"))))))))</f>
        <v>#REF!</v>
      </c>
      <c r="CV53" s="334" t="str">
        <f t="shared" ref="CV53:CV61" si="24">IF(AND(DG53&gt;DF53,DG53&lt;(DF53+13)),"Hưu",IF(AND(DG53&gt;(DF53+12),DG53&lt;1000),"Quá","/-/ /-/"))</f>
        <v>/-/ /-/</v>
      </c>
      <c r="CW53" s="335">
        <f t="shared" ref="CW53:CW61" si="25">IF((I53+0)&lt;12,(I53+0)+1,IF((I53+0)=12,1,IF((I53+0)&gt;12,(I53+0)-12)))</f>
        <v>9</v>
      </c>
      <c r="CX53" s="336">
        <f t="shared" ref="CX53:CX61" si="26">IF(OR((I53+0)=12,(I53+0)&gt;12),K53+DF53/12+1,IF(AND((I53+0)&gt;0,(I53+0)&lt;12),K53+DF53/12,"---"))</f>
        <v>2020</v>
      </c>
      <c r="CY53" s="335">
        <f t="shared" ref="CY53:CY61" si="27">IF(AND(CW53&gt;3,CW53&lt;13),CW53-3,IF(CW53&lt;4,CW53-3+12))</f>
        <v>6</v>
      </c>
      <c r="CZ53" s="336">
        <f t="shared" ref="CZ53:CZ61" si="28">IF(CY53&lt;CW53,CX53,IF(CY53&gt;CW53,CX53-1))</f>
        <v>2020</v>
      </c>
      <c r="DA53" s="335">
        <f t="shared" ref="DA53:DA61" si="29">IF(CW53&gt;6,CW53-6,IF(CW53=6,12,IF(CW53&lt;6,CW53+6)))</f>
        <v>3</v>
      </c>
      <c r="DB53" s="336">
        <f t="shared" ref="DB53:DB61" si="30">IF(CW53&gt;6,CX53,IF(CW53&lt;7,CX53-1))</f>
        <v>2020</v>
      </c>
      <c r="DC53" s="337" t="e">
        <f t="shared" ref="DC53:DC61" si="31">IF(AND(CV53="Hưu",BB53=3),36+AM53-(12*(DB53-AX53)+(DA53-AV53)),IF(AND(CV53="Hưu",BB53=2),24+AM53-(12*(DB53-AX53)+(DA53-AV53)),IF(AND(CV53="Hưu",BB53=1),12+AM53-(12*(DB53-AX53)+(DA53-AV53)),"- - -")))</f>
        <v>#REF!</v>
      </c>
      <c r="DD53" s="338" t="str">
        <f t="shared" ref="DD53:DD61" si="32">IF(DE53&gt;0,"K.Dài",". .")</f>
        <v>. .</v>
      </c>
      <c r="DE53" s="338"/>
      <c r="DF53" s="307">
        <f t="shared" ref="DF53:DF61" si="33">IF(F53="Nam",(60+DE53)*12,IF(F53="Nữ",(55+DE53)*12,))</f>
        <v>720</v>
      </c>
      <c r="DG53" s="307">
        <f t="shared" ref="DG53:DG61" si="34">12*($CV$4-K53)+(12-I53)</f>
        <v>-23516</v>
      </c>
      <c r="DH53" s="307">
        <f t="shared" ref="DH53:DH61" si="35">$DL$4-K53</f>
        <v>-1960</v>
      </c>
      <c r="DI53" s="307" t="str">
        <f t="shared" ref="DI53:DI61" si="36">IF(AND(DH53&lt;35,F53="Nam"),"Nam dưới 35",IF(AND(DH53&lt;30,F53="Nữ"),"Nữ dưới 30",IF(AND(DH53&gt;34,DH53&lt;46,F53="Nam"),"Nam từ 35 - 45",IF(AND(DH53&gt;29,DH53&lt;41,F53="Nữ"),"Nữ từ 30 - 40",IF(AND(DH53&gt;45,DH53&lt;56,F53="Nam"),"Nam trên 45 - 55",IF(AND(DH53&gt;40,DH53&lt;51,F53="Nữ"),"Nữ trên 40 - 50",IF(AND(DH53&gt;55,F53="Nam"),"Nam trên 55","Nữ trên 50")))))))</f>
        <v>Nam dưới 35</v>
      </c>
      <c r="DJ53" s="307"/>
      <c r="DK53" s="307"/>
      <c r="DL53" s="321" t="str">
        <f t="shared" ref="DL53:DL61" si="37">IF(DH53&lt;31,"Đến 30",IF(AND(DH53&gt;30,DH53&lt;46),"31 - 45",IF(AND(DH53&gt;45,DH53&lt;70),"Trên 45")))</f>
        <v>Đến 30</v>
      </c>
      <c r="DM53" s="330" t="str">
        <f t="shared" ref="DM53:DM61" si="38">IF(DN53&gt;0,"TD","--")</f>
        <v>--</v>
      </c>
      <c r="DN53" s="303"/>
      <c r="DO53" s="301"/>
      <c r="DP53" s="339"/>
      <c r="DQ53" s="303"/>
      <c r="DR53" s="332"/>
      <c r="DS53" s="340"/>
      <c r="DT53" s="341"/>
      <c r="DU53" s="342"/>
      <c r="DV53" s="346"/>
      <c r="DW53" s="304"/>
      <c r="DX53" s="382" t="s">
        <v>114</v>
      </c>
      <c r="DY53" s="304"/>
      <c r="DZ53" s="314" t="s">
        <v>183</v>
      </c>
      <c r="EA53" s="315" t="s">
        <v>200</v>
      </c>
      <c r="EB53" s="315" t="s">
        <v>183</v>
      </c>
      <c r="EC53" s="315" t="s">
        <v>200</v>
      </c>
      <c r="ED53" s="343">
        <v>2014</v>
      </c>
      <c r="EE53" s="315">
        <f t="shared" ref="EE53:EE61" si="39">(DZ53+0)-(EG53+0)</f>
        <v>0</v>
      </c>
      <c r="EF53" s="344" t="str">
        <f t="shared" ref="EF53:EF61" si="40">IF(EE53&gt;0,"Sửa","- - -")</f>
        <v>- - -</v>
      </c>
      <c r="EG53" s="314" t="s">
        <v>183</v>
      </c>
      <c r="EH53" s="315" t="s">
        <v>200</v>
      </c>
      <c r="EI53" s="315" t="s">
        <v>183</v>
      </c>
      <c r="EJ53" s="315" t="s">
        <v>200</v>
      </c>
      <c r="EK53" s="343">
        <v>2014</v>
      </c>
      <c r="EL53" s="301">
        <v>3.66</v>
      </c>
      <c r="EM53" s="329" t="e">
        <f t="shared" ref="EM53:EM61" si="41">IF(AND(BE53&gt;0.34,AO53=1,OR(BD53=6.2,BD53=5.75)),((BD53-EL53)-2*0.34),IF(AND(BE53&gt;0.33,AO53=1,OR(BD53=4.4,BD53=4)),((BD53-EL53)-2*0.33),"- - -"))</f>
        <v>#REF!</v>
      </c>
      <c r="EN53" s="345" t="str">
        <f t="shared" ref="EN53:EN61" si="42">IF(CV53="Hưu",12*(DB53-AX53)+(DA53-AV53),"---")</f>
        <v>---</v>
      </c>
      <c r="EO53" s="346"/>
      <c r="EP53" s="347"/>
      <c r="EQ53" s="347"/>
      <c r="ER53" s="347"/>
      <c r="ES53" s="347"/>
      <c r="ET53" s="347"/>
      <c r="EU53" s="347"/>
      <c r="EV53" s="347"/>
      <c r="EW53" s="347"/>
      <c r="EX53" s="347"/>
      <c r="EY53" s="347"/>
      <c r="EZ53" s="347"/>
      <c r="FA53" s="347"/>
      <c r="FB53" s="347"/>
      <c r="FC53" s="347"/>
      <c r="FD53" s="347"/>
      <c r="FE53" s="347"/>
      <c r="FF53" s="347"/>
      <c r="FG53" s="347"/>
      <c r="FH53" s="347"/>
      <c r="FI53" s="347"/>
      <c r="FJ53" s="347"/>
      <c r="FK53" s="347"/>
      <c r="FL53" s="347"/>
      <c r="FM53" s="347"/>
      <c r="FN53" s="268"/>
      <c r="FO53" s="268"/>
      <c r="FP53" s="268"/>
      <c r="FQ53" s="268"/>
      <c r="FR53" s="268"/>
    </row>
    <row r="54" spans="1:175" s="274" customFormat="1" ht="11.25" customHeight="1" x14ac:dyDescent="0.2">
      <c r="A54" s="98">
        <v>120</v>
      </c>
      <c r="B54" s="359">
        <v>2</v>
      </c>
      <c r="C54" s="35"/>
      <c r="D54" s="35" t="str">
        <f t="shared" si="0"/>
        <v>Bà</v>
      </c>
      <c r="E54" s="40" t="s">
        <v>9</v>
      </c>
      <c r="F54" s="35" t="s">
        <v>221</v>
      </c>
      <c r="G54" s="64" t="s">
        <v>142</v>
      </c>
      <c r="H54" s="1024" t="s">
        <v>200</v>
      </c>
      <c r="I54" s="64" t="s">
        <v>183</v>
      </c>
      <c r="J54" s="1024" t="s">
        <v>200</v>
      </c>
      <c r="K54" s="40" t="s">
        <v>162</v>
      </c>
      <c r="L54" s="210" t="s">
        <v>264</v>
      </c>
      <c r="M54" s="1047" t="str">
        <f t="shared" si="1"/>
        <v>VC</v>
      </c>
      <c r="N54" s="223"/>
      <c r="O54" s="1025" t="e">
        <f t="shared" si="2"/>
        <v>#REF!</v>
      </c>
      <c r="P54" s="40"/>
      <c r="Q54" s="359" t="e">
        <f>VLOOKUP(P54,#REF!,2,0)</f>
        <v>#REF!</v>
      </c>
      <c r="R54" s="1032"/>
      <c r="S54" s="378" t="s">
        <v>65</v>
      </c>
      <c r="T54" s="38" t="e">
        <f>VLOOKUP(Y54,#REF!,5,0)</f>
        <v>#REF!</v>
      </c>
      <c r="U54" s="39" t="e">
        <f>VLOOKUP(Y54,#REF!,6,0)</f>
        <v>#REF!</v>
      </c>
      <c r="V54" s="1059" t="s">
        <v>248</v>
      </c>
      <c r="W54" s="358" t="str">
        <f t="shared" si="3"/>
        <v>Giảng viên (hạng III)</v>
      </c>
      <c r="X54" s="361" t="e">
        <f t="shared" si="4"/>
        <v>#REF!</v>
      </c>
      <c r="Y54" s="380" t="s">
        <v>254</v>
      </c>
      <c r="Z54" s="380" t="e">
        <f>VLOOKUP(Y54,#REF!,2,0)</f>
        <v>#REF!</v>
      </c>
      <c r="AA54" s="52" t="e">
        <f t="shared" si="5"/>
        <v>#REF!</v>
      </c>
      <c r="AB54" s="45">
        <v>4</v>
      </c>
      <c r="AC54" s="700" t="e">
        <f>IF(AD54&gt;0,"/")</f>
        <v>#REF!</v>
      </c>
      <c r="AD54" s="43" t="e">
        <f>IF(OR(BE54=0.18,BE54=0.2),12,IF(BE54=0.31,10,IF(BE54=0.33,9,IF(BE54=0.34,8,IF(BE54=0.36,6)))))</f>
        <v>#REF!</v>
      </c>
      <c r="AE54" s="44" t="e">
        <f>BD54+(AB54-1)*BE54</f>
        <v>#REF!</v>
      </c>
      <c r="AF54" s="435"/>
      <c r="AG54" s="100"/>
      <c r="AH54" s="673"/>
      <c r="AI54" s="694" t="s">
        <v>200</v>
      </c>
      <c r="AJ54" s="100"/>
      <c r="AK54" s="694" t="s">
        <v>200</v>
      </c>
      <c r="AL54" s="674"/>
      <c r="AM54" s="178"/>
      <c r="AN54" s="53"/>
      <c r="AO54" s="353">
        <f>AB54+1</f>
        <v>5</v>
      </c>
      <c r="AP54" s="275" t="e">
        <f t="shared" si="6"/>
        <v>#REF!</v>
      </c>
      <c r="AQ54" s="84" t="e">
        <f t="shared" si="7"/>
        <v>#REF!</v>
      </c>
      <c r="AR54" s="47" t="e">
        <f t="shared" si="8"/>
        <v>#REF!</v>
      </c>
      <c r="AS54" s="438"/>
      <c r="AT54" s="48" t="s">
        <v>183</v>
      </c>
      <c r="AU54" s="669" t="s">
        <v>200</v>
      </c>
      <c r="AV54" s="49" t="s">
        <v>210</v>
      </c>
      <c r="AW54" s="669" t="s">
        <v>200</v>
      </c>
      <c r="AX54" s="50">
        <v>2016</v>
      </c>
      <c r="AY54" s="87"/>
      <c r="AZ54" s="300"/>
      <c r="BA54" s="517"/>
      <c r="BB54" s="51" t="e">
        <f t="shared" si="9"/>
        <v>#REF!</v>
      </c>
      <c r="BC54" s="356">
        <f t="shared" si="10"/>
        <v>-24202</v>
      </c>
      <c r="BD54" s="310" t="e">
        <f>VLOOKUP(Y54,#REF!,3,0)</f>
        <v>#REF!</v>
      </c>
      <c r="BE54" s="310" t="e">
        <f>VLOOKUP(Y54,#REF!,4,0)</f>
        <v>#REF!</v>
      </c>
      <c r="BF54" s="57" t="str">
        <f t="shared" si="11"/>
        <v>PCTN</v>
      </c>
      <c r="BG54" s="58">
        <v>14</v>
      </c>
      <c r="BH54" s="450" t="s">
        <v>178</v>
      </c>
      <c r="BI54" s="60" t="s">
        <v>183</v>
      </c>
      <c r="BJ54" s="677" t="s">
        <v>200</v>
      </c>
      <c r="BK54" s="448">
        <v>6</v>
      </c>
      <c r="BL54" s="677" t="s">
        <v>200</v>
      </c>
      <c r="BM54" s="1077">
        <v>2018</v>
      </c>
      <c r="BN54" s="178"/>
      <c r="BO54" s="62"/>
      <c r="BP54" s="59">
        <f t="shared" si="12"/>
        <v>15</v>
      </c>
      <c r="BQ54" s="454" t="s">
        <v>178</v>
      </c>
      <c r="BR54" s="60" t="s">
        <v>183</v>
      </c>
      <c r="BS54" s="669" t="s">
        <v>200</v>
      </c>
      <c r="BT54" s="445">
        <v>6</v>
      </c>
      <c r="BU54" s="669" t="s">
        <v>200</v>
      </c>
      <c r="BV54" s="316">
        <v>2019</v>
      </c>
      <c r="BW54" s="61"/>
      <c r="BX54" s="177">
        <v>6</v>
      </c>
      <c r="BY54" s="357">
        <f t="shared" si="13"/>
        <v>-24234</v>
      </c>
      <c r="BZ54" s="57" t="str">
        <f t="shared" si="14"/>
        <v>- - -</v>
      </c>
      <c r="CA54" s="379" t="str">
        <f t="shared" si="15"/>
        <v>Chánh Văn phòng Học viện, Trưởng Ban Tổ chức - Cán bộ, Trưởng Bộ môn Ngoại ngữ</v>
      </c>
      <c r="CB54" s="63" t="str">
        <f t="shared" si="16"/>
        <v>A</v>
      </c>
      <c r="CC54" s="41" t="e">
        <f t="shared" si="17"/>
        <v>#REF!</v>
      </c>
      <c r="CD54" s="52" t="e">
        <f t="shared" si="18"/>
        <v>#REF!</v>
      </c>
      <c r="CE54" s="35" t="str">
        <f t="shared" si="19"/>
        <v>---</v>
      </c>
      <c r="CF54" s="35"/>
      <c r="CG54" s="367"/>
      <c r="CH54" s="35"/>
      <c r="CI54" s="102"/>
      <c r="CJ54" s="35" t="e">
        <f t="shared" si="20"/>
        <v>#REF!</v>
      </c>
      <c r="CK54" s="55" t="str">
        <f t="shared" si="21"/>
        <v>- - -</v>
      </c>
      <c r="CL54" s="65"/>
      <c r="CM54" s="66"/>
      <c r="CN54" s="65"/>
      <c r="CO54" s="80"/>
      <c r="CP54" s="55" t="str">
        <f t="shared" si="22"/>
        <v>- - -</v>
      </c>
      <c r="CQ54" s="65"/>
      <c r="CR54" s="66"/>
      <c r="CS54" s="65"/>
      <c r="CT54" s="80"/>
      <c r="CU54" s="69" t="e">
        <f t="shared" si="23"/>
        <v>#REF!</v>
      </c>
      <c r="CV54" s="70" t="str">
        <f t="shared" si="24"/>
        <v>/-/ /-/</v>
      </c>
      <c r="CW54" s="67">
        <f t="shared" si="25"/>
        <v>2</v>
      </c>
      <c r="CX54" s="68">
        <f t="shared" si="26"/>
        <v>2032</v>
      </c>
      <c r="CY54" s="67">
        <f t="shared" si="27"/>
        <v>11</v>
      </c>
      <c r="CZ54" s="68">
        <f t="shared" si="28"/>
        <v>2031</v>
      </c>
      <c r="DA54" s="67">
        <f t="shared" si="29"/>
        <v>8</v>
      </c>
      <c r="DB54" s="68">
        <f t="shared" si="30"/>
        <v>2031</v>
      </c>
      <c r="DC54" s="71" t="e">
        <f t="shared" si="31"/>
        <v>#REF!</v>
      </c>
      <c r="DD54" s="72" t="str">
        <f t="shared" si="32"/>
        <v>. .</v>
      </c>
      <c r="DE54" s="72"/>
      <c r="DF54" s="52">
        <f t="shared" si="33"/>
        <v>660</v>
      </c>
      <c r="DG54" s="52">
        <f t="shared" si="34"/>
        <v>-23713</v>
      </c>
      <c r="DH54" s="52">
        <f t="shared" si="35"/>
        <v>-1977</v>
      </c>
      <c r="DI54" s="52" t="str">
        <f t="shared" si="36"/>
        <v>Nữ dưới 30</v>
      </c>
      <c r="DJ54" s="52"/>
      <c r="DK54" s="52"/>
      <c r="DL54" s="57" t="str">
        <f t="shared" si="37"/>
        <v>Đến 30</v>
      </c>
      <c r="DM54" s="65" t="str">
        <f t="shared" si="38"/>
        <v>--</v>
      </c>
      <c r="DN54" s="36"/>
      <c r="DO54" s="35"/>
      <c r="DP54" s="73"/>
      <c r="DQ54" s="36"/>
      <c r="DR54" s="80"/>
      <c r="DS54" s="81"/>
      <c r="DT54" s="82"/>
      <c r="DU54" s="75"/>
      <c r="DV54" s="87"/>
      <c r="DW54" s="37"/>
      <c r="DX54" s="378" t="s">
        <v>65</v>
      </c>
      <c r="DY54" s="37"/>
      <c r="DZ54" s="48" t="s">
        <v>183</v>
      </c>
      <c r="EA54" s="49" t="s">
        <v>200</v>
      </c>
      <c r="EB54" s="49" t="s">
        <v>210</v>
      </c>
      <c r="EC54" s="49" t="s">
        <v>200</v>
      </c>
      <c r="ED54" s="76">
        <v>2013</v>
      </c>
      <c r="EE54" s="49">
        <f t="shared" si="39"/>
        <v>0</v>
      </c>
      <c r="EF54" s="77" t="str">
        <f t="shared" si="40"/>
        <v>- - -</v>
      </c>
      <c r="EG54" s="48" t="s">
        <v>183</v>
      </c>
      <c r="EH54" s="49" t="s">
        <v>200</v>
      </c>
      <c r="EI54" s="49" t="s">
        <v>210</v>
      </c>
      <c r="EJ54" s="49" t="s">
        <v>200</v>
      </c>
      <c r="EK54" s="76">
        <v>2013</v>
      </c>
      <c r="EL54" s="35"/>
      <c r="EM54" s="55" t="e">
        <f t="shared" si="41"/>
        <v>#REF!</v>
      </c>
      <c r="EN54" s="78" t="str">
        <f t="shared" si="42"/>
        <v>---</v>
      </c>
      <c r="EO54" s="87"/>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255"/>
      <c r="FO54" s="255"/>
      <c r="FP54" s="255"/>
      <c r="FQ54" s="255"/>
      <c r="FR54" s="255"/>
    </row>
    <row r="55" spans="1:175" s="268" customFormat="1" ht="11.25" customHeight="1" x14ac:dyDescent="0.2">
      <c r="A55" s="98">
        <v>126</v>
      </c>
      <c r="B55" s="937">
        <v>3</v>
      </c>
      <c r="C55" s="35"/>
      <c r="D55" s="35" t="str">
        <f t="shared" si="0"/>
        <v>Ông</v>
      </c>
      <c r="E55" s="40" t="s">
        <v>11</v>
      </c>
      <c r="F55" s="35" t="s">
        <v>219</v>
      </c>
      <c r="G55" s="64" t="s">
        <v>184</v>
      </c>
      <c r="H55" s="1024" t="s">
        <v>200</v>
      </c>
      <c r="I55" s="64" t="s">
        <v>187</v>
      </c>
      <c r="J55" s="1024" t="s">
        <v>200</v>
      </c>
      <c r="K55" s="40" t="s">
        <v>7</v>
      </c>
      <c r="L55" s="210" t="s">
        <v>264</v>
      </c>
      <c r="M55" s="1047" t="str">
        <f t="shared" si="1"/>
        <v>VC</v>
      </c>
      <c r="N55" s="223"/>
      <c r="O55" s="1025" t="e">
        <f t="shared" si="2"/>
        <v>#REF!</v>
      </c>
      <c r="P55" s="1027" t="s">
        <v>115</v>
      </c>
      <c r="Q55" s="359" t="e">
        <f>VLOOKUP(P55,#REF!,2,0)</f>
        <v>#REF!</v>
      </c>
      <c r="R55" s="1032"/>
      <c r="S55" s="378" t="s">
        <v>324</v>
      </c>
      <c r="T55" s="38" t="e">
        <f>VLOOKUP(Y55,#REF!,5,0)</f>
        <v>#REF!</v>
      </c>
      <c r="U55" s="39" t="e">
        <f>VLOOKUP(Y55,#REF!,6,0)</f>
        <v>#REF!</v>
      </c>
      <c r="V55" s="1059" t="s">
        <v>248</v>
      </c>
      <c r="W55" s="358" t="str">
        <f t="shared" si="3"/>
        <v>Giảng viên cao cấp (hạng I)</v>
      </c>
      <c r="X55" s="361" t="e">
        <f t="shared" si="4"/>
        <v>#REF!</v>
      </c>
      <c r="Y55" s="380" t="s">
        <v>253</v>
      </c>
      <c r="Z55" s="380" t="e">
        <f>VLOOKUP(Y55,#REF!,2,0)</f>
        <v>#REF!</v>
      </c>
      <c r="AA55" s="52" t="e">
        <f t="shared" si="5"/>
        <v>#REF!</v>
      </c>
      <c r="AB55" s="108">
        <v>6</v>
      </c>
      <c r="AC55" s="700" t="e">
        <f>IF(AD55&gt;0,"/")</f>
        <v>#REF!</v>
      </c>
      <c r="AD55" s="43" t="e">
        <f>IF(OR(BE55=0.18,BE55=0.2),12,IF(BE55=0.31,10,IF(BE55=0.33,9,IF(BE55=0.34,8,IF(BE55=0.36,6)))))</f>
        <v>#REF!</v>
      </c>
      <c r="AE55" s="44" t="e">
        <f>BD55+(AB55-1)*BE55</f>
        <v>#REF!</v>
      </c>
      <c r="AF55" s="435"/>
      <c r="AG55" s="435"/>
      <c r="AH55" s="48" t="s">
        <v>183</v>
      </c>
      <c r="AI55" s="669" t="s">
        <v>200</v>
      </c>
      <c r="AJ55" s="49" t="s">
        <v>210</v>
      </c>
      <c r="AK55" s="669" t="s">
        <v>200</v>
      </c>
      <c r="AL55" s="50">
        <v>2015</v>
      </c>
      <c r="AM55" s="178"/>
      <c r="AN55" s="53"/>
      <c r="AO55" s="353">
        <v>4</v>
      </c>
      <c r="AP55" s="275" t="e">
        <f t="shared" si="6"/>
        <v>#REF!</v>
      </c>
      <c r="AQ55" s="84" t="e">
        <f t="shared" si="7"/>
        <v>#REF!</v>
      </c>
      <c r="AR55" s="47" t="e">
        <f t="shared" si="8"/>
        <v>#REF!</v>
      </c>
      <c r="AS55" s="438"/>
      <c r="AT55" s="48" t="s">
        <v>183</v>
      </c>
      <c r="AU55" s="669" t="s">
        <v>200</v>
      </c>
      <c r="AV55" s="49" t="s">
        <v>210</v>
      </c>
      <c r="AW55" s="669" t="s">
        <v>200</v>
      </c>
      <c r="AX55" s="50">
        <v>2018</v>
      </c>
      <c r="AY55" s="87"/>
      <c r="AZ55" s="300"/>
      <c r="BA55" s="517">
        <v>10</v>
      </c>
      <c r="BB55" s="51" t="e">
        <f t="shared" si="9"/>
        <v>#REF!</v>
      </c>
      <c r="BC55" s="356">
        <f t="shared" si="10"/>
        <v>-24226</v>
      </c>
      <c r="BD55" s="310" t="e">
        <f>VLOOKUP(Y55,#REF!,3,0)</f>
        <v>#REF!</v>
      </c>
      <c r="BE55" s="310" t="e">
        <f>VLOOKUP(Y55,#REF!,4,0)</f>
        <v>#REF!</v>
      </c>
      <c r="BF55" s="57" t="str">
        <f t="shared" si="11"/>
        <v>PCTN</v>
      </c>
      <c r="BG55" s="58">
        <v>32</v>
      </c>
      <c r="BH55" s="450" t="s">
        <v>178</v>
      </c>
      <c r="BI55" s="60" t="s">
        <v>183</v>
      </c>
      <c r="BJ55" s="677" t="s">
        <v>200</v>
      </c>
      <c r="BK55" s="448" t="s">
        <v>186</v>
      </c>
      <c r="BL55" s="677" t="s">
        <v>200</v>
      </c>
      <c r="BM55" s="1077">
        <v>2018</v>
      </c>
      <c r="BN55" s="178"/>
      <c r="BO55" s="62"/>
      <c r="BP55" s="59">
        <f t="shared" si="12"/>
        <v>33</v>
      </c>
      <c r="BQ55" s="454" t="s">
        <v>178</v>
      </c>
      <c r="BR55" s="60" t="s">
        <v>183</v>
      </c>
      <c r="BS55" s="669" t="s">
        <v>200</v>
      </c>
      <c r="BT55" s="445" t="s">
        <v>186</v>
      </c>
      <c r="BU55" s="669" t="s">
        <v>200</v>
      </c>
      <c r="BV55" s="316">
        <v>2019</v>
      </c>
      <c r="BW55" s="61"/>
      <c r="BX55" s="177">
        <v>6</v>
      </c>
      <c r="BY55" s="357">
        <f t="shared" si="13"/>
        <v>-24234</v>
      </c>
      <c r="BZ55" s="57" t="str">
        <f t="shared" si="14"/>
        <v>- - -</v>
      </c>
      <c r="CA55" s="379" t="str">
        <f t="shared" si="15"/>
        <v>Chánh Văn phòng Học viện, Trưởng Ban Tổ chức - Cán bộ, Trưởng Khoa Khoa học hành chính và Tổ chức nhân sự</v>
      </c>
      <c r="CB55" s="63" t="str">
        <f t="shared" si="16"/>
        <v>A</v>
      </c>
      <c r="CC55" s="41" t="e">
        <f t="shared" si="17"/>
        <v>#REF!</v>
      </c>
      <c r="CD55" s="52" t="e">
        <f t="shared" si="18"/>
        <v>#REF!</v>
      </c>
      <c r="CE55" s="35" t="str">
        <f t="shared" si="19"/>
        <v>S</v>
      </c>
      <c r="CF55" s="35">
        <v>2012</v>
      </c>
      <c r="CG55" s="367" t="s">
        <v>251</v>
      </c>
      <c r="CH55" s="35">
        <v>2007</v>
      </c>
      <c r="CI55" s="102"/>
      <c r="CJ55" s="35" t="e">
        <f t="shared" si="20"/>
        <v>#REF!</v>
      </c>
      <c r="CK55" s="55" t="str">
        <f t="shared" si="21"/>
        <v>NN</v>
      </c>
      <c r="CL55" s="65">
        <v>1</v>
      </c>
      <c r="CM55" s="66">
        <v>2009</v>
      </c>
      <c r="CN55" s="65"/>
      <c r="CO55" s="80"/>
      <c r="CP55" s="55" t="str">
        <f t="shared" si="22"/>
        <v>- - -</v>
      </c>
      <c r="CQ55" s="65"/>
      <c r="CR55" s="66"/>
      <c r="CS55" s="65"/>
      <c r="CT55" s="80"/>
      <c r="CU55" s="69" t="e">
        <f t="shared" si="23"/>
        <v>#REF!</v>
      </c>
      <c r="CV55" s="70" t="str">
        <f t="shared" si="24"/>
        <v>/-/ /-/</v>
      </c>
      <c r="CW55" s="67">
        <f t="shared" si="25"/>
        <v>9</v>
      </c>
      <c r="CX55" s="68">
        <f t="shared" si="26"/>
        <v>2023</v>
      </c>
      <c r="CY55" s="67">
        <f t="shared" si="27"/>
        <v>6</v>
      </c>
      <c r="CZ55" s="68">
        <f t="shared" si="28"/>
        <v>2023</v>
      </c>
      <c r="DA55" s="67">
        <f t="shared" si="29"/>
        <v>3</v>
      </c>
      <c r="DB55" s="68">
        <f t="shared" si="30"/>
        <v>2023</v>
      </c>
      <c r="DC55" s="71" t="e">
        <f t="shared" si="31"/>
        <v>#REF!</v>
      </c>
      <c r="DD55" s="72" t="str">
        <f t="shared" si="32"/>
        <v>K.Dài</v>
      </c>
      <c r="DE55" s="72">
        <v>7</v>
      </c>
      <c r="DF55" s="52">
        <f t="shared" si="33"/>
        <v>804</v>
      </c>
      <c r="DG55" s="52">
        <f t="shared" si="34"/>
        <v>-23468</v>
      </c>
      <c r="DH55" s="52">
        <f t="shared" si="35"/>
        <v>-1956</v>
      </c>
      <c r="DI55" s="52" t="str">
        <f t="shared" si="36"/>
        <v>Nam dưới 35</v>
      </c>
      <c r="DJ55" s="52"/>
      <c r="DK55" s="52"/>
      <c r="DL55" s="57" t="str">
        <f t="shared" si="37"/>
        <v>Đến 30</v>
      </c>
      <c r="DM55" s="65" t="str">
        <f t="shared" si="38"/>
        <v>--</v>
      </c>
      <c r="DN55" s="36"/>
      <c r="DO55" s="35"/>
      <c r="DP55" s="73"/>
      <c r="DQ55" s="36"/>
      <c r="DR55" s="80" t="s">
        <v>161</v>
      </c>
      <c r="DS55" s="81"/>
      <c r="DT55" s="82"/>
      <c r="DU55" s="75"/>
      <c r="DV55" s="87"/>
      <c r="DW55" s="37"/>
      <c r="DX55" s="378" t="s">
        <v>66</v>
      </c>
      <c r="DY55" s="37"/>
      <c r="DZ55" s="48" t="s">
        <v>183</v>
      </c>
      <c r="EA55" s="49" t="s">
        <v>200</v>
      </c>
      <c r="EB55" s="49" t="s">
        <v>210</v>
      </c>
      <c r="EC55" s="49" t="s">
        <v>200</v>
      </c>
      <c r="ED55" s="76">
        <v>2012</v>
      </c>
      <c r="EE55" s="49">
        <f t="shared" si="39"/>
        <v>0</v>
      </c>
      <c r="EF55" s="77" t="str">
        <f t="shared" si="40"/>
        <v>- - -</v>
      </c>
      <c r="EG55" s="48" t="s">
        <v>183</v>
      </c>
      <c r="EH55" s="49" t="s">
        <v>200</v>
      </c>
      <c r="EI55" s="49" t="s">
        <v>210</v>
      </c>
      <c r="EJ55" s="49" t="s">
        <v>200</v>
      </c>
      <c r="EK55" s="76">
        <v>2012</v>
      </c>
      <c r="EL55" s="35">
        <v>6.78</v>
      </c>
      <c r="EM55" s="55" t="e">
        <f t="shared" si="41"/>
        <v>#REF!</v>
      </c>
      <c r="EN55" s="78" t="str">
        <f t="shared" si="42"/>
        <v>---</v>
      </c>
      <c r="EO55" s="87"/>
      <c r="EP55" s="79"/>
      <c r="EQ55" s="79"/>
      <c r="ER55" s="79"/>
      <c r="ES55" s="79"/>
      <c r="ET55" s="79"/>
      <c r="EU55" s="79"/>
      <c r="EV55" s="79"/>
      <c r="EW55" s="79"/>
      <c r="EX55" s="79"/>
      <c r="EY55" s="79"/>
      <c r="EZ55" s="79"/>
      <c r="FA55" s="79"/>
      <c r="FB55" s="79"/>
      <c r="FC55" s="79"/>
      <c r="FD55" s="79"/>
      <c r="FE55" s="79"/>
      <c r="FF55" s="79"/>
      <c r="FG55" s="79"/>
      <c r="FH55" s="79"/>
      <c r="FI55" s="79"/>
      <c r="FJ55" s="79"/>
      <c r="FK55" s="79"/>
      <c r="FL55" s="79"/>
      <c r="FM55" s="79"/>
      <c r="FN55" s="79"/>
      <c r="FO55" s="79"/>
      <c r="FP55" s="79"/>
      <c r="FQ55" s="79"/>
      <c r="FR55" s="79"/>
    </row>
    <row r="56" spans="1:175" s="104" customFormat="1" ht="11.25" customHeight="1" x14ac:dyDescent="0.2">
      <c r="A56" s="98">
        <v>156</v>
      </c>
      <c r="B56" s="359">
        <v>4</v>
      </c>
      <c r="C56" s="35"/>
      <c r="D56" s="35" t="str">
        <f t="shared" si="0"/>
        <v>Bà</v>
      </c>
      <c r="E56" s="40" t="s">
        <v>128</v>
      </c>
      <c r="F56" s="35" t="s">
        <v>221</v>
      </c>
      <c r="G56" s="64" t="s">
        <v>233</v>
      </c>
      <c r="H56" s="1024" t="s">
        <v>200</v>
      </c>
      <c r="I56" s="64">
        <v>6</v>
      </c>
      <c r="J56" s="1024" t="s">
        <v>200</v>
      </c>
      <c r="K56" s="40">
        <v>1978</v>
      </c>
      <c r="L56" s="210" t="s">
        <v>264</v>
      </c>
      <c r="M56" s="1047" t="str">
        <f t="shared" si="1"/>
        <v>VC</v>
      </c>
      <c r="N56" s="223"/>
      <c r="O56" s="1025" t="e">
        <f t="shared" si="2"/>
        <v>#REF!</v>
      </c>
      <c r="P56" s="40"/>
      <c r="Q56" s="359" t="e">
        <f>VLOOKUP(P56,#REF!,2,0)</f>
        <v>#REF!</v>
      </c>
      <c r="R56" s="1032" t="s">
        <v>206</v>
      </c>
      <c r="S56" s="378" t="s">
        <v>324</v>
      </c>
      <c r="T56" s="38" t="e">
        <f>VLOOKUP(Y56,#REF!,5,0)</f>
        <v>#REF!</v>
      </c>
      <c r="U56" s="39" t="e">
        <f>VLOOKUP(Y56,#REF!,6,0)</f>
        <v>#REF!</v>
      </c>
      <c r="V56" s="1059" t="s">
        <v>248</v>
      </c>
      <c r="W56" s="358" t="str">
        <f t="shared" si="3"/>
        <v>Giảng viên (hạng III)</v>
      </c>
      <c r="X56" s="361" t="e">
        <f t="shared" si="4"/>
        <v>#REF!</v>
      </c>
      <c r="Y56" s="380" t="s">
        <v>254</v>
      </c>
      <c r="Z56" s="380" t="e">
        <f>VLOOKUP(Y56,#REF!,2,0)</f>
        <v>#REF!</v>
      </c>
      <c r="AA56" s="52" t="e">
        <f t="shared" si="5"/>
        <v>#REF!</v>
      </c>
      <c r="AB56" s="108">
        <v>4</v>
      </c>
      <c r="AC56" s="700" t="e">
        <f>IF(AD56&gt;0,"/")</f>
        <v>#REF!</v>
      </c>
      <c r="AD56" s="43" t="e">
        <f>IF(OR(BE56=0.18,BE56=0.2),12,IF(BE56=0.31,10,IF(BE56=0.33,9,IF(BE56=0.34,8,IF(BE56=0.36,6)))))</f>
        <v>#REF!</v>
      </c>
      <c r="AE56" s="44" t="e">
        <f>BD56+(AB56-1)*BE56</f>
        <v>#REF!</v>
      </c>
      <c r="AF56" s="435"/>
      <c r="AG56" s="100"/>
      <c r="AH56" s="673"/>
      <c r="AI56" s="694" t="s">
        <v>200</v>
      </c>
      <c r="AJ56" s="100"/>
      <c r="AK56" s="694" t="s">
        <v>200</v>
      </c>
      <c r="AL56" s="695"/>
      <c r="AM56" s="178"/>
      <c r="AN56" s="53"/>
      <c r="AO56" s="353">
        <f t="shared" ref="AO56:AO61" si="43">AB56+1</f>
        <v>5</v>
      </c>
      <c r="AP56" s="275" t="e">
        <f t="shared" si="6"/>
        <v>#REF!</v>
      </c>
      <c r="AQ56" s="84" t="e">
        <f t="shared" si="7"/>
        <v>#REF!</v>
      </c>
      <c r="AR56" s="47" t="e">
        <f t="shared" si="8"/>
        <v>#REF!</v>
      </c>
      <c r="AS56" s="438"/>
      <c r="AT56" s="48" t="s">
        <v>183</v>
      </c>
      <c r="AU56" s="669" t="s">
        <v>200</v>
      </c>
      <c r="AV56" s="49">
        <v>11</v>
      </c>
      <c r="AW56" s="669" t="s">
        <v>200</v>
      </c>
      <c r="AX56" s="50">
        <v>2016</v>
      </c>
      <c r="AY56" s="87"/>
      <c r="AZ56" s="300"/>
      <c r="BA56" s="517"/>
      <c r="BB56" s="51" t="e">
        <f t="shared" si="9"/>
        <v>#REF!</v>
      </c>
      <c r="BC56" s="356">
        <f t="shared" si="10"/>
        <v>-24203</v>
      </c>
      <c r="BD56" s="310" t="e">
        <f>VLOOKUP(Y56,#REF!,3,0)</f>
        <v>#REF!</v>
      </c>
      <c r="BE56" s="310" t="e">
        <f>VLOOKUP(Y56,#REF!,4,0)</f>
        <v>#REF!</v>
      </c>
      <c r="BF56" s="57" t="str">
        <f t="shared" si="11"/>
        <v>PCTN</v>
      </c>
      <c r="BG56" s="58">
        <v>12</v>
      </c>
      <c r="BH56" s="450" t="s">
        <v>178</v>
      </c>
      <c r="BI56" s="60" t="s">
        <v>183</v>
      </c>
      <c r="BJ56" s="677" t="s">
        <v>200</v>
      </c>
      <c r="BK56" s="448">
        <v>6</v>
      </c>
      <c r="BL56" s="677" t="s">
        <v>200</v>
      </c>
      <c r="BM56" s="1077">
        <v>2018</v>
      </c>
      <c r="BN56" s="178"/>
      <c r="BO56" s="62"/>
      <c r="BP56" s="59">
        <f t="shared" si="12"/>
        <v>13</v>
      </c>
      <c r="BQ56" s="454" t="s">
        <v>178</v>
      </c>
      <c r="BR56" s="60" t="s">
        <v>183</v>
      </c>
      <c r="BS56" s="669" t="s">
        <v>200</v>
      </c>
      <c r="BT56" s="445">
        <v>6</v>
      </c>
      <c r="BU56" s="669" t="s">
        <v>200</v>
      </c>
      <c r="BV56" s="316">
        <v>2019</v>
      </c>
      <c r="BW56" s="61"/>
      <c r="BX56" s="177">
        <v>6</v>
      </c>
      <c r="BY56" s="357">
        <f t="shared" si="13"/>
        <v>-24234</v>
      </c>
      <c r="BZ56" s="57" t="str">
        <f t="shared" si="14"/>
        <v>- - -</v>
      </c>
      <c r="CA56" s="379" t="str">
        <f t="shared" si="15"/>
        <v>Chánh Văn phòng Học viện, Trưởng Ban Tổ chức - Cán bộ, Trưởng Khoa Khoa học hành chính và Tổ chức nhân sự</v>
      </c>
      <c r="CB56" s="63" t="str">
        <f t="shared" si="16"/>
        <v>A</v>
      </c>
      <c r="CC56" s="41" t="e">
        <f t="shared" si="17"/>
        <v>#REF!</v>
      </c>
      <c r="CD56" s="52" t="e">
        <f t="shared" si="18"/>
        <v>#REF!</v>
      </c>
      <c r="CE56" s="35" t="str">
        <f t="shared" si="19"/>
        <v>S</v>
      </c>
      <c r="CF56" s="35">
        <v>2013</v>
      </c>
      <c r="CG56" s="367" t="s">
        <v>250</v>
      </c>
      <c r="CH56" s="35"/>
      <c r="CI56" s="102"/>
      <c r="CJ56" s="35" t="e">
        <f t="shared" si="20"/>
        <v>#REF!</v>
      </c>
      <c r="CK56" s="55" t="str">
        <f t="shared" si="21"/>
        <v>- - -</v>
      </c>
      <c r="CL56" s="65"/>
      <c r="CM56" s="66"/>
      <c r="CN56" s="65"/>
      <c r="CO56" s="80"/>
      <c r="CP56" s="55" t="str">
        <f t="shared" si="22"/>
        <v>- - -</v>
      </c>
      <c r="CQ56" s="65"/>
      <c r="CR56" s="66"/>
      <c r="CS56" s="65"/>
      <c r="CT56" s="80"/>
      <c r="CU56" s="69" t="e">
        <f t="shared" si="23"/>
        <v>#REF!</v>
      </c>
      <c r="CV56" s="70" t="str">
        <f t="shared" si="24"/>
        <v>/-/ /-/</v>
      </c>
      <c r="CW56" s="67">
        <f t="shared" si="25"/>
        <v>7</v>
      </c>
      <c r="CX56" s="68">
        <f t="shared" si="26"/>
        <v>2033</v>
      </c>
      <c r="CY56" s="67">
        <f t="shared" si="27"/>
        <v>4</v>
      </c>
      <c r="CZ56" s="68">
        <f t="shared" si="28"/>
        <v>2033</v>
      </c>
      <c r="DA56" s="67">
        <f t="shared" si="29"/>
        <v>1</v>
      </c>
      <c r="DB56" s="68">
        <f t="shared" si="30"/>
        <v>2033</v>
      </c>
      <c r="DC56" s="71" t="e">
        <f t="shared" si="31"/>
        <v>#REF!</v>
      </c>
      <c r="DD56" s="72" t="str">
        <f t="shared" si="32"/>
        <v>. .</v>
      </c>
      <c r="DE56" s="72"/>
      <c r="DF56" s="52">
        <f t="shared" si="33"/>
        <v>660</v>
      </c>
      <c r="DG56" s="52">
        <f t="shared" si="34"/>
        <v>-23730</v>
      </c>
      <c r="DH56" s="52">
        <f t="shared" si="35"/>
        <v>-1978</v>
      </c>
      <c r="DI56" s="52" t="str">
        <f t="shared" si="36"/>
        <v>Nữ dưới 30</v>
      </c>
      <c r="DJ56" s="52"/>
      <c r="DK56" s="52"/>
      <c r="DL56" s="57" t="str">
        <f t="shared" si="37"/>
        <v>Đến 30</v>
      </c>
      <c r="DM56" s="65" t="str">
        <f t="shared" si="38"/>
        <v>TD</v>
      </c>
      <c r="DN56" s="36">
        <v>2008</v>
      </c>
      <c r="DO56" s="35"/>
      <c r="DP56" s="73"/>
      <c r="DQ56" s="36"/>
      <c r="DR56" s="80"/>
      <c r="DS56" s="81"/>
      <c r="DT56" s="82"/>
      <c r="DU56" s="75" t="s">
        <v>238</v>
      </c>
      <c r="DV56" s="87" t="s">
        <v>51</v>
      </c>
      <c r="DW56" s="37" t="s">
        <v>206</v>
      </c>
      <c r="DX56" s="378" t="s">
        <v>66</v>
      </c>
      <c r="DY56" s="37" t="s">
        <v>206</v>
      </c>
      <c r="DZ56" s="48" t="s">
        <v>183</v>
      </c>
      <c r="EA56" s="49" t="s">
        <v>200</v>
      </c>
      <c r="EB56" s="49">
        <v>11</v>
      </c>
      <c r="EC56" s="49" t="s">
        <v>200</v>
      </c>
      <c r="ED56" s="76">
        <v>2013</v>
      </c>
      <c r="EE56" s="49">
        <f t="shared" si="39"/>
        <v>0</v>
      </c>
      <c r="EF56" s="77" t="str">
        <f t="shared" si="40"/>
        <v>- - -</v>
      </c>
      <c r="EG56" s="48" t="s">
        <v>183</v>
      </c>
      <c r="EH56" s="49" t="s">
        <v>200</v>
      </c>
      <c r="EI56" s="49">
        <v>11</v>
      </c>
      <c r="EJ56" s="49" t="s">
        <v>200</v>
      </c>
      <c r="EK56" s="76">
        <v>2013</v>
      </c>
      <c r="EL56" s="35"/>
      <c r="EM56" s="55" t="e">
        <f t="shared" si="41"/>
        <v>#REF!</v>
      </c>
      <c r="EN56" s="78" t="str">
        <f t="shared" si="42"/>
        <v>---</v>
      </c>
      <c r="EO56" s="87"/>
      <c r="EP56" s="79"/>
      <c r="EQ56" s="79"/>
      <c r="ER56" s="79"/>
      <c r="ES56" s="79"/>
      <c r="ET56" s="79"/>
      <c r="EU56" s="79"/>
      <c r="EV56" s="79"/>
      <c r="EW56" s="79"/>
      <c r="EX56" s="79"/>
      <c r="EY56" s="79"/>
      <c r="EZ56" s="79"/>
      <c r="FA56" s="79"/>
      <c r="FB56" s="79"/>
      <c r="FC56" s="79"/>
      <c r="FD56" s="79"/>
      <c r="FE56" s="79"/>
      <c r="FF56" s="79"/>
      <c r="FG56" s="79"/>
      <c r="FH56" s="79"/>
      <c r="FI56" s="79"/>
      <c r="FJ56" s="79"/>
      <c r="FK56" s="79"/>
      <c r="FL56" s="79"/>
      <c r="FM56" s="79"/>
      <c r="FN56" s="79"/>
      <c r="FO56" s="79"/>
      <c r="FP56" s="79"/>
      <c r="FQ56" s="79"/>
      <c r="FR56" s="79"/>
    </row>
    <row r="57" spans="1:175" s="79" customFormat="1" ht="11.25" customHeight="1" x14ac:dyDescent="0.2">
      <c r="A57" s="98">
        <v>169</v>
      </c>
      <c r="B57" s="937">
        <v>5</v>
      </c>
      <c r="C57" s="35"/>
      <c r="D57" s="35" t="str">
        <f t="shared" si="0"/>
        <v>Bà</v>
      </c>
      <c r="E57" s="40" t="s">
        <v>26</v>
      </c>
      <c r="F57" s="35" t="s">
        <v>221</v>
      </c>
      <c r="G57" s="64" t="s">
        <v>135</v>
      </c>
      <c r="H57" s="1024" t="s">
        <v>200</v>
      </c>
      <c r="I57" s="64" t="s">
        <v>211</v>
      </c>
      <c r="J57" s="1024" t="s">
        <v>200</v>
      </c>
      <c r="K57" s="40">
        <v>1970</v>
      </c>
      <c r="L57" s="210" t="s">
        <v>264</v>
      </c>
      <c r="M57" s="1047" t="str">
        <f t="shared" si="1"/>
        <v>VC</v>
      </c>
      <c r="N57" s="223"/>
      <c r="O57" s="1025" t="e">
        <f t="shared" si="2"/>
        <v>#REF!</v>
      </c>
      <c r="P57" s="40" t="s">
        <v>116</v>
      </c>
      <c r="Q57" s="359" t="e">
        <f>VLOOKUP(P57,#REF!,2,0)</f>
        <v>#REF!</v>
      </c>
      <c r="R57" s="1032"/>
      <c r="S57" s="378" t="s">
        <v>324</v>
      </c>
      <c r="T57" s="38" t="e">
        <f>VLOOKUP(Y57,#REF!,5,0)</f>
        <v>#REF!</v>
      </c>
      <c r="U57" s="39" t="e">
        <f>VLOOKUP(Y57,#REF!,6,0)</f>
        <v>#REF!</v>
      </c>
      <c r="V57" s="1059" t="s">
        <v>248</v>
      </c>
      <c r="W57" s="358" t="str">
        <f t="shared" si="3"/>
        <v>Giảng viên chính (hạng II)</v>
      </c>
      <c r="X57" s="361" t="e">
        <f t="shared" si="4"/>
        <v>#REF!</v>
      </c>
      <c r="Y57" s="380" t="s">
        <v>255</v>
      </c>
      <c r="Z57" s="380" t="e">
        <f>VLOOKUP(Y57,#REF!,2,0)</f>
        <v>#REF!</v>
      </c>
      <c r="AA57" s="52" t="e">
        <f t="shared" si="5"/>
        <v>#REF!</v>
      </c>
      <c r="AB57" s="108">
        <v>3</v>
      </c>
      <c r="AC57" s="700" t="s">
        <v>200</v>
      </c>
      <c r="AD57" s="43">
        <v>8</v>
      </c>
      <c r="AE57" s="44">
        <v>5.08</v>
      </c>
      <c r="AF57" s="435"/>
      <c r="AG57" s="100"/>
      <c r="AH57" s="673" t="s">
        <v>183</v>
      </c>
      <c r="AI57" s="694" t="s">
        <v>200</v>
      </c>
      <c r="AJ57" s="100" t="s">
        <v>216</v>
      </c>
      <c r="AK57" s="694" t="s">
        <v>200</v>
      </c>
      <c r="AL57" s="695">
        <v>2016</v>
      </c>
      <c r="AM57" s="178"/>
      <c r="AN57" s="53"/>
      <c r="AO57" s="353">
        <f t="shared" si="43"/>
        <v>4</v>
      </c>
      <c r="AP57" s="275" t="str">
        <f t="shared" si="6"/>
        <v>/</v>
      </c>
      <c r="AQ57" s="84">
        <f t="shared" si="7"/>
        <v>8</v>
      </c>
      <c r="AR57" s="47" t="e">
        <f t="shared" si="8"/>
        <v>#REF!</v>
      </c>
      <c r="AS57" s="438"/>
      <c r="AT57" s="48" t="s">
        <v>183</v>
      </c>
      <c r="AU57" s="669" t="s">
        <v>200</v>
      </c>
      <c r="AV57" s="49">
        <v>4</v>
      </c>
      <c r="AW57" s="669" t="s">
        <v>200</v>
      </c>
      <c r="AX57" s="50">
        <v>2019</v>
      </c>
      <c r="AY57" s="87"/>
      <c r="AZ57" s="300"/>
      <c r="BA57" s="517"/>
      <c r="BB57" s="51" t="e">
        <f t="shared" si="9"/>
        <v>#REF!</v>
      </c>
      <c r="BC57" s="356">
        <f t="shared" si="10"/>
        <v>-24232</v>
      </c>
      <c r="BD57" s="310" t="e">
        <f>VLOOKUP(Y57,#REF!,3,0)</f>
        <v>#REF!</v>
      </c>
      <c r="BE57" s="310" t="e">
        <f>VLOOKUP(Y57,#REF!,4,0)</f>
        <v>#REF!</v>
      </c>
      <c r="BF57" s="57" t="str">
        <f t="shared" si="11"/>
        <v>PCTN</v>
      </c>
      <c r="BG57" s="58">
        <v>21</v>
      </c>
      <c r="BH57" s="450" t="s">
        <v>178</v>
      </c>
      <c r="BI57" s="60" t="s">
        <v>183</v>
      </c>
      <c r="BJ57" s="677" t="s">
        <v>200</v>
      </c>
      <c r="BK57" s="448">
        <v>6</v>
      </c>
      <c r="BL57" s="677" t="s">
        <v>200</v>
      </c>
      <c r="BM57" s="1077">
        <v>2018</v>
      </c>
      <c r="BN57" s="178"/>
      <c r="BO57" s="62"/>
      <c r="BP57" s="59">
        <f t="shared" si="12"/>
        <v>22</v>
      </c>
      <c r="BQ57" s="454" t="s">
        <v>178</v>
      </c>
      <c r="BR57" s="60" t="s">
        <v>183</v>
      </c>
      <c r="BS57" s="669" t="s">
        <v>200</v>
      </c>
      <c r="BT57" s="445">
        <v>6</v>
      </c>
      <c r="BU57" s="669" t="s">
        <v>200</v>
      </c>
      <c r="BV57" s="316">
        <v>2019</v>
      </c>
      <c r="BW57" s="61"/>
      <c r="BX57" s="177">
        <v>6</v>
      </c>
      <c r="BY57" s="357">
        <f t="shared" si="13"/>
        <v>-24234</v>
      </c>
      <c r="BZ57" s="57" t="str">
        <f t="shared" si="14"/>
        <v>- - -</v>
      </c>
      <c r="CA57" s="379" t="str">
        <f t="shared" si="15"/>
        <v>Chánh Văn phòng Học viện, Trưởng Ban Tổ chức - Cán bộ, Trưởng Khoa Khoa học hành chính và Tổ chức nhân sự</v>
      </c>
      <c r="CB57" s="63" t="str">
        <f t="shared" si="16"/>
        <v>A</v>
      </c>
      <c r="CC57" s="41" t="e">
        <f t="shared" si="17"/>
        <v>#REF!</v>
      </c>
      <c r="CD57" s="52" t="e">
        <f t="shared" si="18"/>
        <v>#REF!</v>
      </c>
      <c r="CE57" s="35" t="str">
        <f t="shared" si="19"/>
        <v>S</v>
      </c>
      <c r="CF57" s="35">
        <v>2013</v>
      </c>
      <c r="CG57" s="367" t="s">
        <v>252</v>
      </c>
      <c r="CH57" s="35"/>
      <c r="CI57" s="102"/>
      <c r="CJ57" s="35" t="e">
        <f t="shared" si="20"/>
        <v>#REF!</v>
      </c>
      <c r="CK57" s="55" t="str">
        <f t="shared" si="21"/>
        <v>NN</v>
      </c>
      <c r="CL57" s="65">
        <v>1</v>
      </c>
      <c r="CM57" s="66" t="s">
        <v>203</v>
      </c>
      <c r="CN57" s="65"/>
      <c r="CO57" s="80"/>
      <c r="CP57" s="55" t="str">
        <f t="shared" si="22"/>
        <v>- - -</v>
      </c>
      <c r="CQ57" s="65"/>
      <c r="CR57" s="66"/>
      <c r="CS57" s="65"/>
      <c r="CT57" s="80"/>
      <c r="CU57" s="69" t="e">
        <f t="shared" si="23"/>
        <v>#REF!</v>
      </c>
      <c r="CV57" s="70" t="str">
        <f t="shared" si="24"/>
        <v>/-/ /-/</v>
      </c>
      <c r="CW57" s="67">
        <f t="shared" si="25"/>
        <v>12</v>
      </c>
      <c r="CX57" s="68">
        <f t="shared" si="26"/>
        <v>2025</v>
      </c>
      <c r="CY57" s="67">
        <f t="shared" si="27"/>
        <v>9</v>
      </c>
      <c r="CZ57" s="68">
        <f t="shared" si="28"/>
        <v>2025</v>
      </c>
      <c r="DA57" s="67">
        <f t="shared" si="29"/>
        <v>6</v>
      </c>
      <c r="DB57" s="68">
        <f t="shared" si="30"/>
        <v>2025</v>
      </c>
      <c r="DC57" s="71" t="e">
        <f t="shared" si="31"/>
        <v>#REF!</v>
      </c>
      <c r="DD57" s="72" t="str">
        <f t="shared" si="32"/>
        <v>. .</v>
      </c>
      <c r="DE57" s="72"/>
      <c r="DF57" s="52">
        <f t="shared" si="33"/>
        <v>660</v>
      </c>
      <c r="DG57" s="52">
        <f t="shared" si="34"/>
        <v>-23639</v>
      </c>
      <c r="DH57" s="52">
        <f t="shared" si="35"/>
        <v>-1970</v>
      </c>
      <c r="DI57" s="52" t="str">
        <f t="shared" si="36"/>
        <v>Nữ dưới 30</v>
      </c>
      <c r="DJ57" s="52"/>
      <c r="DK57" s="52"/>
      <c r="DL57" s="57" t="str">
        <f t="shared" si="37"/>
        <v>Đến 30</v>
      </c>
      <c r="DM57" s="65" t="str">
        <f t="shared" si="38"/>
        <v>--</v>
      </c>
      <c r="DN57" s="36"/>
      <c r="DO57" s="35"/>
      <c r="DP57" s="73"/>
      <c r="DQ57" s="36"/>
      <c r="DR57" s="80"/>
      <c r="DS57" s="81"/>
      <c r="DT57" s="82"/>
      <c r="DU57" s="75"/>
      <c r="DV57" s="87"/>
      <c r="DW57" s="37" t="s">
        <v>273</v>
      </c>
      <c r="DX57" s="378" t="s">
        <v>73</v>
      </c>
      <c r="DY57" s="37" t="s">
        <v>165</v>
      </c>
      <c r="DZ57" s="48" t="s">
        <v>183</v>
      </c>
      <c r="EA57" s="49" t="s">
        <v>200</v>
      </c>
      <c r="EB57" s="49">
        <v>4</v>
      </c>
      <c r="EC57" s="49" t="s">
        <v>200</v>
      </c>
      <c r="ED57" s="76">
        <v>2013</v>
      </c>
      <c r="EE57" s="49">
        <f t="shared" si="39"/>
        <v>0</v>
      </c>
      <c r="EF57" s="77" t="str">
        <f t="shared" si="40"/>
        <v>- - -</v>
      </c>
      <c r="EG57" s="48" t="s">
        <v>183</v>
      </c>
      <c r="EH57" s="49" t="s">
        <v>200</v>
      </c>
      <c r="EI57" s="49">
        <v>4</v>
      </c>
      <c r="EJ57" s="49" t="s">
        <v>200</v>
      </c>
      <c r="EK57" s="76">
        <v>2013</v>
      </c>
      <c r="EL57" s="35">
        <v>3.66</v>
      </c>
      <c r="EM57" s="55" t="e">
        <f t="shared" si="41"/>
        <v>#REF!</v>
      </c>
      <c r="EN57" s="78" t="str">
        <f t="shared" si="42"/>
        <v>---</v>
      </c>
      <c r="EO57" s="87"/>
    </row>
    <row r="58" spans="1:175" s="79" customFormat="1" ht="11.25" customHeight="1" x14ac:dyDescent="0.2">
      <c r="A58" s="98">
        <v>226</v>
      </c>
      <c r="B58" s="359">
        <v>6</v>
      </c>
      <c r="C58" s="35"/>
      <c r="D58" s="35" t="str">
        <f t="shared" si="0"/>
        <v>Bà</v>
      </c>
      <c r="E58" s="40" t="s">
        <v>80</v>
      </c>
      <c r="F58" s="35" t="s">
        <v>221</v>
      </c>
      <c r="G58" s="64" t="s">
        <v>213</v>
      </c>
      <c r="H58" s="1024" t="s">
        <v>200</v>
      </c>
      <c r="I58" s="64" t="s">
        <v>188</v>
      </c>
      <c r="J58" s="1024" t="s">
        <v>200</v>
      </c>
      <c r="K58" s="40">
        <v>1980</v>
      </c>
      <c r="L58" s="210" t="s">
        <v>264</v>
      </c>
      <c r="M58" s="1047" t="str">
        <f t="shared" si="1"/>
        <v>VC</v>
      </c>
      <c r="N58" s="223"/>
      <c r="O58" s="1025" t="e">
        <f t="shared" si="2"/>
        <v>#REF!</v>
      </c>
      <c r="P58" s="40"/>
      <c r="Q58" s="359" t="e">
        <f>VLOOKUP(P58,#REF!,2,0)</f>
        <v>#REF!</v>
      </c>
      <c r="R58" s="1032" t="s">
        <v>226</v>
      </c>
      <c r="S58" s="378" t="s">
        <v>323</v>
      </c>
      <c r="T58" s="38" t="e">
        <f>VLOOKUP(Y58,#REF!,5,0)</f>
        <v>#REF!</v>
      </c>
      <c r="U58" s="39" t="e">
        <f>VLOOKUP(Y58,#REF!,6,0)</f>
        <v>#REF!</v>
      </c>
      <c r="V58" s="1059" t="s">
        <v>248</v>
      </c>
      <c r="W58" s="358" t="str">
        <f t="shared" si="3"/>
        <v>Giảng viên (hạng III)</v>
      </c>
      <c r="X58" s="361" t="e">
        <f t="shared" si="4"/>
        <v>#REF!</v>
      </c>
      <c r="Y58" s="380" t="s">
        <v>254</v>
      </c>
      <c r="Z58" s="380" t="e">
        <f>VLOOKUP(Y58,#REF!,2,0)</f>
        <v>#REF!</v>
      </c>
      <c r="AA58" s="52" t="e">
        <f t="shared" si="5"/>
        <v>#REF!</v>
      </c>
      <c r="AB58" s="108">
        <v>5</v>
      </c>
      <c r="AC58" s="700" t="e">
        <f>IF(AD58&gt;0,"/")</f>
        <v>#REF!</v>
      </c>
      <c r="AD58" s="43" t="e">
        <f>IF(OR(BE58=0.18,BE58=0.2),12,IF(BE58=0.31,10,IF(BE58=0.33,9,IF(BE58=0.34,8,IF(BE58=0.36,6)))))</f>
        <v>#REF!</v>
      </c>
      <c r="AE58" s="44" t="e">
        <f>BD58+(AB58-1)*BE58</f>
        <v>#REF!</v>
      </c>
      <c r="AF58" s="435"/>
      <c r="AG58" s="100"/>
      <c r="AH58" s="673"/>
      <c r="AI58" s="694" t="s">
        <v>200</v>
      </c>
      <c r="AJ58" s="100"/>
      <c r="AK58" s="694" t="s">
        <v>200</v>
      </c>
      <c r="AL58" s="695"/>
      <c r="AM58" s="178"/>
      <c r="AN58" s="53"/>
      <c r="AO58" s="353">
        <f t="shared" si="43"/>
        <v>6</v>
      </c>
      <c r="AP58" s="275" t="e">
        <f t="shared" si="6"/>
        <v>#REF!</v>
      </c>
      <c r="AQ58" s="84" t="e">
        <f t="shared" si="7"/>
        <v>#REF!</v>
      </c>
      <c r="AR58" s="47" t="e">
        <f t="shared" si="8"/>
        <v>#REF!</v>
      </c>
      <c r="AS58" s="438"/>
      <c r="AT58" s="48" t="s">
        <v>183</v>
      </c>
      <c r="AU58" s="669"/>
      <c r="AV58" s="49" t="s">
        <v>211</v>
      </c>
      <c r="AW58" s="669" t="s">
        <v>200</v>
      </c>
      <c r="AX58" s="50">
        <v>2018</v>
      </c>
      <c r="AY58" s="87"/>
      <c r="AZ58" s="300"/>
      <c r="BA58" s="517"/>
      <c r="BB58" s="51" t="e">
        <f t="shared" si="9"/>
        <v>#REF!</v>
      </c>
      <c r="BC58" s="356">
        <f t="shared" si="10"/>
        <v>-24227</v>
      </c>
      <c r="BD58" s="310" t="e">
        <f>VLOOKUP(Y58,#REF!,3,0)</f>
        <v>#REF!</v>
      </c>
      <c r="BE58" s="310" t="e">
        <f>VLOOKUP(Y58,#REF!,4,0)</f>
        <v>#REF!</v>
      </c>
      <c r="BF58" s="57" t="str">
        <f t="shared" si="11"/>
        <v>PCTN</v>
      </c>
      <c r="BG58" s="58">
        <v>15</v>
      </c>
      <c r="BH58" s="450" t="s">
        <v>178</v>
      </c>
      <c r="BI58" s="60" t="s">
        <v>183</v>
      </c>
      <c r="BJ58" s="677" t="s">
        <v>200</v>
      </c>
      <c r="BK58" s="448" t="s">
        <v>186</v>
      </c>
      <c r="BL58" s="677" t="s">
        <v>200</v>
      </c>
      <c r="BM58" s="1077">
        <v>2018</v>
      </c>
      <c r="BN58" s="178"/>
      <c r="BO58" s="62"/>
      <c r="BP58" s="59">
        <f t="shared" si="12"/>
        <v>16</v>
      </c>
      <c r="BQ58" s="454" t="s">
        <v>178</v>
      </c>
      <c r="BR58" s="60" t="s">
        <v>183</v>
      </c>
      <c r="BS58" s="669"/>
      <c r="BT58" s="445" t="s">
        <v>186</v>
      </c>
      <c r="BU58" s="669"/>
      <c r="BV58" s="316">
        <v>2019</v>
      </c>
      <c r="BW58" s="61"/>
      <c r="BX58" s="177">
        <v>6</v>
      </c>
      <c r="BY58" s="357">
        <f t="shared" si="13"/>
        <v>-24234</v>
      </c>
      <c r="BZ58" s="57" t="str">
        <f t="shared" si="14"/>
        <v>- - -</v>
      </c>
      <c r="CA58" s="379" t="str">
        <f t="shared" si="15"/>
        <v>Chánh Văn phòng Học viện, Trưởng Ban Tổ chức - Cán bộ, Trưởng Khoa Nhà nước - Pháp luật và Lý luận cơ sở</v>
      </c>
      <c r="CB58" s="63" t="str">
        <f t="shared" si="16"/>
        <v>A</v>
      </c>
      <c r="CC58" s="41" t="e">
        <f t="shared" si="17"/>
        <v>#REF!</v>
      </c>
      <c r="CD58" s="52" t="e">
        <f t="shared" si="18"/>
        <v>#REF!</v>
      </c>
      <c r="CE58" s="35" t="str">
        <f t="shared" si="19"/>
        <v>---</v>
      </c>
      <c r="CF58" s="35"/>
      <c r="CG58" s="367"/>
      <c r="CH58" s="35"/>
      <c r="CI58" s="102"/>
      <c r="CJ58" s="35" t="e">
        <f t="shared" si="20"/>
        <v>#REF!</v>
      </c>
      <c r="CK58" s="55" t="str">
        <f t="shared" si="21"/>
        <v>- - -</v>
      </c>
      <c r="CL58" s="65"/>
      <c r="CM58" s="66"/>
      <c r="CN58" s="65"/>
      <c r="CO58" s="80"/>
      <c r="CP58" s="55" t="str">
        <f t="shared" si="22"/>
        <v>- - -</v>
      </c>
      <c r="CQ58" s="65"/>
      <c r="CR58" s="66"/>
      <c r="CS58" s="65"/>
      <c r="CT58" s="80"/>
      <c r="CU58" s="69" t="e">
        <f t="shared" si="23"/>
        <v>#REF!</v>
      </c>
      <c r="CV58" s="70" t="str">
        <f t="shared" si="24"/>
        <v>/-/ /-/</v>
      </c>
      <c r="CW58" s="67">
        <f t="shared" si="25"/>
        <v>4</v>
      </c>
      <c r="CX58" s="68">
        <f t="shared" si="26"/>
        <v>2035</v>
      </c>
      <c r="CY58" s="67">
        <f t="shared" si="27"/>
        <v>1</v>
      </c>
      <c r="CZ58" s="68">
        <f t="shared" si="28"/>
        <v>2035</v>
      </c>
      <c r="DA58" s="67">
        <f t="shared" si="29"/>
        <v>10</v>
      </c>
      <c r="DB58" s="68">
        <f t="shared" si="30"/>
        <v>2034</v>
      </c>
      <c r="DC58" s="71" t="e">
        <f t="shared" si="31"/>
        <v>#REF!</v>
      </c>
      <c r="DD58" s="72" t="str">
        <f t="shared" si="32"/>
        <v>. .</v>
      </c>
      <c r="DE58" s="72"/>
      <c r="DF58" s="52">
        <f t="shared" si="33"/>
        <v>660</v>
      </c>
      <c r="DG58" s="52">
        <f t="shared" si="34"/>
        <v>-23751</v>
      </c>
      <c r="DH58" s="52">
        <f t="shared" si="35"/>
        <v>-1980</v>
      </c>
      <c r="DI58" s="52" t="str">
        <f t="shared" si="36"/>
        <v>Nữ dưới 30</v>
      </c>
      <c r="DJ58" s="52"/>
      <c r="DK58" s="52"/>
      <c r="DL58" s="57" t="str">
        <f t="shared" si="37"/>
        <v>Đến 30</v>
      </c>
      <c r="DM58" s="65" t="str">
        <f t="shared" si="38"/>
        <v>TD</v>
      </c>
      <c r="DN58" s="36">
        <v>2009</v>
      </c>
      <c r="DO58" s="35"/>
      <c r="DP58" s="73"/>
      <c r="DQ58" s="36"/>
      <c r="DR58" s="80"/>
      <c r="DS58" s="81"/>
      <c r="DT58" s="82"/>
      <c r="DU58" s="75"/>
      <c r="DV58" s="87"/>
      <c r="DW58" s="37" t="s">
        <v>226</v>
      </c>
      <c r="DX58" s="378" t="s">
        <v>78</v>
      </c>
      <c r="DY58" s="37" t="s">
        <v>226</v>
      </c>
      <c r="DZ58" s="48" t="s">
        <v>183</v>
      </c>
      <c r="EA58" s="49" t="s">
        <v>200</v>
      </c>
      <c r="EB58" s="49" t="s">
        <v>211</v>
      </c>
      <c r="EC58" s="49" t="s">
        <v>200</v>
      </c>
      <c r="ED58" s="76">
        <v>2012</v>
      </c>
      <c r="EE58" s="49">
        <f t="shared" si="39"/>
        <v>0</v>
      </c>
      <c r="EF58" s="77" t="str">
        <f t="shared" si="40"/>
        <v>- - -</v>
      </c>
      <c r="EG58" s="48" t="s">
        <v>183</v>
      </c>
      <c r="EH58" s="49" t="s">
        <v>200</v>
      </c>
      <c r="EI58" s="49" t="s">
        <v>211</v>
      </c>
      <c r="EJ58" s="49" t="s">
        <v>200</v>
      </c>
      <c r="EK58" s="76">
        <v>2012</v>
      </c>
      <c r="EL58" s="35"/>
      <c r="EM58" s="55" t="e">
        <f t="shared" si="41"/>
        <v>#REF!</v>
      </c>
      <c r="EN58" s="78" t="str">
        <f t="shared" si="42"/>
        <v>---</v>
      </c>
      <c r="EO58" s="87"/>
    </row>
    <row r="59" spans="1:175" s="79" customFormat="1" ht="11.25" customHeight="1" x14ac:dyDescent="0.2">
      <c r="A59" s="98">
        <v>490</v>
      </c>
      <c r="B59" s="937">
        <v>7</v>
      </c>
      <c r="C59" s="35"/>
      <c r="D59" s="35" t="str">
        <f t="shared" si="0"/>
        <v>Ông</v>
      </c>
      <c r="E59" s="40" t="s">
        <v>224</v>
      </c>
      <c r="F59" s="35" t="s">
        <v>219</v>
      </c>
      <c r="G59" s="64" t="s">
        <v>210</v>
      </c>
      <c r="H59" s="1024" t="s">
        <v>200</v>
      </c>
      <c r="I59" s="64" t="s">
        <v>211</v>
      </c>
      <c r="J59" s="1024" t="s">
        <v>200</v>
      </c>
      <c r="K59" s="40" t="s">
        <v>235</v>
      </c>
      <c r="L59" s="210" t="s">
        <v>264</v>
      </c>
      <c r="M59" s="1047" t="str">
        <f t="shared" si="1"/>
        <v>VC</v>
      </c>
      <c r="N59" s="223"/>
      <c r="O59" s="1025" t="e">
        <f t="shared" si="2"/>
        <v>#N/A</v>
      </c>
      <c r="P59" s="40"/>
      <c r="Q59" s="359" t="e">
        <f>VLOOKUP(P59,'[2]- DLiêu Gốc (Không sửa)'!$C$2:$H$116,2,0)</f>
        <v>#N/A</v>
      </c>
      <c r="R59" s="1032" t="s">
        <v>0</v>
      </c>
      <c r="S59" s="378" t="s">
        <v>246</v>
      </c>
      <c r="T59" s="38" t="e">
        <f>VLOOKUP(Y59,#REF!,5,0)</f>
        <v>#REF!</v>
      </c>
      <c r="U59" s="39" t="e">
        <f>VLOOKUP(Y59,#REF!,6,0)</f>
        <v>#REF!</v>
      </c>
      <c r="V59" s="1059" t="s">
        <v>248</v>
      </c>
      <c r="W59" s="358" t="str">
        <f t="shared" si="3"/>
        <v>Giảng viên (hạng III)</v>
      </c>
      <c r="X59" s="361" t="e">
        <f t="shared" si="4"/>
        <v>#REF!</v>
      </c>
      <c r="Y59" s="380" t="s">
        <v>254</v>
      </c>
      <c r="Z59" s="380" t="e">
        <f>VLOOKUP(Y59,#REF!,2,0)</f>
        <v>#REF!</v>
      </c>
      <c r="AA59" s="52" t="e">
        <f t="shared" si="5"/>
        <v>#REF!</v>
      </c>
      <c r="AB59" s="1040">
        <v>4</v>
      </c>
      <c r="AC59" s="700" t="e">
        <f>IF(AD59&gt;0,"/")</f>
        <v>#REF!</v>
      </c>
      <c r="AD59" s="43" t="e">
        <f>IF(OR(BE59=0.18,BE59=0.2),12,IF(BE59=0.31,10,IF(BE59=0.33,9,IF(BE59=0.34,8,IF(BE59=0.36,6)))))</f>
        <v>#REF!</v>
      </c>
      <c r="AE59" s="44" t="e">
        <f>BD59+(AB59-1)*BE59</f>
        <v>#REF!</v>
      </c>
      <c r="AF59" s="435"/>
      <c r="AG59" s="435"/>
      <c r="AH59" s="48" t="s">
        <v>183</v>
      </c>
      <c r="AI59" s="694" t="s">
        <v>200</v>
      </c>
      <c r="AJ59" s="100" t="s">
        <v>188</v>
      </c>
      <c r="AK59" s="694" t="s">
        <v>200</v>
      </c>
      <c r="AL59" s="920">
        <v>2015</v>
      </c>
      <c r="AM59" s="178"/>
      <c r="AN59" s="53"/>
      <c r="AO59" s="353">
        <f t="shared" si="43"/>
        <v>5</v>
      </c>
      <c r="AP59" s="275" t="e">
        <f t="shared" si="6"/>
        <v>#REF!</v>
      </c>
      <c r="AQ59" s="84" t="e">
        <f t="shared" si="7"/>
        <v>#REF!</v>
      </c>
      <c r="AR59" s="47" t="e">
        <f t="shared" si="8"/>
        <v>#REF!</v>
      </c>
      <c r="AS59" s="438"/>
      <c r="AT59" s="48" t="s">
        <v>183</v>
      </c>
      <c r="AU59" s="669" t="s">
        <v>200</v>
      </c>
      <c r="AV59" s="49" t="s">
        <v>188</v>
      </c>
      <c r="AW59" s="669" t="s">
        <v>200</v>
      </c>
      <c r="AX59" s="50">
        <v>2018</v>
      </c>
      <c r="AY59" s="87"/>
      <c r="AZ59" s="300"/>
      <c r="BA59" s="517">
        <v>3.18</v>
      </c>
      <c r="BB59" s="51" t="e">
        <f t="shared" si="9"/>
        <v>#REF!</v>
      </c>
      <c r="BC59" s="356">
        <f t="shared" si="10"/>
        <v>-24219</v>
      </c>
      <c r="BD59" s="310" t="e">
        <f>VLOOKUP(Y59,#REF!,3,0)</f>
        <v>#REF!</v>
      </c>
      <c r="BE59" s="310" t="e">
        <f>VLOOKUP(Y59,#REF!,4,0)</f>
        <v>#REF!</v>
      </c>
      <c r="BF59" s="57" t="str">
        <f t="shared" si="11"/>
        <v>PCTN</v>
      </c>
      <c r="BG59" s="58">
        <v>12</v>
      </c>
      <c r="BH59" s="450" t="s">
        <v>178</v>
      </c>
      <c r="BI59" s="60" t="s">
        <v>183</v>
      </c>
      <c r="BJ59" s="677" t="s">
        <v>200</v>
      </c>
      <c r="BK59" s="448">
        <v>6</v>
      </c>
      <c r="BL59" s="677" t="s">
        <v>200</v>
      </c>
      <c r="BM59" s="1077">
        <v>2018</v>
      </c>
      <c r="BN59" s="178"/>
      <c r="BO59" s="62"/>
      <c r="BP59" s="59">
        <f t="shared" si="12"/>
        <v>13</v>
      </c>
      <c r="BQ59" s="454" t="s">
        <v>178</v>
      </c>
      <c r="BR59" s="60" t="s">
        <v>183</v>
      </c>
      <c r="BS59" s="669" t="s">
        <v>200</v>
      </c>
      <c r="BT59" s="445">
        <v>6</v>
      </c>
      <c r="BU59" s="669" t="s">
        <v>200</v>
      </c>
      <c r="BV59" s="316">
        <v>2019</v>
      </c>
      <c r="BW59" s="61"/>
      <c r="BX59" s="177">
        <v>6</v>
      </c>
      <c r="BY59" s="357">
        <f t="shared" si="13"/>
        <v>-24234</v>
      </c>
      <c r="BZ59" s="57" t="str">
        <f t="shared" si="14"/>
        <v>- - -</v>
      </c>
      <c r="CA59" s="379" t="str">
        <f t="shared" si="15"/>
        <v>Chánh Văn phòng Học viện, Trưởng Ban Tổ chức - Cán bộ</v>
      </c>
      <c r="CB59" s="63" t="str">
        <f t="shared" si="16"/>
        <v>A</v>
      </c>
      <c r="CC59" s="41" t="e">
        <f t="shared" si="17"/>
        <v>#REF!</v>
      </c>
      <c r="CD59" s="52" t="e">
        <f t="shared" si="18"/>
        <v>#REF!</v>
      </c>
      <c r="CE59" s="35" t="str">
        <f t="shared" si="19"/>
        <v>---</v>
      </c>
      <c r="CF59" s="35"/>
      <c r="CG59" s="367"/>
      <c r="CH59" s="35"/>
      <c r="CI59" s="102"/>
      <c r="CJ59" s="35" t="e">
        <f t="shared" si="20"/>
        <v>#REF!</v>
      </c>
      <c r="CK59" s="55" t="str">
        <f t="shared" si="21"/>
        <v>- - -</v>
      </c>
      <c r="CL59" s="65"/>
      <c r="CM59" s="66"/>
      <c r="CN59" s="65"/>
      <c r="CO59" s="80"/>
      <c r="CP59" s="55" t="str">
        <f t="shared" si="22"/>
        <v>- - -</v>
      </c>
      <c r="CQ59" s="65"/>
      <c r="CR59" s="66"/>
      <c r="CS59" s="65"/>
      <c r="CT59" s="80"/>
      <c r="CU59" s="69" t="e">
        <f t="shared" si="23"/>
        <v>#REF!</v>
      </c>
      <c r="CV59" s="70" t="str">
        <f t="shared" si="24"/>
        <v>/-/ /-/</v>
      </c>
      <c r="CW59" s="67">
        <f t="shared" si="25"/>
        <v>12</v>
      </c>
      <c r="CX59" s="68">
        <f t="shared" si="26"/>
        <v>2041</v>
      </c>
      <c r="CY59" s="67">
        <f t="shared" si="27"/>
        <v>9</v>
      </c>
      <c r="CZ59" s="68">
        <f t="shared" si="28"/>
        <v>2041</v>
      </c>
      <c r="DA59" s="67">
        <f t="shared" si="29"/>
        <v>6</v>
      </c>
      <c r="DB59" s="68">
        <f t="shared" si="30"/>
        <v>2041</v>
      </c>
      <c r="DC59" s="71" t="e">
        <f t="shared" si="31"/>
        <v>#REF!</v>
      </c>
      <c r="DD59" s="72" t="str">
        <f t="shared" si="32"/>
        <v>. .</v>
      </c>
      <c r="DE59" s="72"/>
      <c r="DF59" s="52">
        <f t="shared" si="33"/>
        <v>720</v>
      </c>
      <c r="DG59" s="52">
        <f t="shared" si="34"/>
        <v>-23771</v>
      </c>
      <c r="DH59" s="52">
        <f t="shared" si="35"/>
        <v>-1981</v>
      </c>
      <c r="DI59" s="52" t="str">
        <f t="shared" si="36"/>
        <v>Nam dưới 35</v>
      </c>
      <c r="DJ59" s="89"/>
      <c r="DK59" s="52"/>
      <c r="DL59" s="57" t="str">
        <f t="shared" si="37"/>
        <v>Đến 30</v>
      </c>
      <c r="DM59" s="65" t="str">
        <f t="shared" si="38"/>
        <v>TD</v>
      </c>
      <c r="DN59" s="36">
        <v>2009</v>
      </c>
      <c r="DO59" s="35"/>
      <c r="DP59" s="73"/>
      <c r="DQ59" s="36"/>
      <c r="DR59" s="80"/>
      <c r="DS59" s="81"/>
      <c r="DT59" s="82"/>
      <c r="DU59" s="75"/>
      <c r="DV59" s="87"/>
      <c r="DW59" s="37" t="s">
        <v>0</v>
      </c>
      <c r="DX59" s="378" t="s">
        <v>246</v>
      </c>
      <c r="DY59" s="37" t="s">
        <v>225</v>
      </c>
      <c r="DZ59" s="48" t="s">
        <v>183</v>
      </c>
      <c r="EA59" s="49" t="s">
        <v>200</v>
      </c>
      <c r="EB59" s="49" t="s">
        <v>188</v>
      </c>
      <c r="EC59" s="49" t="s">
        <v>200</v>
      </c>
      <c r="ED59" s="76" t="s">
        <v>218</v>
      </c>
      <c r="EE59" s="49">
        <f t="shared" si="39"/>
        <v>0</v>
      </c>
      <c r="EF59" s="77" t="str">
        <f t="shared" si="40"/>
        <v>- - -</v>
      </c>
      <c r="EG59" s="48" t="s">
        <v>183</v>
      </c>
      <c r="EH59" s="49" t="s">
        <v>200</v>
      </c>
      <c r="EI59" s="49" t="s">
        <v>188</v>
      </c>
      <c r="EJ59" s="49" t="s">
        <v>200</v>
      </c>
      <c r="EK59" s="76" t="s">
        <v>218</v>
      </c>
      <c r="EL59" s="35"/>
      <c r="EM59" s="55" t="e">
        <f t="shared" si="41"/>
        <v>#REF!</v>
      </c>
      <c r="EN59" s="78" t="str">
        <f t="shared" si="42"/>
        <v>---</v>
      </c>
      <c r="EO59" s="87"/>
      <c r="FN59" s="1076"/>
      <c r="FO59" s="1076"/>
      <c r="FP59" s="1076"/>
      <c r="FQ59" s="1076"/>
      <c r="FR59" s="1076"/>
    </row>
    <row r="60" spans="1:175" s="269" customFormat="1" ht="11.25" customHeight="1" x14ac:dyDescent="0.2">
      <c r="A60" s="98">
        <v>657</v>
      </c>
      <c r="B60" s="359">
        <v>8</v>
      </c>
      <c r="C60" s="35"/>
      <c r="D60" s="35" t="str">
        <f t="shared" si="0"/>
        <v>Ông</v>
      </c>
      <c r="E60" s="40" t="s">
        <v>129</v>
      </c>
      <c r="F60" s="35" t="s">
        <v>219</v>
      </c>
      <c r="G60" s="64" t="s">
        <v>223</v>
      </c>
      <c r="H60" s="1024" t="s">
        <v>200</v>
      </c>
      <c r="I60" s="64" t="s">
        <v>185</v>
      </c>
      <c r="J60" s="1024" t="s">
        <v>200</v>
      </c>
      <c r="K60" s="40" t="s">
        <v>234</v>
      </c>
      <c r="L60" s="210" t="s">
        <v>264</v>
      </c>
      <c r="M60" s="1047" t="str">
        <f t="shared" si="1"/>
        <v>VC</v>
      </c>
      <c r="N60" s="223"/>
      <c r="O60" s="1025" t="e">
        <f t="shared" si="2"/>
        <v>#VALUE!</v>
      </c>
      <c r="P60" s="40" t="s">
        <v>121</v>
      </c>
      <c r="Q60" s="359" t="str">
        <f>VLOOKUP(P60,'[2]- DLiêu Gốc (Không sửa)'!$C$2:$H$116,2,0)</f>
        <v>0,4</v>
      </c>
      <c r="R60" s="1033" t="s">
        <v>330</v>
      </c>
      <c r="S60" s="943" t="s">
        <v>326</v>
      </c>
      <c r="T60" s="38" t="e">
        <f>VLOOKUP(Y60,#REF!,5,0)</f>
        <v>#REF!</v>
      </c>
      <c r="U60" s="39" t="e">
        <f>VLOOKUP(Y60,#REF!,6,0)</f>
        <v>#REF!</v>
      </c>
      <c r="V60" s="1059" t="s">
        <v>248</v>
      </c>
      <c r="W60" s="358" t="str">
        <f t="shared" si="3"/>
        <v>Giảng viên chính (hạng II)</v>
      </c>
      <c r="X60" s="361" t="e">
        <f t="shared" si="4"/>
        <v>#REF!</v>
      </c>
      <c r="Y60" s="380" t="s">
        <v>255</v>
      </c>
      <c r="Z60" s="380" t="e">
        <f>VLOOKUP(Y60,#REF!,2,0)</f>
        <v>#REF!</v>
      </c>
      <c r="AA60" s="52" t="e">
        <f t="shared" si="5"/>
        <v>#REF!</v>
      </c>
      <c r="AB60" s="180">
        <v>6</v>
      </c>
      <c r="AC60" s="700" t="e">
        <f>IF(AD60&gt;0,"/")</f>
        <v>#REF!</v>
      </c>
      <c r="AD60" s="43" t="e">
        <f>IF(OR(BE60=0.18,BE60=0.2),12,IF(BE60=0.31,10,IF(BE60=0.33,9,IF(BE60=0.34,8,IF(BE60=0.36,6)))))</f>
        <v>#REF!</v>
      </c>
      <c r="AE60" s="44" t="e">
        <f>BD60+(AB60-1)*BE60</f>
        <v>#REF!</v>
      </c>
      <c r="AF60" s="435"/>
      <c r="AG60" s="100"/>
      <c r="AH60" s="673"/>
      <c r="AI60" s="694" t="s">
        <v>200</v>
      </c>
      <c r="AJ60" s="100"/>
      <c r="AK60" s="694" t="s">
        <v>200</v>
      </c>
      <c r="AL60" s="674"/>
      <c r="AM60" s="178"/>
      <c r="AN60" s="53"/>
      <c r="AO60" s="353">
        <f t="shared" si="43"/>
        <v>7</v>
      </c>
      <c r="AP60" s="275" t="e">
        <f t="shared" si="6"/>
        <v>#REF!</v>
      </c>
      <c r="AQ60" s="84" t="e">
        <f t="shared" si="7"/>
        <v>#REF!</v>
      </c>
      <c r="AR60" s="47" t="e">
        <f t="shared" si="8"/>
        <v>#REF!</v>
      </c>
      <c r="AS60" s="438"/>
      <c r="AT60" s="48" t="s">
        <v>183</v>
      </c>
      <c r="AU60" s="669" t="s">
        <v>200</v>
      </c>
      <c r="AV60" s="49" t="s">
        <v>211</v>
      </c>
      <c r="AW60" s="669" t="s">
        <v>200</v>
      </c>
      <c r="AX60" s="50">
        <v>2018</v>
      </c>
      <c r="AY60" s="87"/>
      <c r="AZ60" s="300"/>
      <c r="BA60" s="517"/>
      <c r="BB60" s="51" t="e">
        <f t="shared" si="9"/>
        <v>#REF!</v>
      </c>
      <c r="BC60" s="356">
        <f t="shared" si="10"/>
        <v>-24227</v>
      </c>
      <c r="BD60" s="310" t="e">
        <f>VLOOKUP(Y60,#REF!,3,0)</f>
        <v>#REF!</v>
      </c>
      <c r="BE60" s="310" t="e">
        <f>VLOOKUP(Y60,#REF!,4,0)</f>
        <v>#REF!</v>
      </c>
      <c r="BF60" s="57" t="str">
        <f t="shared" si="11"/>
        <v>PCTN</v>
      </c>
      <c r="BG60" s="58">
        <v>22</v>
      </c>
      <c r="BH60" s="450" t="s">
        <v>178</v>
      </c>
      <c r="BI60" s="60" t="s">
        <v>183</v>
      </c>
      <c r="BJ60" s="677" t="s">
        <v>200</v>
      </c>
      <c r="BK60" s="448">
        <v>6</v>
      </c>
      <c r="BL60" s="677" t="s">
        <v>200</v>
      </c>
      <c r="BM60" s="1077">
        <v>2018</v>
      </c>
      <c r="BN60" s="178"/>
      <c r="BO60" s="62"/>
      <c r="BP60" s="59">
        <f t="shared" si="12"/>
        <v>23</v>
      </c>
      <c r="BQ60" s="454" t="s">
        <v>178</v>
      </c>
      <c r="BR60" s="60" t="s">
        <v>183</v>
      </c>
      <c r="BS60" s="669" t="s">
        <v>200</v>
      </c>
      <c r="BT60" s="445">
        <v>6</v>
      </c>
      <c r="BU60" s="669" t="s">
        <v>200</v>
      </c>
      <c r="BV60" s="316">
        <v>2019</v>
      </c>
      <c r="BW60" s="61"/>
      <c r="BX60" s="177">
        <v>6</v>
      </c>
      <c r="BY60" s="357">
        <f t="shared" si="13"/>
        <v>-24234</v>
      </c>
      <c r="BZ60" s="57" t="str">
        <f t="shared" si="14"/>
        <v>- - -</v>
      </c>
      <c r="CA60" s="379" t="str">
        <f t="shared" si="15"/>
        <v>Chánh Văn phòng Học viện, Trưởng Ban Tổ chức - Cán bộ, Trưởng Phân viện Học viện Hành chính Quốc gia tại Thành phố Hồ Chí Minh</v>
      </c>
      <c r="CB60" s="63" t="str">
        <f t="shared" si="16"/>
        <v>A</v>
      </c>
      <c r="CC60" s="41" t="e">
        <f t="shared" si="17"/>
        <v>#REF!</v>
      </c>
      <c r="CD60" s="52" t="e">
        <f t="shared" si="18"/>
        <v>#REF!</v>
      </c>
      <c r="CE60" s="35" t="str">
        <f t="shared" si="19"/>
        <v>S</v>
      </c>
      <c r="CF60" s="35">
        <v>2009</v>
      </c>
      <c r="CG60" s="367" t="s">
        <v>252</v>
      </c>
      <c r="CH60" s="35"/>
      <c r="CI60" s="102"/>
      <c r="CJ60" s="35" t="e">
        <f t="shared" si="20"/>
        <v>#REF!</v>
      </c>
      <c r="CK60" s="55" t="str">
        <f t="shared" si="21"/>
        <v>NN</v>
      </c>
      <c r="CL60" s="65"/>
      <c r="CM60" s="66" t="s">
        <v>220</v>
      </c>
      <c r="CN60" s="65"/>
      <c r="CO60" s="80"/>
      <c r="CP60" s="55" t="str">
        <f t="shared" si="22"/>
        <v>- - -</v>
      </c>
      <c r="CQ60" s="65"/>
      <c r="CR60" s="66"/>
      <c r="CS60" s="65"/>
      <c r="CT60" s="80"/>
      <c r="CU60" s="69" t="e">
        <f t="shared" si="23"/>
        <v>#REF!</v>
      </c>
      <c r="CV60" s="70" t="str">
        <f t="shared" si="24"/>
        <v>/-/ /-/</v>
      </c>
      <c r="CW60" s="67">
        <f t="shared" si="25"/>
        <v>6</v>
      </c>
      <c r="CX60" s="68">
        <f t="shared" si="26"/>
        <v>2022</v>
      </c>
      <c r="CY60" s="67">
        <f t="shared" si="27"/>
        <v>3</v>
      </c>
      <c r="CZ60" s="68">
        <f t="shared" si="28"/>
        <v>2022</v>
      </c>
      <c r="DA60" s="67">
        <f t="shared" si="29"/>
        <v>12</v>
      </c>
      <c r="DB60" s="68">
        <f t="shared" si="30"/>
        <v>2021</v>
      </c>
      <c r="DC60" s="71" t="e">
        <f t="shared" si="31"/>
        <v>#REF!</v>
      </c>
      <c r="DD60" s="72" t="str">
        <f t="shared" si="32"/>
        <v>. .</v>
      </c>
      <c r="DE60" s="72"/>
      <c r="DF60" s="52">
        <f t="shared" si="33"/>
        <v>720</v>
      </c>
      <c r="DG60" s="52">
        <f t="shared" si="34"/>
        <v>-23537</v>
      </c>
      <c r="DH60" s="52">
        <f t="shared" si="35"/>
        <v>-1962</v>
      </c>
      <c r="DI60" s="52" t="str">
        <f t="shared" si="36"/>
        <v>Nam dưới 35</v>
      </c>
      <c r="DJ60" s="89"/>
      <c r="DK60" s="52"/>
      <c r="DL60" s="57" t="str">
        <f t="shared" si="37"/>
        <v>Đến 30</v>
      </c>
      <c r="DM60" s="65" t="str">
        <f t="shared" si="38"/>
        <v>--</v>
      </c>
      <c r="DN60" s="36"/>
      <c r="DO60" s="35"/>
      <c r="DP60" s="73"/>
      <c r="DQ60" s="36"/>
      <c r="DR60" s="80"/>
      <c r="DS60" s="81"/>
      <c r="DT60" s="82"/>
      <c r="DU60" s="75"/>
      <c r="DV60" s="87"/>
      <c r="DW60" s="37" t="s">
        <v>39</v>
      </c>
      <c r="DX60" s="378" t="s">
        <v>243</v>
      </c>
      <c r="DY60" s="37" t="s">
        <v>39</v>
      </c>
      <c r="DZ60" s="48" t="s">
        <v>183</v>
      </c>
      <c r="EA60" s="49" t="s">
        <v>200</v>
      </c>
      <c r="EB60" s="49" t="s">
        <v>211</v>
      </c>
      <c r="EC60" s="49" t="s">
        <v>200</v>
      </c>
      <c r="ED60" s="76">
        <v>2012</v>
      </c>
      <c r="EE60" s="49">
        <f t="shared" si="39"/>
        <v>0</v>
      </c>
      <c r="EF60" s="77" t="str">
        <f t="shared" si="40"/>
        <v>- - -</v>
      </c>
      <c r="EG60" s="48" t="s">
        <v>183</v>
      </c>
      <c r="EH60" s="49" t="s">
        <v>200</v>
      </c>
      <c r="EI60" s="49" t="s">
        <v>211</v>
      </c>
      <c r="EJ60" s="49" t="s">
        <v>200</v>
      </c>
      <c r="EK60" s="76">
        <v>2012</v>
      </c>
      <c r="EL60" s="35">
        <v>4.9800000000000004</v>
      </c>
      <c r="EM60" s="55" t="e">
        <f t="shared" si="41"/>
        <v>#REF!</v>
      </c>
      <c r="EN60" s="78" t="str">
        <f t="shared" si="42"/>
        <v>---</v>
      </c>
      <c r="EO60" s="87"/>
      <c r="EP60" s="79"/>
      <c r="EQ60" s="79"/>
      <c r="ER60" s="79"/>
      <c r="ES60" s="79"/>
      <c r="ET60" s="79"/>
      <c r="EU60" s="79"/>
      <c r="EV60" s="79"/>
      <c r="EW60" s="79"/>
      <c r="EX60" s="79"/>
      <c r="EY60" s="79"/>
      <c r="EZ60" s="79"/>
      <c r="FA60" s="79"/>
      <c r="FB60" s="79"/>
      <c r="FC60" s="79"/>
      <c r="FD60" s="79"/>
      <c r="FE60" s="79"/>
      <c r="FF60" s="79"/>
      <c r="FG60" s="79"/>
      <c r="FH60" s="79"/>
      <c r="FI60" s="79"/>
      <c r="FJ60" s="79"/>
      <c r="FK60" s="79"/>
      <c r="FL60" s="79"/>
      <c r="FM60" s="79"/>
      <c r="FN60" s="79"/>
      <c r="FO60" s="79"/>
      <c r="FP60" s="79"/>
      <c r="FQ60" s="79"/>
      <c r="FR60" s="79"/>
    </row>
    <row r="61" spans="1:175" s="253" customFormat="1" ht="11.25" customHeight="1" x14ac:dyDescent="0.2">
      <c r="A61" s="98">
        <v>692</v>
      </c>
      <c r="B61" s="937">
        <v>9</v>
      </c>
      <c r="C61" s="35"/>
      <c r="D61" s="35" t="str">
        <f t="shared" si="0"/>
        <v>Ông</v>
      </c>
      <c r="E61" s="40" t="s">
        <v>41</v>
      </c>
      <c r="F61" s="35" t="s">
        <v>219</v>
      </c>
      <c r="G61" s="64" t="s">
        <v>183</v>
      </c>
      <c r="H61" s="1024" t="s">
        <v>200</v>
      </c>
      <c r="I61" s="64" t="s">
        <v>211</v>
      </c>
      <c r="J61" s="1024" t="s">
        <v>200</v>
      </c>
      <c r="K61" s="40">
        <v>1954</v>
      </c>
      <c r="L61" s="210" t="s">
        <v>264</v>
      </c>
      <c r="M61" s="1047" t="str">
        <f t="shared" si="1"/>
        <v>VC</v>
      </c>
      <c r="N61" s="223"/>
      <c r="O61" s="1025" t="e">
        <f t="shared" si="2"/>
        <v>#N/A</v>
      </c>
      <c r="P61" s="40"/>
      <c r="Q61" s="359" t="e">
        <f>VLOOKUP(P61,'[2]- DLiêu Gốc (Không sửa)'!$C$2:$H$116,2,0)</f>
        <v>#N/A</v>
      </c>
      <c r="R61" s="1032" t="s">
        <v>152</v>
      </c>
      <c r="S61" s="943" t="s">
        <v>326</v>
      </c>
      <c r="T61" s="38" t="e">
        <f>VLOOKUP(Y61,#REF!,5,0)</f>
        <v>#REF!</v>
      </c>
      <c r="U61" s="39" t="e">
        <f>VLOOKUP(Y61,#REF!,6,0)</f>
        <v>#REF!</v>
      </c>
      <c r="V61" s="1059" t="s">
        <v>248</v>
      </c>
      <c r="W61" s="358" t="str">
        <f t="shared" si="3"/>
        <v>Giảng viên cao cấp (hạng I)</v>
      </c>
      <c r="X61" s="361" t="e">
        <f t="shared" si="4"/>
        <v>#REF!</v>
      </c>
      <c r="Y61" s="380" t="s">
        <v>253</v>
      </c>
      <c r="Z61" s="380" t="e">
        <f>VLOOKUP(Y61,#REF!,2,0)</f>
        <v>#REF!</v>
      </c>
      <c r="AA61" s="52" t="e">
        <f t="shared" si="5"/>
        <v>#REF!</v>
      </c>
      <c r="AB61" s="180">
        <v>4</v>
      </c>
      <c r="AC61" s="700" t="e">
        <f>IF(AD61&gt;0,"/")</f>
        <v>#REF!</v>
      </c>
      <c r="AD61" s="43" t="e">
        <f>IF(OR(BE61=0.18,BE61=0.2),12,IF(BE61=0.31,10,IF(BE61=0.33,9,IF(BE61=0.34,8,IF(BE61=0.36,6)))))</f>
        <v>#REF!</v>
      </c>
      <c r="AE61" s="44" t="e">
        <f>BD61+(AB61-1)*BE61</f>
        <v>#REF!</v>
      </c>
      <c r="AF61" s="435"/>
      <c r="AG61" s="100"/>
      <c r="AH61" s="673"/>
      <c r="AI61" s="694" t="s">
        <v>200</v>
      </c>
      <c r="AJ61" s="100"/>
      <c r="AK61" s="694" t="s">
        <v>200</v>
      </c>
      <c r="AL61" s="674"/>
      <c r="AM61" s="178"/>
      <c r="AN61" s="53"/>
      <c r="AO61" s="353">
        <f t="shared" si="43"/>
        <v>5</v>
      </c>
      <c r="AP61" s="275" t="e">
        <f t="shared" si="6"/>
        <v>#REF!</v>
      </c>
      <c r="AQ61" s="84" t="e">
        <f t="shared" si="7"/>
        <v>#REF!</v>
      </c>
      <c r="AR61" s="47" t="e">
        <f t="shared" si="8"/>
        <v>#REF!</v>
      </c>
      <c r="AS61" s="438"/>
      <c r="AT61" s="48" t="s">
        <v>183</v>
      </c>
      <c r="AU61" s="669" t="s">
        <v>200</v>
      </c>
      <c r="AV61" s="49" t="s">
        <v>184</v>
      </c>
      <c r="AW61" s="669" t="s">
        <v>200</v>
      </c>
      <c r="AX61" s="50">
        <v>2018</v>
      </c>
      <c r="AY61" s="87"/>
      <c r="AZ61" s="300"/>
      <c r="BA61" s="517"/>
      <c r="BB61" s="51" t="e">
        <f t="shared" si="9"/>
        <v>#REF!</v>
      </c>
      <c r="BC61" s="356">
        <f t="shared" si="10"/>
        <v>-24218</v>
      </c>
      <c r="BD61" s="310" t="e">
        <f>VLOOKUP(Y61,#REF!,3,0)</f>
        <v>#REF!</v>
      </c>
      <c r="BE61" s="310" t="e">
        <f>VLOOKUP(Y61,#REF!,4,0)</f>
        <v>#REF!</v>
      </c>
      <c r="BF61" s="57" t="str">
        <f t="shared" si="11"/>
        <v>PCTN</v>
      </c>
      <c r="BG61" s="58">
        <v>23</v>
      </c>
      <c r="BH61" s="450" t="s">
        <v>178</v>
      </c>
      <c r="BI61" s="60" t="s">
        <v>183</v>
      </c>
      <c r="BJ61" s="677" t="s">
        <v>200</v>
      </c>
      <c r="BK61" s="448">
        <v>6</v>
      </c>
      <c r="BL61" s="677" t="s">
        <v>200</v>
      </c>
      <c r="BM61" s="1077">
        <v>2018</v>
      </c>
      <c r="BN61" s="178"/>
      <c r="BO61" s="62"/>
      <c r="BP61" s="59">
        <f t="shared" si="12"/>
        <v>24</v>
      </c>
      <c r="BQ61" s="454" t="s">
        <v>178</v>
      </c>
      <c r="BR61" s="60" t="s">
        <v>183</v>
      </c>
      <c r="BS61" s="669" t="s">
        <v>200</v>
      </c>
      <c r="BT61" s="445">
        <v>6</v>
      </c>
      <c r="BU61" s="669" t="s">
        <v>200</v>
      </c>
      <c r="BV61" s="316">
        <v>2019</v>
      </c>
      <c r="BW61" s="61"/>
      <c r="BX61" s="177">
        <v>6</v>
      </c>
      <c r="BY61" s="357">
        <f t="shared" si="13"/>
        <v>-24234</v>
      </c>
      <c r="BZ61" s="57" t="str">
        <f t="shared" si="14"/>
        <v>- - -</v>
      </c>
      <c r="CA61" s="379" t="str">
        <f t="shared" si="15"/>
        <v>Chánh Văn phòng Học viện, Trưởng Ban Tổ chức - Cán bộ, Trưởng Phân viện Học viện Hành chính Quốc gia tại Thành phố Hồ Chí Minh</v>
      </c>
      <c r="CB61" s="63" t="str">
        <f t="shared" si="16"/>
        <v>A</v>
      </c>
      <c r="CC61" s="41" t="e">
        <f t="shared" si="17"/>
        <v>#REF!</v>
      </c>
      <c r="CD61" s="52" t="e">
        <f t="shared" si="18"/>
        <v>#REF!</v>
      </c>
      <c r="CE61" s="35" t="str">
        <f t="shared" si="19"/>
        <v>S</v>
      </c>
      <c r="CF61" s="35">
        <v>2017</v>
      </c>
      <c r="CG61" s="367"/>
      <c r="CH61" s="35"/>
      <c r="CI61" s="102"/>
      <c r="CJ61" s="35" t="e">
        <f t="shared" si="20"/>
        <v>#REF!</v>
      </c>
      <c r="CK61" s="55" t="str">
        <f t="shared" si="21"/>
        <v>NN</v>
      </c>
      <c r="CL61" s="65">
        <v>5</v>
      </c>
      <c r="CM61" s="66">
        <v>2012</v>
      </c>
      <c r="CN61" s="65"/>
      <c r="CO61" s="80"/>
      <c r="CP61" s="55" t="str">
        <f t="shared" si="22"/>
        <v>- - -</v>
      </c>
      <c r="CQ61" s="65"/>
      <c r="CR61" s="66"/>
      <c r="CS61" s="65"/>
      <c r="CT61" s="80"/>
      <c r="CU61" s="69" t="e">
        <f t="shared" si="23"/>
        <v>#REF!</v>
      </c>
      <c r="CV61" s="70" t="str">
        <f t="shared" si="24"/>
        <v>/-/ /-/</v>
      </c>
      <c r="CW61" s="67">
        <f t="shared" si="25"/>
        <v>12</v>
      </c>
      <c r="CX61" s="68">
        <f t="shared" si="26"/>
        <v>2019</v>
      </c>
      <c r="CY61" s="67">
        <f t="shared" si="27"/>
        <v>9</v>
      </c>
      <c r="CZ61" s="68">
        <f t="shared" si="28"/>
        <v>2019</v>
      </c>
      <c r="DA61" s="67">
        <f t="shared" si="29"/>
        <v>6</v>
      </c>
      <c r="DB61" s="68">
        <f t="shared" si="30"/>
        <v>2019</v>
      </c>
      <c r="DC61" s="71" t="e">
        <f t="shared" si="31"/>
        <v>#REF!</v>
      </c>
      <c r="DD61" s="72" t="str">
        <f t="shared" si="32"/>
        <v>K.Dài</v>
      </c>
      <c r="DE61" s="72">
        <v>5</v>
      </c>
      <c r="DF61" s="52">
        <f t="shared" si="33"/>
        <v>780</v>
      </c>
      <c r="DG61" s="52">
        <f t="shared" si="34"/>
        <v>-23447</v>
      </c>
      <c r="DH61" s="52">
        <f t="shared" si="35"/>
        <v>-1954</v>
      </c>
      <c r="DI61" s="52" t="str">
        <f t="shared" si="36"/>
        <v>Nam dưới 35</v>
      </c>
      <c r="DJ61" s="52"/>
      <c r="DK61" s="52"/>
      <c r="DL61" s="57" t="str">
        <f t="shared" si="37"/>
        <v>Đến 30</v>
      </c>
      <c r="DM61" s="65" t="str">
        <f t="shared" si="38"/>
        <v>--</v>
      </c>
      <c r="DN61" s="36"/>
      <c r="DO61" s="35"/>
      <c r="DP61" s="73"/>
      <c r="DQ61" s="36"/>
      <c r="DR61" s="80"/>
      <c r="DS61" s="81"/>
      <c r="DT61" s="82"/>
      <c r="DU61" s="75"/>
      <c r="DV61" s="87"/>
      <c r="DW61" s="37" t="s">
        <v>152</v>
      </c>
      <c r="DX61" s="378" t="s">
        <v>243</v>
      </c>
      <c r="DY61" s="37" t="s">
        <v>152</v>
      </c>
      <c r="DZ61" s="48" t="s">
        <v>183</v>
      </c>
      <c r="EA61" s="49" t="s">
        <v>200</v>
      </c>
      <c r="EB61" s="49" t="s">
        <v>187</v>
      </c>
      <c r="EC61" s="49" t="s">
        <v>200</v>
      </c>
      <c r="ED61" s="76">
        <v>2012</v>
      </c>
      <c r="EE61" s="49">
        <f t="shared" si="39"/>
        <v>0</v>
      </c>
      <c r="EF61" s="77" t="str">
        <f t="shared" si="40"/>
        <v>- - -</v>
      </c>
      <c r="EG61" s="48" t="s">
        <v>183</v>
      </c>
      <c r="EH61" s="49" t="s">
        <v>200</v>
      </c>
      <c r="EI61" s="49" t="s">
        <v>187</v>
      </c>
      <c r="EJ61" s="49" t="s">
        <v>200</v>
      </c>
      <c r="EK61" s="76">
        <v>2012</v>
      </c>
      <c r="EL61" s="35">
        <v>6.44</v>
      </c>
      <c r="EM61" s="55" t="e">
        <f t="shared" si="41"/>
        <v>#REF!</v>
      </c>
      <c r="EN61" s="78" t="str">
        <f t="shared" si="42"/>
        <v>---</v>
      </c>
      <c r="EO61" s="87"/>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row>
    <row r="62" spans="1:175" s="253" customFormat="1" ht="12" customHeight="1" x14ac:dyDescent="0.2">
      <c r="A62" s="98">
        <v>225</v>
      </c>
      <c r="B62" s="937">
        <v>10</v>
      </c>
      <c r="C62" s="35"/>
      <c r="D62" s="35" t="str">
        <f t="shared" ref="D62:D84" si="44">IF(F62="Nam","Ông","Bà")</f>
        <v>Bà</v>
      </c>
      <c r="E62" s="40" t="s">
        <v>12</v>
      </c>
      <c r="F62" s="35" t="s">
        <v>221</v>
      </c>
      <c r="G62" s="64" t="s">
        <v>173</v>
      </c>
      <c r="H62" s="1024" t="s">
        <v>200</v>
      </c>
      <c r="I62" s="64" t="s">
        <v>188</v>
      </c>
      <c r="J62" s="1024" t="s">
        <v>200</v>
      </c>
      <c r="K62" s="40">
        <v>1976</v>
      </c>
      <c r="L62" s="210" t="s">
        <v>264</v>
      </c>
      <c r="M62" s="1047" t="str">
        <f t="shared" ref="M62:M84" si="45">IF(L62="công chức","CC",IF(L62="viên chức","VC",IF(L62="người lao động","NLĐ","- - -")))</f>
        <v>VC</v>
      </c>
      <c r="N62" s="223"/>
      <c r="O62" s="1025" t="e">
        <f t="shared" ref="O62:O84" si="46">IF(AND((Q62+0)&gt;0.3,(Q62+0)&lt;1.5),"CVụ","- -")</f>
        <v>#REF!</v>
      </c>
      <c r="P62" s="40" t="s">
        <v>121</v>
      </c>
      <c r="Q62" s="359" t="e">
        <f>VLOOKUP(P62,#REF!,2,0)</f>
        <v>#REF!</v>
      </c>
      <c r="R62" s="1032" t="s">
        <v>226</v>
      </c>
      <c r="S62" s="378" t="s">
        <v>323</v>
      </c>
      <c r="T62" s="38" t="e">
        <f>VLOOKUP(Y62,#REF!,5,0)</f>
        <v>#REF!</v>
      </c>
      <c r="U62" s="39" t="e">
        <f>VLOOKUP(Y62,#REF!,6,0)</f>
        <v>#REF!</v>
      </c>
      <c r="V62" s="1059" t="s">
        <v>248</v>
      </c>
      <c r="W62" s="358" t="str">
        <f t="shared" ref="W62:W84" si="47">IF(OR(Y62="Kỹ thuật viên đánh máy",Y62="Nhân viên đánh máy",Y62="Nhân viên kỹ thuật",Y62="Nhân viên văn thư",Y62="Nhân viên phục vụ",Y62="Lái xe cơ quan",Y62="Nhân viên bảo vệ"),"Nhân viên",Y62)</f>
        <v>Giảng viên (hạng III)</v>
      </c>
      <c r="X62" s="361" t="e">
        <f t="shared" ref="X62:X84" si="48">IF(W62="Nhân viên","01.005",Z62)</f>
        <v>#REF!</v>
      </c>
      <c r="Y62" s="380" t="s">
        <v>254</v>
      </c>
      <c r="Z62" s="380" t="e">
        <f>VLOOKUP(Y62,#REF!,2,0)</f>
        <v>#REF!</v>
      </c>
      <c r="AA62" s="52" t="e">
        <f t="shared" ref="AA62:AA84" si="49">IF(OR(AND(BC62=36,BB62=3),AND(BC62=24,BB62=2),AND(BC62=12,BB62=1)),"Đến $",IF(OR(AND(BC62&gt;36,BB62=3),AND(BC62&gt;24,BB62=2),AND(BC62&gt;12,BB62=1)),"Dừng $","Lương"))</f>
        <v>#REF!</v>
      </c>
      <c r="AB62" s="180">
        <v>5</v>
      </c>
      <c r="AC62" s="700" t="e">
        <f t="shared" ref="AC62:AC67" si="50">IF(AD62&gt;0,"/")</f>
        <v>#REF!</v>
      </c>
      <c r="AD62" s="43" t="e">
        <f t="shared" ref="AD62:AD67" si="51">IF(OR(BE62=0.18,BE62=0.2),12,IF(BE62=0.31,10,IF(BE62=0.33,9,IF(BE62=0.34,8,IF(BE62=0.36,6)))))</f>
        <v>#REF!</v>
      </c>
      <c r="AE62" s="44" t="e">
        <f t="shared" ref="AE62:AE67" si="52">BD62+(AB62-1)*BE62</f>
        <v>#REF!</v>
      </c>
      <c r="AF62" s="435"/>
      <c r="AG62" s="100"/>
      <c r="AH62" s="673"/>
      <c r="AI62" s="694" t="s">
        <v>200</v>
      </c>
      <c r="AJ62" s="100"/>
      <c r="AK62" s="694" t="s">
        <v>200</v>
      </c>
      <c r="AL62" s="695"/>
      <c r="AM62" s="178"/>
      <c r="AN62" s="53"/>
      <c r="AO62" s="353">
        <f t="shared" ref="AO62:AO80" si="53">AB62+1</f>
        <v>6</v>
      </c>
      <c r="AP62" s="275" t="e">
        <f t="shared" ref="AP62:AP80" si="54">IF(AD62=AB62,"%",IF(AD62&gt;AB62,"/"))</f>
        <v>#REF!</v>
      </c>
      <c r="AQ62" s="84" t="e">
        <f t="shared" ref="AQ62:AQ80" si="55">IF(AND(AD62=AB62,AO62=4),5,IF(AND(AD62=AB62,AO62&gt;4),AO62+1,IF(AD62&gt;AB62,AD62)))</f>
        <v>#REF!</v>
      </c>
      <c r="AR62" s="47" t="e">
        <f t="shared" ref="AR62:AR80" si="56">IF(AD62=AB62,"%",IF(AD62&gt;AB62,AE62+BE62))</f>
        <v>#REF!</v>
      </c>
      <c r="AS62" s="438"/>
      <c r="AT62" s="48" t="s">
        <v>183</v>
      </c>
      <c r="AU62" s="669" t="s">
        <v>200</v>
      </c>
      <c r="AV62" s="49">
        <v>5</v>
      </c>
      <c r="AW62" s="669" t="s">
        <v>200</v>
      </c>
      <c r="AX62" s="50">
        <v>2017</v>
      </c>
      <c r="AY62" s="87"/>
      <c r="AZ62" s="300"/>
      <c r="BA62" s="517"/>
      <c r="BB62" s="51" t="e">
        <f t="shared" ref="BB62:BB84" si="57">IF(AND(AD62&gt;AB62,OR(BE62=0.18,BE62=0.2)),2,IF(AND(AD62&gt;AB62,OR(BE62=0.31,BE62=0.33,BE62=0.34,BE62=0.36)),3,IF(AD62=AB62,1)))</f>
        <v>#REF!</v>
      </c>
      <c r="BC62" s="356">
        <f t="shared" ref="BC62:BC84" si="58">12*($AA$2-AX62)+($AA$3-AV62)-AM62</f>
        <v>-24209</v>
      </c>
      <c r="BD62" s="310" t="e">
        <f>VLOOKUP(Y62,#REF!,3,0)</f>
        <v>#REF!</v>
      </c>
      <c r="BE62" s="310" t="e">
        <f>VLOOKUP(Y62,#REF!,4,0)</f>
        <v>#REF!</v>
      </c>
      <c r="BF62" s="57" t="str">
        <f t="shared" ref="BF62:BF84" si="59">IF(AND(BG62&gt;3,BZ62=12),"Đến %",IF(AND(BG62&gt;3,BZ62&gt;12,BZ62&lt;120),"Dừng %",IF(AND(BG62&gt;3,BZ62&lt;12),"PCTN","o-o-o")))</f>
        <v>PCTN</v>
      </c>
      <c r="BG62" s="58">
        <v>15</v>
      </c>
      <c r="BH62" s="450" t="s">
        <v>178</v>
      </c>
      <c r="BI62" s="60" t="s">
        <v>183</v>
      </c>
      <c r="BJ62" s="677" t="s">
        <v>200</v>
      </c>
      <c r="BK62" s="448">
        <v>5</v>
      </c>
      <c r="BL62" s="677" t="s">
        <v>200</v>
      </c>
      <c r="BM62" s="256">
        <v>2018</v>
      </c>
      <c r="BN62" s="178"/>
      <c r="BO62" s="62"/>
      <c r="BP62" s="59">
        <f t="shared" ref="BP62:BP84" si="60">IF(BG62&gt;3,BG62+1,0)</f>
        <v>16</v>
      </c>
      <c r="BQ62" s="454" t="s">
        <v>178</v>
      </c>
      <c r="BR62" s="60" t="s">
        <v>183</v>
      </c>
      <c r="BS62" s="442"/>
      <c r="BT62" s="1135" t="s">
        <v>200</v>
      </c>
      <c r="BU62" s="445">
        <v>5</v>
      </c>
      <c r="BV62" s="669" t="s">
        <v>200</v>
      </c>
      <c r="BW62" s="50">
        <v>2019</v>
      </c>
      <c r="BX62" s="61"/>
      <c r="BY62" s="177">
        <v>5</v>
      </c>
      <c r="BZ62" s="357">
        <f t="shared" ref="BZ62:BZ84" si="61">IF(BG62&gt;3,(($BF$2-BW62)*12+($BF$3-BU62)-BN62),"- - -")</f>
        <v>-24233</v>
      </c>
      <c r="CA62" s="57" t="str">
        <f t="shared" ref="CA62:CA84" si="62">IF(AND(CW62="Hưu",BG62&gt;3),12-(12*(DC62-BW62)+(DB62-BU62))-BN62,"- - -")</f>
        <v>- - -</v>
      </c>
      <c r="CB62" s="379" t="str">
        <f t="shared" ref="CB62:CB84" si="63">IF(OR(S62="Ban Tổ chức - Cán bộ",S62="Văn phòng Học viện",S62="Phó Giám đốc Thường trực Học viện",S62="Phó Giám đốc Học viện"),"Chánh Văn phòng Học viện, Trưởng Ban Tổ chức - Cán bộ",IF(OR(S62="Trung tâm Ngoại ngữ",S62="Trung tâm Tin học hành chính và Công nghệ thông tin",S62="Trung tâm Tin học - Thư viện",S62="Phân viện khu vực Tây Nguyên"),"Chánh Văn phòng Học viện, Trưởng Ban Tổ chức - Cán bộ, "&amp;CONCATENATE("Giám đốc ",S62),IF(S62="Tạp chí Quản lý nhà nước","Chánh Văn phòng Học viện, Trưởng Ban Tổ chức - Cán bộ, "&amp;CONCATENATE("Tổng Biên tập ",S62),IF(S62="Văn phòng Đảng uỷ Học viện","Chánh Văn phòng Học viện, Trưởng Ban Tổ chức - Cán bộ, "&amp;CONCATENATE("Chánh",S62),IF(S62="Viện Nghiên cứu Khoa học hành chính","Chánh Văn phòng Học viện, Trưởng Ban Tổ chức - Cán bộ, "&amp;CONCATENATE("Viện Trưởng ",S62),IF(OR(S62="Cơ sở Học viện Hành chính Quốc gia khu vực miền Trung",S62="Cơ sở Học viện Hành chính Quốc gia tại Thành phố Hồ Chí Minh"),"Chánh Văn phòng Học viện, Trưởng Ban Tổ chức - Cán bộ, "&amp;CONCATENATE("Thủ trưởng ",S62),"Chánh Văn phòng Học viện, Trưởng Ban Tổ chức - Cán bộ, "&amp;CONCATENATE("Trưởng ",S62)))))))</f>
        <v>Chánh Văn phòng Học viện, Trưởng Ban Tổ chức - Cán bộ, Trưởng Khoa Nhà nước - Pháp luật và Lý luận cơ sở</v>
      </c>
      <c r="CC62" s="63" t="str">
        <f t="shared" ref="CC62:CC84" si="64">IF(S62="Cơ sở Học viện Hành chính khu vực miền Trung","B",IF(S62="Phân viện Khu vực Tây Nguyên","C",IF(S62="Cơ sở Học viện Hành chính tại thành phố Hồ Chí Minh","D","A")))</f>
        <v>A</v>
      </c>
      <c r="CD62" s="41" t="e">
        <f t="shared" ref="CD62:CD80" si="65">IF(AND(AO62&gt;0,AB62&lt;(AD62-1),CE62&gt;0,CE62&lt;13,OR(AND(CK62="Cùg Ng",($CD$2-CG62)&gt;BB62),CK62="- - -")),"Sớm TT","=&gt; s")</f>
        <v>#REF!</v>
      </c>
      <c r="CE62" s="52" t="e">
        <f t="shared" ref="CE62:CE84" si="66">IF(BB62=3,36-(12*($CD$2-AX62)+(12-AV62)-AM62),IF(BB62=2,24-(12*($CD$2-AX62)+(12-AV62)-AM62),"---"))</f>
        <v>#REF!</v>
      </c>
      <c r="CF62" s="35" t="str">
        <f t="shared" ref="CF62:CF84" si="67">IF(CG62&gt;1,"S","---")</f>
        <v>S</v>
      </c>
      <c r="CG62" s="35">
        <v>2013</v>
      </c>
      <c r="CH62" s="367" t="s">
        <v>250</v>
      </c>
      <c r="CI62" s="35"/>
      <c r="CJ62" s="102"/>
      <c r="CK62" s="35" t="e">
        <f t="shared" ref="CK62:CK84" si="68">IF(X62=CH62,"Cùg Ng","- - -")</f>
        <v>#REF!</v>
      </c>
      <c r="CL62" s="55" t="str">
        <f t="shared" ref="CL62:CL84" si="69">IF(CN62&gt;2000,"NN","- - -")</f>
        <v>- - -</v>
      </c>
      <c r="CM62" s="65"/>
      <c r="CN62" s="66"/>
      <c r="CO62" s="65"/>
      <c r="CP62" s="80"/>
      <c r="CQ62" s="55" t="str">
        <f t="shared" ref="CQ62:CQ84" si="70">IF(CS62&gt;2000,"CN","- - -")</f>
        <v>- - -</v>
      </c>
      <c r="CR62" s="65"/>
      <c r="CS62" s="66"/>
      <c r="CT62" s="65"/>
      <c r="CU62" s="80"/>
      <c r="CV62" s="69" t="e">
        <f t="shared" ref="CV62:CV84" si="71">IF(AND(CW62="Hưu",AB62&lt;(AD62-1),DD62&gt;0,DD62&lt;18,OR(BG62&lt;4,AND(BG62&gt;3,OR(CA62&lt;3,CA62&gt;5)))),"Lg Sớm",IF(AND(CW62="Hưu",AB62&gt;(AD62-2),OR(BE62=0.33,BE62=0.34),OR(BG62&lt;4,AND(BG62&gt;3,OR(CA62&lt;3,CA62&gt;5)))),"Nâng Ngạch",IF(AND(CW62="Hưu",BB62=1,DD62&gt;2,DD62&lt;6,OR(BG62&lt;4,AND(BG62&gt;3,OR(CA62&lt;3,CA62&gt;5)))),"Nâng PcVK cùng QĐ",IF(AND(CW62="Hưu",BG62&gt;3,CA62&gt;2,CA62&lt;6,AB62&lt;(AD62-1),DD62&gt;17,OR(BB62&gt;1,AND(BB62=1,OR(DD62&lt;3,DD62&gt;5)))),"Nâng PcNG cùng QĐ",IF(AND(CW62="Hưu",AB62&lt;(AD62-1),DD62&gt;0,DD62&lt;18,BG62&gt;3,CA62&gt;2,CA62&lt;6),"Nâng Lg Sớm +(PcNG cùng QĐ)",IF(AND(CW62="Hưu",AB62&gt;(AD62-2),OR(BE62=0.33,BE62=0.34),BG62&gt;3,CA62&gt;2,CA62&lt;6),"Nâng Ngạch +(PcNG cùng QĐ)",IF(AND(CW62="Hưu",BB62=1,DD62&gt;2,DD62&lt;6,BG62&gt;3,CA62&gt;2,CA62&lt;6),"Nâng (PcVK +PcNG) cùng QĐ",("---"))))))))</f>
        <v>#REF!</v>
      </c>
      <c r="CW62" s="70" t="str">
        <f t="shared" ref="CW62:CW84" si="72">IF(AND(DH62&gt;DG62,DH62&lt;(DG62+13)),"Hưu",IF(AND(DH62&gt;(DG62+12),DH62&lt;1000),"Quá","/-/ /-/"))</f>
        <v>/-/ /-/</v>
      </c>
      <c r="CX62" s="67">
        <f t="shared" ref="CX62:CX84" si="73">IF((I62+0)&lt;12,(I62+0)+1,IF((I62+0)=12,1,IF((I62+0)&gt;12,(I62+0)-12)))</f>
        <v>4</v>
      </c>
      <c r="CY62" s="68">
        <f t="shared" ref="CY62:CY84" si="74">IF(OR((I62+0)=12,(I62+0)&gt;12),K62+DG62/12+1,IF(AND((I62+0)&gt;0,(I62+0)&lt;12),K62+DG62/12,"---"))</f>
        <v>2031</v>
      </c>
      <c r="CZ62" s="67">
        <f t="shared" ref="CZ62:CZ84" si="75">IF(AND(CX62&gt;3,CX62&lt;13),CX62-3,IF(CX62&lt;4,CX62-3+12))</f>
        <v>1</v>
      </c>
      <c r="DA62" s="68">
        <f t="shared" ref="DA62:DA84" si="76">IF(CZ62&lt;CX62,CY62,IF(CZ62&gt;CX62,CY62-1))</f>
        <v>2031</v>
      </c>
      <c r="DB62" s="67">
        <f t="shared" ref="DB62:DB84" si="77">IF(CX62&gt;6,CX62-6,IF(CX62=6,12,IF(CX62&lt;6,CX62+6)))</f>
        <v>10</v>
      </c>
      <c r="DC62" s="68">
        <f t="shared" ref="DC62:DC84" si="78">IF(CX62&gt;6,CY62,IF(CX62&lt;7,CY62-1))</f>
        <v>2030</v>
      </c>
      <c r="DD62" s="71" t="e">
        <f t="shared" ref="DD62:DD84" si="79">IF(AND(CW62="Hưu",BB62=3),36+AM62-(12*(DC62-AX62)+(DB62-AV62)),IF(AND(CW62="Hưu",BB62=2),24+AM62-(12*(DC62-AX62)+(DB62-AV62)),IF(AND(CW62="Hưu",BB62=1),12+AM62-(12*(DC62-AX62)+(DB62-AV62)),"- - -")))</f>
        <v>#REF!</v>
      </c>
      <c r="DE62" s="72" t="str">
        <f t="shared" ref="DE62:DE84" si="80">IF(DF62&gt;0,"K.Dài",". .")</f>
        <v>. .</v>
      </c>
      <c r="DF62" s="72"/>
      <c r="DG62" s="52">
        <f t="shared" ref="DG62:DG84" si="81">IF(F62="Nam",(60+DF62)*12,IF(F62="Nữ",(55+DF62)*12,))</f>
        <v>660</v>
      </c>
      <c r="DH62" s="52">
        <f t="shared" ref="DH62:DH84" si="82">12*($CW$4-K62)+(12-I62)</f>
        <v>-23703</v>
      </c>
      <c r="DI62" s="52">
        <f t="shared" ref="DI62:DI84" si="83">$DM$4-K62</f>
        <v>-1976</v>
      </c>
      <c r="DJ62" s="52" t="str">
        <f t="shared" ref="DJ62:DJ84" si="84">IF(AND(DI62&lt;35,F62="Nam"),"Nam dưới 35",IF(AND(DI62&lt;30,F62="Nữ"),"Nữ dưới 30",IF(AND(DI62&gt;34,DI62&lt;46,F62="Nam"),"Nam từ 35 - 45",IF(AND(DI62&gt;29,DI62&lt;41,F62="Nữ"),"Nữ từ 30 - 40",IF(AND(DI62&gt;45,DI62&lt;56,F62="Nam"),"Nam trên 45 - 55",IF(AND(DI62&gt;40,DI62&lt;51,F62="Nữ"),"Nữ trên 40 - 50",IF(AND(DI62&gt;55,F62="Nam"),"Nam trên 55","Nữ trên 50")))))))</f>
        <v>Nữ dưới 30</v>
      </c>
      <c r="DK62" s="52"/>
      <c r="DL62" s="52"/>
      <c r="DM62" s="57" t="str">
        <f t="shared" ref="DM62:DM84" si="85">IF(DI62&lt;31,"Đến 30",IF(AND(DI62&gt;30,DI62&lt;46),"31 - 45",IF(AND(DI62&gt;45,DI62&lt;70),"Trên 45")))</f>
        <v>Đến 30</v>
      </c>
      <c r="DN62" s="65" t="str">
        <f t="shared" ref="DN62:DN84" si="86">IF(DO62&gt;0,"TD","--")</f>
        <v>TD</v>
      </c>
      <c r="DO62" s="36">
        <v>2009</v>
      </c>
      <c r="DP62" s="35"/>
      <c r="DQ62" s="73"/>
      <c r="DR62" s="36"/>
      <c r="DS62" s="80"/>
      <c r="DT62" s="81"/>
      <c r="DU62" s="82"/>
      <c r="DV62" s="75"/>
      <c r="DW62" s="87"/>
      <c r="DX62" s="37" t="s">
        <v>226</v>
      </c>
      <c r="DY62" s="378" t="s">
        <v>78</v>
      </c>
      <c r="DZ62" s="37" t="s">
        <v>226</v>
      </c>
      <c r="EA62" s="48" t="s">
        <v>183</v>
      </c>
      <c r="EB62" s="49" t="s">
        <v>200</v>
      </c>
      <c r="EC62" s="49">
        <v>5</v>
      </c>
      <c r="ED62" s="49" t="s">
        <v>200</v>
      </c>
      <c r="EE62" s="76">
        <v>2014</v>
      </c>
      <c r="EF62" s="49">
        <f t="shared" ref="EF62:EF84" si="87">(EA62+0)-(EH62+0)</f>
        <v>0</v>
      </c>
      <c r="EG62" s="77" t="str">
        <f t="shared" ref="EG62:EG84" si="88">IF(EF62&gt;0,"Sửa","- - -")</f>
        <v>- - -</v>
      </c>
      <c r="EH62" s="48" t="s">
        <v>183</v>
      </c>
      <c r="EI62" s="49" t="s">
        <v>200</v>
      </c>
      <c r="EJ62" s="49">
        <v>5</v>
      </c>
      <c r="EK62" s="49" t="s">
        <v>200</v>
      </c>
      <c r="EL62" s="76">
        <v>2014</v>
      </c>
      <c r="EM62" s="35"/>
      <c r="EN62" s="55" t="e">
        <f t="shared" ref="EN62:EN80" si="89">IF(AND(BE62&gt;0.34,AO62=1,OR(BD62=6.2,BD62=5.75)),((BD62-EM62)-2*0.34),IF(AND(BE62&gt;0.33,AO62=1,OR(BD62=4.4,BD62=4)),((BD62-EM62)-2*0.33),"- - -"))</f>
        <v>#REF!</v>
      </c>
      <c r="EO62" s="78" t="str">
        <f t="shared" ref="EO62:EO84" si="90">IF(CW62="Hưu",12*(DC62-AX62)+(DB62-AV62),"---")</f>
        <v>---</v>
      </c>
      <c r="EP62" s="87"/>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row>
    <row r="63" spans="1:175" s="253" customFormat="1" ht="12.75" customHeight="1" x14ac:dyDescent="0.2">
      <c r="A63" s="98">
        <v>249</v>
      </c>
      <c r="B63" s="937">
        <v>11</v>
      </c>
      <c r="C63" s="35"/>
      <c r="D63" s="35" t="str">
        <f t="shared" si="44"/>
        <v>Bà</v>
      </c>
      <c r="E63" s="40" t="s">
        <v>21</v>
      </c>
      <c r="F63" s="35" t="s">
        <v>221</v>
      </c>
      <c r="G63" s="64" t="s">
        <v>131</v>
      </c>
      <c r="H63" s="1024" t="s">
        <v>200</v>
      </c>
      <c r="I63" s="64">
        <v>6</v>
      </c>
      <c r="J63" s="1024" t="s">
        <v>200</v>
      </c>
      <c r="K63" s="40">
        <v>1977</v>
      </c>
      <c r="L63" s="210" t="s">
        <v>264</v>
      </c>
      <c r="M63" s="1047" t="str">
        <f t="shared" si="45"/>
        <v>VC</v>
      </c>
      <c r="N63" s="223"/>
      <c r="O63" s="1025" t="e">
        <f t="shared" si="46"/>
        <v>#REF!</v>
      </c>
      <c r="P63" s="40" t="s">
        <v>121</v>
      </c>
      <c r="Q63" s="359" t="e">
        <f>VLOOKUP(P63,#REF!,2,0)</f>
        <v>#REF!</v>
      </c>
      <c r="R63" s="1032" t="s">
        <v>81</v>
      </c>
      <c r="S63" s="378" t="s">
        <v>325</v>
      </c>
      <c r="T63" s="38" t="e">
        <f>VLOOKUP(Y63,#REF!,5,0)</f>
        <v>#REF!</v>
      </c>
      <c r="U63" s="39" t="e">
        <f>VLOOKUP(Y63,#REF!,6,0)</f>
        <v>#REF!</v>
      </c>
      <c r="V63" s="1059" t="s">
        <v>248</v>
      </c>
      <c r="W63" s="358" t="str">
        <f t="shared" si="47"/>
        <v>Giảng viên (hạng III)</v>
      </c>
      <c r="X63" s="361" t="e">
        <f t="shared" si="48"/>
        <v>#REF!</v>
      </c>
      <c r="Y63" s="380" t="s">
        <v>254</v>
      </c>
      <c r="Z63" s="380" t="e">
        <f>VLOOKUP(Y63,#REF!,2,0)</f>
        <v>#REF!</v>
      </c>
      <c r="AA63" s="52" t="e">
        <f t="shared" si="49"/>
        <v>#REF!</v>
      </c>
      <c r="AB63" s="180">
        <v>5</v>
      </c>
      <c r="AC63" s="700" t="e">
        <f t="shared" si="50"/>
        <v>#REF!</v>
      </c>
      <c r="AD63" s="43" t="e">
        <f t="shared" si="51"/>
        <v>#REF!</v>
      </c>
      <c r="AE63" s="44" t="e">
        <f t="shared" si="52"/>
        <v>#REF!</v>
      </c>
      <c r="AF63" s="435"/>
      <c r="AG63" s="100"/>
      <c r="AH63" s="673"/>
      <c r="AI63" s="694" t="s">
        <v>200</v>
      </c>
      <c r="AJ63" s="100"/>
      <c r="AK63" s="694" t="s">
        <v>200</v>
      </c>
      <c r="AL63" s="695"/>
      <c r="AM63" s="178"/>
      <c r="AN63" s="53"/>
      <c r="AO63" s="353">
        <f t="shared" si="53"/>
        <v>6</v>
      </c>
      <c r="AP63" s="275" t="e">
        <f t="shared" si="54"/>
        <v>#REF!</v>
      </c>
      <c r="AQ63" s="84" t="e">
        <f t="shared" si="55"/>
        <v>#REF!</v>
      </c>
      <c r="AR63" s="47" t="e">
        <f t="shared" si="56"/>
        <v>#REF!</v>
      </c>
      <c r="AS63" s="438"/>
      <c r="AT63" s="48" t="s">
        <v>183</v>
      </c>
      <c r="AU63" s="669" t="s">
        <v>200</v>
      </c>
      <c r="AV63" s="49" t="s">
        <v>211</v>
      </c>
      <c r="AW63" s="669" t="s">
        <v>200</v>
      </c>
      <c r="AX63" s="50">
        <v>2016</v>
      </c>
      <c r="AY63" s="87"/>
      <c r="AZ63" s="300"/>
      <c r="BA63" s="517"/>
      <c r="BB63" s="51" t="e">
        <f t="shared" si="57"/>
        <v>#REF!</v>
      </c>
      <c r="BC63" s="356">
        <f t="shared" si="58"/>
        <v>-24203</v>
      </c>
      <c r="BD63" s="310" t="e">
        <f>VLOOKUP(Y63,#REF!,3,0)</f>
        <v>#REF!</v>
      </c>
      <c r="BE63" s="310" t="e">
        <f>VLOOKUP(Y63,#REF!,4,0)</f>
        <v>#REF!</v>
      </c>
      <c r="BF63" s="57" t="str">
        <f t="shared" si="59"/>
        <v>PCTN</v>
      </c>
      <c r="BG63" s="58">
        <v>15</v>
      </c>
      <c r="BH63" s="450" t="s">
        <v>178</v>
      </c>
      <c r="BI63" s="60" t="s">
        <v>183</v>
      </c>
      <c r="BJ63" s="677" t="s">
        <v>200</v>
      </c>
      <c r="BK63" s="448">
        <v>5</v>
      </c>
      <c r="BL63" s="677" t="s">
        <v>200</v>
      </c>
      <c r="BM63" s="256">
        <v>2018</v>
      </c>
      <c r="BN63" s="178"/>
      <c r="BO63" s="62"/>
      <c r="BP63" s="59">
        <f t="shared" si="60"/>
        <v>16</v>
      </c>
      <c r="BQ63" s="454" t="s">
        <v>178</v>
      </c>
      <c r="BR63" s="60" t="s">
        <v>183</v>
      </c>
      <c r="BS63" s="442"/>
      <c r="BT63" s="1135" t="s">
        <v>200</v>
      </c>
      <c r="BU63" s="445">
        <v>5</v>
      </c>
      <c r="BV63" s="669" t="s">
        <v>200</v>
      </c>
      <c r="BW63" s="50">
        <v>2019</v>
      </c>
      <c r="BX63" s="61"/>
      <c r="BY63" s="177">
        <v>5</v>
      </c>
      <c r="BZ63" s="357">
        <f t="shared" si="61"/>
        <v>-24233</v>
      </c>
      <c r="CA63" s="57" t="str">
        <f t="shared" si="62"/>
        <v>- - -</v>
      </c>
      <c r="CB63" s="379" t="str">
        <f t="shared" si="63"/>
        <v>Chánh Văn phòng Học viện, Trưởng Ban Tổ chức - Cán bộ, Trưởng Khoa Quản lý nhà nước về Kinh tế và Tài chính công</v>
      </c>
      <c r="CC63" s="63" t="str">
        <f t="shared" si="64"/>
        <v>A</v>
      </c>
      <c r="CD63" s="41" t="e">
        <f t="shared" si="65"/>
        <v>#REF!</v>
      </c>
      <c r="CE63" s="52" t="e">
        <f t="shared" si="66"/>
        <v>#REF!</v>
      </c>
      <c r="CF63" s="35" t="str">
        <f t="shared" si="67"/>
        <v>S</v>
      </c>
      <c r="CG63" s="35">
        <v>2010</v>
      </c>
      <c r="CH63" s="367" t="s">
        <v>250</v>
      </c>
      <c r="CI63" s="35"/>
      <c r="CJ63" s="102"/>
      <c r="CK63" s="35" t="e">
        <f t="shared" si="68"/>
        <v>#REF!</v>
      </c>
      <c r="CL63" s="55" t="str">
        <f t="shared" si="69"/>
        <v>- - -</v>
      </c>
      <c r="CM63" s="65"/>
      <c r="CN63" s="66"/>
      <c r="CO63" s="65"/>
      <c r="CP63" s="80"/>
      <c r="CQ63" s="55" t="str">
        <f t="shared" si="70"/>
        <v>- - -</v>
      </c>
      <c r="CR63" s="65"/>
      <c r="CS63" s="66"/>
      <c r="CT63" s="65"/>
      <c r="CU63" s="80"/>
      <c r="CV63" s="69" t="e">
        <f t="shared" si="71"/>
        <v>#REF!</v>
      </c>
      <c r="CW63" s="70" t="str">
        <f t="shared" si="72"/>
        <v>/-/ /-/</v>
      </c>
      <c r="CX63" s="67">
        <f t="shared" si="73"/>
        <v>7</v>
      </c>
      <c r="CY63" s="68">
        <f t="shared" si="74"/>
        <v>2032</v>
      </c>
      <c r="CZ63" s="67">
        <f t="shared" si="75"/>
        <v>4</v>
      </c>
      <c r="DA63" s="68">
        <f t="shared" si="76"/>
        <v>2032</v>
      </c>
      <c r="DB63" s="67">
        <f t="shared" si="77"/>
        <v>1</v>
      </c>
      <c r="DC63" s="68">
        <f t="shared" si="78"/>
        <v>2032</v>
      </c>
      <c r="DD63" s="71" t="e">
        <f t="shared" si="79"/>
        <v>#REF!</v>
      </c>
      <c r="DE63" s="72" t="str">
        <f t="shared" si="80"/>
        <v>. .</v>
      </c>
      <c r="DF63" s="72"/>
      <c r="DG63" s="52">
        <f t="shared" si="81"/>
        <v>660</v>
      </c>
      <c r="DH63" s="52">
        <f t="shared" si="82"/>
        <v>-23718</v>
      </c>
      <c r="DI63" s="52">
        <f t="shared" si="83"/>
        <v>-1977</v>
      </c>
      <c r="DJ63" s="52" t="str">
        <f t="shared" si="84"/>
        <v>Nữ dưới 30</v>
      </c>
      <c r="DK63" s="52"/>
      <c r="DL63" s="52"/>
      <c r="DM63" s="57" t="str">
        <f t="shared" si="85"/>
        <v>Đến 30</v>
      </c>
      <c r="DN63" s="192" t="str">
        <f t="shared" si="86"/>
        <v>TD</v>
      </c>
      <c r="DO63" s="191">
        <v>2008</v>
      </c>
      <c r="DP63" s="35"/>
      <c r="DQ63" s="191"/>
      <c r="DR63" s="36"/>
      <c r="DS63" s="80"/>
      <c r="DT63" s="81"/>
      <c r="DU63" s="82"/>
      <c r="DV63" s="75"/>
      <c r="DW63" s="87"/>
      <c r="DX63" s="37" t="s">
        <v>81</v>
      </c>
      <c r="DY63" s="378" t="s">
        <v>68</v>
      </c>
      <c r="DZ63" s="37" t="s">
        <v>81</v>
      </c>
      <c r="EA63" s="48" t="s">
        <v>183</v>
      </c>
      <c r="EB63" s="49" t="s">
        <v>200</v>
      </c>
      <c r="EC63" s="49" t="s">
        <v>211</v>
      </c>
      <c r="ED63" s="49" t="s">
        <v>200</v>
      </c>
      <c r="EE63" s="76">
        <v>2013</v>
      </c>
      <c r="EF63" s="49">
        <f t="shared" si="87"/>
        <v>0</v>
      </c>
      <c r="EG63" s="77" t="str">
        <f t="shared" si="88"/>
        <v>- - -</v>
      </c>
      <c r="EH63" s="48" t="s">
        <v>183</v>
      </c>
      <c r="EI63" s="49" t="s">
        <v>200</v>
      </c>
      <c r="EJ63" s="49" t="s">
        <v>211</v>
      </c>
      <c r="EK63" s="49" t="s">
        <v>200</v>
      </c>
      <c r="EL63" s="76">
        <v>2013</v>
      </c>
      <c r="EM63" s="35"/>
      <c r="EN63" s="55" t="e">
        <f t="shared" si="89"/>
        <v>#REF!</v>
      </c>
      <c r="EO63" s="78" t="str">
        <f t="shared" si="90"/>
        <v>---</v>
      </c>
      <c r="EP63" s="87"/>
      <c r="EQ63" s="79"/>
      <c r="ER63" s="79"/>
      <c r="ES63" s="79"/>
      <c r="ET63" s="79"/>
      <c r="EU63" s="79"/>
      <c r="EV63" s="79"/>
      <c r="EW63" s="79"/>
      <c r="EX63" s="79"/>
      <c r="EY63" s="79"/>
      <c r="EZ63" s="79"/>
      <c r="FA63" s="79"/>
      <c r="FB63" s="79"/>
      <c r="FC63" s="79"/>
      <c r="FD63" s="79"/>
      <c r="FE63" s="79"/>
      <c r="FF63" s="79"/>
      <c r="FG63" s="79"/>
      <c r="FH63" s="79"/>
      <c r="FI63" s="79"/>
      <c r="FJ63" s="79"/>
      <c r="FK63" s="79"/>
      <c r="FL63" s="79"/>
      <c r="FM63" s="79"/>
      <c r="FN63" s="79"/>
      <c r="FO63" s="79"/>
      <c r="FP63" s="79"/>
      <c r="FQ63" s="79"/>
      <c r="FR63" s="79"/>
      <c r="FS63" s="79"/>
    </row>
    <row r="64" spans="1:175" s="79" customFormat="1" ht="11.25" customHeight="1" x14ac:dyDescent="0.2">
      <c r="A64" s="98">
        <v>256</v>
      </c>
      <c r="B64" s="937">
        <v>12</v>
      </c>
      <c r="C64" s="35"/>
      <c r="D64" s="35" t="str">
        <f t="shared" si="44"/>
        <v>Bà</v>
      </c>
      <c r="E64" s="40" t="s">
        <v>17</v>
      </c>
      <c r="F64" s="35" t="s">
        <v>221</v>
      </c>
      <c r="G64" s="64" t="s">
        <v>137</v>
      </c>
      <c r="H64" s="1024" t="s">
        <v>200</v>
      </c>
      <c r="I64" s="64" t="s">
        <v>184</v>
      </c>
      <c r="J64" s="1024" t="s">
        <v>200</v>
      </c>
      <c r="K64" s="40">
        <v>1978</v>
      </c>
      <c r="L64" s="210" t="s">
        <v>264</v>
      </c>
      <c r="M64" s="1047" t="str">
        <f t="shared" si="45"/>
        <v>VC</v>
      </c>
      <c r="N64" s="223"/>
      <c r="O64" s="1025" t="e">
        <f t="shared" si="46"/>
        <v>#REF!</v>
      </c>
      <c r="P64" s="40"/>
      <c r="Q64" s="359" t="e">
        <f>VLOOKUP(P64,#REF!,2,0)</f>
        <v>#REF!</v>
      </c>
      <c r="R64" s="1032" t="s">
        <v>204</v>
      </c>
      <c r="S64" s="378" t="s">
        <v>325</v>
      </c>
      <c r="T64" s="38" t="e">
        <f>VLOOKUP(Y64,#REF!,5,0)</f>
        <v>#REF!</v>
      </c>
      <c r="U64" s="39" t="e">
        <f>VLOOKUP(Y64,#REF!,6,0)</f>
        <v>#REF!</v>
      </c>
      <c r="V64" s="1059" t="s">
        <v>248</v>
      </c>
      <c r="W64" s="358" t="str">
        <f t="shared" si="47"/>
        <v>Giảng viên (hạng III)</v>
      </c>
      <c r="X64" s="361" t="e">
        <f t="shared" si="48"/>
        <v>#REF!</v>
      </c>
      <c r="Y64" s="380" t="s">
        <v>254</v>
      </c>
      <c r="Z64" s="380" t="e">
        <f>VLOOKUP(Y64,#REF!,2,0)</f>
        <v>#REF!</v>
      </c>
      <c r="AA64" s="52" t="e">
        <f t="shared" si="49"/>
        <v>#REF!</v>
      </c>
      <c r="AB64" s="180">
        <v>5</v>
      </c>
      <c r="AC64" s="700" t="e">
        <f t="shared" si="50"/>
        <v>#REF!</v>
      </c>
      <c r="AD64" s="43" t="e">
        <f t="shared" si="51"/>
        <v>#REF!</v>
      </c>
      <c r="AE64" s="44" t="e">
        <f t="shared" si="52"/>
        <v>#REF!</v>
      </c>
      <c r="AF64" s="435"/>
      <c r="AG64" s="100"/>
      <c r="AH64" s="673" t="s">
        <v>183</v>
      </c>
      <c r="AI64" s="694" t="s">
        <v>200</v>
      </c>
      <c r="AJ64" s="100" t="s">
        <v>185</v>
      </c>
      <c r="AK64" s="694" t="s">
        <v>200</v>
      </c>
      <c r="AL64" s="695">
        <v>2015</v>
      </c>
      <c r="AM64" s="178"/>
      <c r="AN64" s="53"/>
      <c r="AO64" s="353">
        <f t="shared" si="53"/>
        <v>6</v>
      </c>
      <c r="AP64" s="275" t="e">
        <f t="shared" si="54"/>
        <v>#REF!</v>
      </c>
      <c r="AQ64" s="84" t="e">
        <f t="shared" si="55"/>
        <v>#REF!</v>
      </c>
      <c r="AR64" s="47" t="e">
        <f t="shared" si="56"/>
        <v>#REF!</v>
      </c>
      <c r="AS64" s="438"/>
      <c r="AT64" s="48" t="s">
        <v>183</v>
      </c>
      <c r="AU64" s="669" t="s">
        <v>200</v>
      </c>
      <c r="AV64" s="49" t="s">
        <v>185</v>
      </c>
      <c r="AW64" s="669" t="s">
        <v>200</v>
      </c>
      <c r="AX64" s="256">
        <v>2018</v>
      </c>
      <c r="AY64" s="101"/>
      <c r="AZ64" s="509"/>
      <c r="BA64" s="519">
        <v>5.18</v>
      </c>
      <c r="BB64" s="51" t="e">
        <f t="shared" si="57"/>
        <v>#REF!</v>
      </c>
      <c r="BC64" s="356">
        <f t="shared" si="58"/>
        <v>-24221</v>
      </c>
      <c r="BD64" s="310" t="e">
        <f>VLOOKUP(Y64,#REF!,3,0)</f>
        <v>#REF!</v>
      </c>
      <c r="BE64" s="310" t="e">
        <f>VLOOKUP(Y64,#REF!,4,0)</f>
        <v>#REF!</v>
      </c>
      <c r="BF64" s="57" t="str">
        <f t="shared" si="59"/>
        <v>PCTN</v>
      </c>
      <c r="BG64" s="58">
        <v>14</v>
      </c>
      <c r="BH64" s="450" t="s">
        <v>178</v>
      </c>
      <c r="BI64" s="60" t="s">
        <v>183</v>
      </c>
      <c r="BJ64" s="677" t="s">
        <v>200</v>
      </c>
      <c r="BK64" s="448">
        <v>5</v>
      </c>
      <c r="BL64" s="677" t="s">
        <v>200</v>
      </c>
      <c r="BM64" s="256">
        <v>2018</v>
      </c>
      <c r="BN64" s="178"/>
      <c r="BO64" s="62"/>
      <c r="BP64" s="59">
        <f t="shared" si="60"/>
        <v>15</v>
      </c>
      <c r="BQ64" s="454" t="s">
        <v>178</v>
      </c>
      <c r="BR64" s="60" t="s">
        <v>183</v>
      </c>
      <c r="BS64" s="442"/>
      <c r="BT64" s="1135" t="s">
        <v>200</v>
      </c>
      <c r="BU64" s="445">
        <v>5</v>
      </c>
      <c r="BV64" s="669" t="s">
        <v>200</v>
      </c>
      <c r="BW64" s="50">
        <v>2019</v>
      </c>
      <c r="BX64" s="61"/>
      <c r="BY64" s="177">
        <v>5</v>
      </c>
      <c r="BZ64" s="357">
        <f t="shared" si="61"/>
        <v>-24233</v>
      </c>
      <c r="CA64" s="57" t="str">
        <f t="shared" si="62"/>
        <v>- - -</v>
      </c>
      <c r="CB64" s="379" t="str">
        <f t="shared" si="63"/>
        <v>Chánh Văn phòng Học viện, Trưởng Ban Tổ chức - Cán bộ, Trưởng Khoa Quản lý nhà nước về Kinh tế và Tài chính công</v>
      </c>
      <c r="CC64" s="63" t="str">
        <f t="shared" si="64"/>
        <v>A</v>
      </c>
      <c r="CD64" s="41" t="e">
        <f t="shared" si="65"/>
        <v>#REF!</v>
      </c>
      <c r="CE64" s="52" t="e">
        <f t="shared" si="66"/>
        <v>#REF!</v>
      </c>
      <c r="CF64" s="35" t="str">
        <f t="shared" si="67"/>
        <v>S</v>
      </c>
      <c r="CG64" s="35">
        <v>2012</v>
      </c>
      <c r="CH64" s="367" t="s">
        <v>250</v>
      </c>
      <c r="CI64" s="35"/>
      <c r="CJ64" s="102"/>
      <c r="CK64" s="35" t="e">
        <f t="shared" si="68"/>
        <v>#REF!</v>
      </c>
      <c r="CL64" s="55" t="str">
        <f t="shared" si="69"/>
        <v>- - -</v>
      </c>
      <c r="CM64" s="65"/>
      <c r="CN64" s="66"/>
      <c r="CO64" s="65"/>
      <c r="CP64" s="80"/>
      <c r="CQ64" s="55" t="str">
        <f t="shared" si="70"/>
        <v>- - -</v>
      </c>
      <c r="CR64" s="65"/>
      <c r="CS64" s="36"/>
      <c r="CT64" s="65"/>
      <c r="CU64" s="80"/>
      <c r="CV64" s="69" t="e">
        <f t="shared" si="71"/>
        <v>#REF!</v>
      </c>
      <c r="CW64" s="70" t="str">
        <f t="shared" si="72"/>
        <v>/-/ /-/</v>
      </c>
      <c r="CX64" s="67">
        <f t="shared" si="73"/>
        <v>3</v>
      </c>
      <c r="CY64" s="68">
        <f t="shared" si="74"/>
        <v>2033</v>
      </c>
      <c r="CZ64" s="67">
        <f t="shared" si="75"/>
        <v>12</v>
      </c>
      <c r="DA64" s="68">
        <f t="shared" si="76"/>
        <v>2032</v>
      </c>
      <c r="DB64" s="67">
        <f t="shared" si="77"/>
        <v>9</v>
      </c>
      <c r="DC64" s="68">
        <f t="shared" si="78"/>
        <v>2032</v>
      </c>
      <c r="DD64" s="71" t="e">
        <f t="shared" si="79"/>
        <v>#REF!</v>
      </c>
      <c r="DE64" s="72" t="str">
        <f t="shared" si="80"/>
        <v>. .</v>
      </c>
      <c r="DF64" s="72"/>
      <c r="DG64" s="52">
        <f t="shared" si="81"/>
        <v>660</v>
      </c>
      <c r="DH64" s="52">
        <f t="shared" si="82"/>
        <v>-23726</v>
      </c>
      <c r="DI64" s="52">
        <f t="shared" si="83"/>
        <v>-1978</v>
      </c>
      <c r="DJ64" s="52" t="str">
        <f t="shared" si="84"/>
        <v>Nữ dưới 30</v>
      </c>
      <c r="DK64" s="52"/>
      <c r="DL64" s="52"/>
      <c r="DM64" s="57" t="str">
        <f t="shared" si="85"/>
        <v>Đến 30</v>
      </c>
      <c r="DN64" s="192" t="str">
        <f t="shared" si="86"/>
        <v>--</v>
      </c>
      <c r="DO64" s="191"/>
      <c r="DP64" s="35"/>
      <c r="DQ64" s="191"/>
      <c r="DR64" s="36"/>
      <c r="DS64" s="80"/>
      <c r="DT64" s="81"/>
      <c r="DU64" s="82"/>
      <c r="DV64" s="75"/>
      <c r="DW64" s="87"/>
      <c r="DX64" s="37" t="s">
        <v>204</v>
      </c>
      <c r="DY64" s="378" t="s">
        <v>68</v>
      </c>
      <c r="DZ64" s="37" t="s">
        <v>204</v>
      </c>
      <c r="EA64" s="48" t="s">
        <v>183</v>
      </c>
      <c r="EB64" s="49" t="s">
        <v>200</v>
      </c>
      <c r="EC64" s="49" t="s">
        <v>185</v>
      </c>
      <c r="ED64" s="49" t="s">
        <v>200</v>
      </c>
      <c r="EE64" s="76">
        <v>2012</v>
      </c>
      <c r="EF64" s="49">
        <f t="shared" si="87"/>
        <v>0</v>
      </c>
      <c r="EG64" s="77" t="str">
        <f t="shared" si="88"/>
        <v>- - -</v>
      </c>
      <c r="EH64" s="48" t="s">
        <v>183</v>
      </c>
      <c r="EI64" s="49" t="s">
        <v>200</v>
      </c>
      <c r="EJ64" s="49" t="s">
        <v>185</v>
      </c>
      <c r="EK64" s="49" t="s">
        <v>200</v>
      </c>
      <c r="EL64" s="76">
        <v>2012</v>
      </c>
      <c r="EM64" s="35"/>
      <c r="EN64" s="55" t="e">
        <f t="shared" si="89"/>
        <v>#REF!</v>
      </c>
      <c r="EO64" s="78" t="str">
        <f t="shared" si="90"/>
        <v>---</v>
      </c>
      <c r="EP64" s="87"/>
    </row>
    <row r="65" spans="1:175" s="347" customFormat="1" ht="11.25" customHeight="1" x14ac:dyDescent="0.2">
      <c r="A65" s="98">
        <v>268</v>
      </c>
      <c r="B65" s="937">
        <v>13</v>
      </c>
      <c r="C65" s="35"/>
      <c r="D65" s="35" t="str">
        <f t="shared" si="44"/>
        <v>Bà</v>
      </c>
      <c r="E65" s="40" t="s">
        <v>23</v>
      </c>
      <c r="F65" s="35" t="s">
        <v>221</v>
      </c>
      <c r="G65" s="64" t="s">
        <v>191</v>
      </c>
      <c r="H65" s="1024" t="s">
        <v>200</v>
      </c>
      <c r="I65" s="64" t="s">
        <v>211</v>
      </c>
      <c r="J65" s="1024" t="s">
        <v>200</v>
      </c>
      <c r="K65" s="40">
        <v>1975</v>
      </c>
      <c r="L65" s="210" t="s">
        <v>264</v>
      </c>
      <c r="M65" s="1047" t="str">
        <f t="shared" si="45"/>
        <v>VC</v>
      </c>
      <c r="N65" s="223"/>
      <c r="O65" s="1025" t="e">
        <f t="shared" si="46"/>
        <v>#REF!</v>
      </c>
      <c r="P65" s="40" t="s">
        <v>120</v>
      </c>
      <c r="Q65" s="359" t="e">
        <f>VLOOKUP(P65,#REF!,2,0)</f>
        <v>#REF!</v>
      </c>
      <c r="R65" s="1032" t="s">
        <v>62</v>
      </c>
      <c r="S65" s="378" t="s">
        <v>325</v>
      </c>
      <c r="T65" s="38" t="e">
        <f>VLOOKUP(Y65,#REF!,5,0)</f>
        <v>#REF!</v>
      </c>
      <c r="U65" s="39" t="e">
        <f>VLOOKUP(Y65,#REF!,6,0)</f>
        <v>#REF!</v>
      </c>
      <c r="V65" s="1059" t="s">
        <v>248</v>
      </c>
      <c r="W65" s="358" t="str">
        <f t="shared" si="47"/>
        <v>Giảng viên chính (hạng II)</v>
      </c>
      <c r="X65" s="361" t="e">
        <f t="shared" si="48"/>
        <v>#REF!</v>
      </c>
      <c r="Y65" s="380" t="s">
        <v>255</v>
      </c>
      <c r="Z65" s="380" t="e">
        <f>VLOOKUP(Y65,#REF!,2,0)</f>
        <v>#REF!</v>
      </c>
      <c r="AA65" s="52" t="e">
        <f t="shared" si="49"/>
        <v>#REF!</v>
      </c>
      <c r="AB65" s="180">
        <v>2</v>
      </c>
      <c r="AC65" s="700" t="e">
        <f t="shared" si="50"/>
        <v>#REF!</v>
      </c>
      <c r="AD65" s="43" t="e">
        <f t="shared" si="51"/>
        <v>#REF!</v>
      </c>
      <c r="AE65" s="44" t="e">
        <f t="shared" si="52"/>
        <v>#REF!</v>
      </c>
      <c r="AF65" s="435"/>
      <c r="AG65" s="100"/>
      <c r="AH65" s="673"/>
      <c r="AI65" s="694" t="s">
        <v>200</v>
      </c>
      <c r="AJ65" s="100"/>
      <c r="AK65" s="694" t="s">
        <v>200</v>
      </c>
      <c r="AL65" s="695"/>
      <c r="AM65" s="178"/>
      <c r="AN65" s="53"/>
      <c r="AO65" s="353">
        <f t="shared" si="53"/>
        <v>3</v>
      </c>
      <c r="AP65" s="275" t="e">
        <f t="shared" si="54"/>
        <v>#REF!</v>
      </c>
      <c r="AQ65" s="84" t="e">
        <f t="shared" si="55"/>
        <v>#REF!</v>
      </c>
      <c r="AR65" s="47" t="e">
        <f t="shared" si="56"/>
        <v>#REF!</v>
      </c>
      <c r="AS65" s="438"/>
      <c r="AT65" s="48" t="s">
        <v>183</v>
      </c>
      <c r="AU65" s="669" t="s">
        <v>200</v>
      </c>
      <c r="AV65" s="49" t="s">
        <v>189</v>
      </c>
      <c r="AW65" s="669" t="s">
        <v>200</v>
      </c>
      <c r="AX65" s="50">
        <v>2016</v>
      </c>
      <c r="AY65" s="87"/>
      <c r="AZ65" s="300"/>
      <c r="BA65" s="517"/>
      <c r="BB65" s="51" t="e">
        <f t="shared" si="57"/>
        <v>#REF!</v>
      </c>
      <c r="BC65" s="356">
        <f t="shared" si="58"/>
        <v>-24199</v>
      </c>
      <c r="BD65" s="310" t="e">
        <f>VLOOKUP(Y65,#REF!,3,0)</f>
        <v>#REF!</v>
      </c>
      <c r="BE65" s="310" t="e">
        <f>VLOOKUP(Y65,#REF!,4,0)</f>
        <v>#REF!</v>
      </c>
      <c r="BF65" s="57" t="str">
        <f t="shared" si="59"/>
        <v>PCTN</v>
      </c>
      <c r="BG65" s="58">
        <v>18</v>
      </c>
      <c r="BH65" s="450" t="s">
        <v>178</v>
      </c>
      <c r="BI65" s="60" t="s">
        <v>183</v>
      </c>
      <c r="BJ65" s="677" t="s">
        <v>200</v>
      </c>
      <c r="BK65" s="448" t="s">
        <v>185</v>
      </c>
      <c r="BL65" s="677" t="s">
        <v>200</v>
      </c>
      <c r="BM65" s="256">
        <v>2018</v>
      </c>
      <c r="BN65" s="178"/>
      <c r="BO65" s="62"/>
      <c r="BP65" s="59">
        <f t="shared" si="60"/>
        <v>19</v>
      </c>
      <c r="BQ65" s="454" t="s">
        <v>178</v>
      </c>
      <c r="BR65" s="60" t="s">
        <v>183</v>
      </c>
      <c r="BS65" s="442"/>
      <c r="BT65" s="1135" t="s">
        <v>200</v>
      </c>
      <c r="BU65" s="445" t="s">
        <v>185</v>
      </c>
      <c r="BV65" s="669" t="s">
        <v>200</v>
      </c>
      <c r="BW65" s="50">
        <v>2019</v>
      </c>
      <c r="BX65" s="61"/>
      <c r="BY65" s="177">
        <v>5</v>
      </c>
      <c r="BZ65" s="357">
        <f t="shared" si="61"/>
        <v>-24233</v>
      </c>
      <c r="CA65" s="57" t="str">
        <f t="shared" si="62"/>
        <v>- - -</v>
      </c>
      <c r="CB65" s="379" t="str">
        <f t="shared" si="63"/>
        <v>Chánh Văn phòng Học viện, Trưởng Ban Tổ chức - Cán bộ, Trưởng Khoa Quản lý nhà nước về Kinh tế và Tài chính công</v>
      </c>
      <c r="CC65" s="63" t="str">
        <f t="shared" si="64"/>
        <v>A</v>
      </c>
      <c r="CD65" s="41" t="e">
        <f t="shared" si="65"/>
        <v>#REF!</v>
      </c>
      <c r="CE65" s="52" t="e">
        <f t="shared" si="66"/>
        <v>#REF!</v>
      </c>
      <c r="CF65" s="35" t="str">
        <f t="shared" si="67"/>
        <v>S</v>
      </c>
      <c r="CG65" s="35">
        <v>2016</v>
      </c>
      <c r="CH65" s="367" t="s">
        <v>250</v>
      </c>
      <c r="CI65" s="35"/>
      <c r="CJ65" s="102"/>
      <c r="CK65" s="35" t="e">
        <f t="shared" si="68"/>
        <v>#REF!</v>
      </c>
      <c r="CL65" s="55" t="str">
        <f t="shared" si="69"/>
        <v>NN</v>
      </c>
      <c r="CM65" s="65">
        <v>1</v>
      </c>
      <c r="CN65" s="66" t="s">
        <v>203</v>
      </c>
      <c r="CO65" s="65"/>
      <c r="CP65" s="80"/>
      <c r="CQ65" s="55" t="str">
        <f t="shared" si="70"/>
        <v>- - -</v>
      </c>
      <c r="CR65" s="65"/>
      <c r="CS65" s="66"/>
      <c r="CT65" s="65"/>
      <c r="CU65" s="80"/>
      <c r="CV65" s="69" t="e">
        <f t="shared" si="71"/>
        <v>#REF!</v>
      </c>
      <c r="CW65" s="70" t="str">
        <f t="shared" si="72"/>
        <v>/-/ /-/</v>
      </c>
      <c r="CX65" s="67">
        <f t="shared" si="73"/>
        <v>12</v>
      </c>
      <c r="CY65" s="68">
        <f t="shared" si="74"/>
        <v>2030</v>
      </c>
      <c r="CZ65" s="67">
        <f t="shared" si="75"/>
        <v>9</v>
      </c>
      <c r="DA65" s="68">
        <f t="shared" si="76"/>
        <v>2030</v>
      </c>
      <c r="DB65" s="67">
        <f t="shared" si="77"/>
        <v>6</v>
      </c>
      <c r="DC65" s="68">
        <f t="shared" si="78"/>
        <v>2030</v>
      </c>
      <c r="DD65" s="71" t="e">
        <f t="shared" si="79"/>
        <v>#REF!</v>
      </c>
      <c r="DE65" s="72" t="str">
        <f t="shared" si="80"/>
        <v>. .</v>
      </c>
      <c r="DF65" s="72"/>
      <c r="DG65" s="52">
        <f t="shared" si="81"/>
        <v>660</v>
      </c>
      <c r="DH65" s="52">
        <f t="shared" si="82"/>
        <v>-23699</v>
      </c>
      <c r="DI65" s="52">
        <f t="shared" si="83"/>
        <v>-1975</v>
      </c>
      <c r="DJ65" s="52" t="str">
        <f t="shared" si="84"/>
        <v>Nữ dưới 30</v>
      </c>
      <c r="DK65" s="52"/>
      <c r="DL65" s="52"/>
      <c r="DM65" s="57" t="str">
        <f t="shared" si="85"/>
        <v>Đến 30</v>
      </c>
      <c r="DN65" s="65" t="str">
        <f t="shared" si="86"/>
        <v>--</v>
      </c>
      <c r="DO65" s="36"/>
      <c r="DP65" s="35"/>
      <c r="DQ65" s="73"/>
      <c r="DR65" s="36"/>
      <c r="DS65" s="80"/>
      <c r="DT65" s="81"/>
      <c r="DU65" s="82"/>
      <c r="DV65" s="75"/>
      <c r="DW65" s="87"/>
      <c r="DX65" s="37" t="s">
        <v>62</v>
      </c>
      <c r="DY65" s="378" t="s">
        <v>71</v>
      </c>
      <c r="DZ65" s="37" t="s">
        <v>62</v>
      </c>
      <c r="EA65" s="48" t="s">
        <v>183</v>
      </c>
      <c r="EB65" s="49" t="s">
        <v>200</v>
      </c>
      <c r="EC65" s="49" t="s">
        <v>183</v>
      </c>
      <c r="ED65" s="49" t="s">
        <v>200</v>
      </c>
      <c r="EE65" s="76">
        <v>2014</v>
      </c>
      <c r="EF65" s="49">
        <f t="shared" si="87"/>
        <v>0</v>
      </c>
      <c r="EG65" s="77" t="str">
        <f t="shared" si="88"/>
        <v>- - -</v>
      </c>
      <c r="EH65" s="48" t="s">
        <v>183</v>
      </c>
      <c r="EI65" s="49" t="s">
        <v>200</v>
      </c>
      <c r="EJ65" s="49" t="s">
        <v>183</v>
      </c>
      <c r="EK65" s="49" t="s">
        <v>200</v>
      </c>
      <c r="EL65" s="76">
        <v>2014</v>
      </c>
      <c r="EM65" s="35">
        <v>3.66</v>
      </c>
      <c r="EN65" s="55" t="e">
        <f t="shared" si="89"/>
        <v>#REF!</v>
      </c>
      <c r="EO65" s="78" t="str">
        <f t="shared" si="90"/>
        <v>---</v>
      </c>
      <c r="EP65" s="87"/>
      <c r="EQ65" s="79"/>
      <c r="ER65" s="79"/>
      <c r="ES65" s="79"/>
      <c r="ET65" s="79"/>
      <c r="EU65" s="79"/>
      <c r="EV65" s="79"/>
      <c r="EW65" s="79"/>
      <c r="EX65" s="79"/>
      <c r="EY65" s="79"/>
      <c r="EZ65" s="79"/>
      <c r="FA65" s="79"/>
      <c r="FB65" s="79"/>
      <c r="FC65" s="79"/>
      <c r="FD65" s="79"/>
      <c r="FE65" s="79"/>
      <c r="FF65" s="79"/>
      <c r="FG65" s="79"/>
      <c r="FH65" s="79"/>
      <c r="FI65" s="79"/>
      <c r="FJ65" s="79"/>
      <c r="FK65" s="79"/>
      <c r="FL65" s="79"/>
      <c r="FM65" s="79"/>
      <c r="FN65" s="79"/>
      <c r="FO65" s="270"/>
      <c r="FP65" s="270"/>
      <c r="FQ65" s="270"/>
      <c r="FR65" s="270"/>
      <c r="FS65" s="270"/>
    </row>
    <row r="66" spans="1:175" s="79" customFormat="1" ht="11.25" customHeight="1" x14ac:dyDescent="0.2">
      <c r="A66" s="98">
        <v>269</v>
      </c>
      <c r="B66" s="937">
        <v>14</v>
      </c>
      <c r="C66" s="35"/>
      <c r="D66" s="35" t="str">
        <f t="shared" si="44"/>
        <v>Bà</v>
      </c>
      <c r="E66" s="40" t="s">
        <v>112</v>
      </c>
      <c r="F66" s="35" t="s">
        <v>221</v>
      </c>
      <c r="G66" s="64" t="s">
        <v>139</v>
      </c>
      <c r="H66" s="1024" t="s">
        <v>200</v>
      </c>
      <c r="I66" s="64">
        <v>5</v>
      </c>
      <c r="J66" s="1024" t="s">
        <v>200</v>
      </c>
      <c r="K66" s="40">
        <v>1977</v>
      </c>
      <c r="L66" s="210" t="s">
        <v>264</v>
      </c>
      <c r="M66" s="1047" t="str">
        <f t="shared" si="45"/>
        <v>VC</v>
      </c>
      <c r="N66" s="223"/>
      <c r="O66" s="1025" t="e">
        <f t="shared" si="46"/>
        <v>#REF!</v>
      </c>
      <c r="P66" s="40"/>
      <c r="Q66" s="359" t="e">
        <f>VLOOKUP(P66,#REF!,2,0)</f>
        <v>#REF!</v>
      </c>
      <c r="R66" s="1032" t="s">
        <v>62</v>
      </c>
      <c r="S66" s="378" t="s">
        <v>325</v>
      </c>
      <c r="T66" s="38" t="e">
        <f>VLOOKUP(Y66,#REF!,5,0)</f>
        <v>#REF!</v>
      </c>
      <c r="U66" s="39" t="e">
        <f>VLOOKUP(Y66,#REF!,6,0)</f>
        <v>#REF!</v>
      </c>
      <c r="V66" s="1059" t="s">
        <v>248</v>
      </c>
      <c r="W66" s="358" t="str">
        <f t="shared" si="47"/>
        <v>Giảng viên (hạng III)</v>
      </c>
      <c r="X66" s="361" t="e">
        <f t="shared" si="48"/>
        <v>#REF!</v>
      </c>
      <c r="Y66" s="380" t="s">
        <v>254</v>
      </c>
      <c r="Z66" s="380" t="e">
        <f>VLOOKUP(Y66,#REF!,2,0)</f>
        <v>#REF!</v>
      </c>
      <c r="AA66" s="52" t="e">
        <f t="shared" si="49"/>
        <v>#REF!</v>
      </c>
      <c r="AB66" s="180">
        <v>5</v>
      </c>
      <c r="AC66" s="700" t="e">
        <f t="shared" si="50"/>
        <v>#REF!</v>
      </c>
      <c r="AD66" s="43" t="e">
        <f t="shared" si="51"/>
        <v>#REF!</v>
      </c>
      <c r="AE66" s="44" t="e">
        <f t="shared" si="52"/>
        <v>#REF!</v>
      </c>
      <c r="AF66" s="435"/>
      <c r="AG66" s="100"/>
      <c r="AH66" s="673"/>
      <c r="AI66" s="694" t="s">
        <v>200</v>
      </c>
      <c r="AJ66" s="100"/>
      <c r="AK66" s="694" t="s">
        <v>200</v>
      </c>
      <c r="AL66" s="695"/>
      <c r="AM66" s="178"/>
      <c r="AN66" s="53"/>
      <c r="AO66" s="353">
        <f t="shared" si="53"/>
        <v>6</v>
      </c>
      <c r="AP66" s="275" t="e">
        <f t="shared" si="54"/>
        <v>#REF!</v>
      </c>
      <c r="AQ66" s="84" t="e">
        <f t="shared" si="55"/>
        <v>#REF!</v>
      </c>
      <c r="AR66" s="725" t="e">
        <f t="shared" si="56"/>
        <v>#REF!</v>
      </c>
      <c r="AS66" s="47"/>
      <c r="AT66" s="48" t="s">
        <v>183</v>
      </c>
      <c r="AU66" s="669" t="s">
        <v>200</v>
      </c>
      <c r="AV66" s="49" t="s">
        <v>183</v>
      </c>
      <c r="AW66" s="669" t="s">
        <v>200</v>
      </c>
      <c r="AX66" s="50">
        <v>2017</v>
      </c>
      <c r="AY66" s="87"/>
      <c r="AZ66" s="300"/>
      <c r="BA66" s="517"/>
      <c r="BB66" s="51" t="e">
        <f t="shared" si="57"/>
        <v>#REF!</v>
      </c>
      <c r="BC66" s="356">
        <f t="shared" si="58"/>
        <v>-24205</v>
      </c>
      <c r="BD66" s="310" t="e">
        <f>VLOOKUP(Y66,#REF!,3,0)</f>
        <v>#REF!</v>
      </c>
      <c r="BE66" s="310" t="e">
        <f>VLOOKUP(Y66,#REF!,4,0)</f>
        <v>#REF!</v>
      </c>
      <c r="BF66" s="57" t="str">
        <f t="shared" si="59"/>
        <v>PCTN</v>
      </c>
      <c r="BG66" s="58">
        <v>15</v>
      </c>
      <c r="BH66" s="450" t="s">
        <v>178</v>
      </c>
      <c r="BI66" s="60" t="s">
        <v>183</v>
      </c>
      <c r="BJ66" s="677" t="s">
        <v>200</v>
      </c>
      <c r="BK66" s="448">
        <v>5</v>
      </c>
      <c r="BL66" s="677" t="s">
        <v>200</v>
      </c>
      <c r="BM66" s="256">
        <v>2018</v>
      </c>
      <c r="BN66" s="178"/>
      <c r="BO66" s="62"/>
      <c r="BP66" s="59">
        <f t="shared" si="60"/>
        <v>16</v>
      </c>
      <c r="BQ66" s="454" t="s">
        <v>178</v>
      </c>
      <c r="BR66" s="60" t="s">
        <v>183</v>
      </c>
      <c r="BS66" s="442"/>
      <c r="BT66" s="1135" t="s">
        <v>200</v>
      </c>
      <c r="BU66" s="445">
        <v>5</v>
      </c>
      <c r="BV66" s="669" t="s">
        <v>200</v>
      </c>
      <c r="BW66" s="50">
        <v>2019</v>
      </c>
      <c r="BX66" s="61"/>
      <c r="BY66" s="177">
        <v>5</v>
      </c>
      <c r="BZ66" s="357">
        <f t="shared" si="61"/>
        <v>-24233</v>
      </c>
      <c r="CA66" s="57" t="str">
        <f t="shared" si="62"/>
        <v>- - -</v>
      </c>
      <c r="CB66" s="379" t="str">
        <f t="shared" si="63"/>
        <v>Chánh Văn phòng Học viện, Trưởng Ban Tổ chức - Cán bộ, Trưởng Khoa Quản lý nhà nước về Kinh tế và Tài chính công</v>
      </c>
      <c r="CC66" s="63" t="str">
        <f t="shared" si="64"/>
        <v>A</v>
      </c>
      <c r="CD66" s="41" t="e">
        <f t="shared" si="65"/>
        <v>#REF!</v>
      </c>
      <c r="CE66" s="52" t="e">
        <f t="shared" si="66"/>
        <v>#REF!</v>
      </c>
      <c r="CF66" s="35" t="str">
        <f t="shared" si="67"/>
        <v>S</v>
      </c>
      <c r="CG66" s="35">
        <v>2013</v>
      </c>
      <c r="CH66" s="361" t="s">
        <v>250</v>
      </c>
      <c r="CI66" s="35"/>
      <c r="CJ66" s="102"/>
      <c r="CK66" s="35" t="e">
        <f t="shared" si="68"/>
        <v>#REF!</v>
      </c>
      <c r="CL66" s="55" t="str">
        <f t="shared" si="69"/>
        <v>- - -</v>
      </c>
      <c r="CM66" s="65"/>
      <c r="CN66" s="66"/>
      <c r="CO66" s="65"/>
      <c r="CP66" s="80"/>
      <c r="CQ66" s="55" t="str">
        <f t="shared" si="70"/>
        <v>- - -</v>
      </c>
      <c r="CR66" s="65"/>
      <c r="CS66" s="191"/>
      <c r="CT66" s="65"/>
      <c r="CU66" s="80"/>
      <c r="CV66" s="69" t="e">
        <f t="shared" si="71"/>
        <v>#REF!</v>
      </c>
      <c r="CW66" s="70" t="str">
        <f t="shared" si="72"/>
        <v>/-/ /-/</v>
      </c>
      <c r="CX66" s="67">
        <f t="shared" si="73"/>
        <v>6</v>
      </c>
      <c r="CY66" s="68">
        <f t="shared" si="74"/>
        <v>2032</v>
      </c>
      <c r="CZ66" s="67">
        <f t="shared" si="75"/>
        <v>3</v>
      </c>
      <c r="DA66" s="68">
        <f t="shared" si="76"/>
        <v>2032</v>
      </c>
      <c r="DB66" s="67">
        <f t="shared" si="77"/>
        <v>12</v>
      </c>
      <c r="DC66" s="68">
        <f t="shared" si="78"/>
        <v>2031</v>
      </c>
      <c r="DD66" s="71" t="e">
        <f t="shared" si="79"/>
        <v>#REF!</v>
      </c>
      <c r="DE66" s="72" t="str">
        <f t="shared" si="80"/>
        <v>. .</v>
      </c>
      <c r="DF66" s="72"/>
      <c r="DG66" s="52">
        <f t="shared" si="81"/>
        <v>660</v>
      </c>
      <c r="DH66" s="52">
        <f t="shared" si="82"/>
        <v>-23717</v>
      </c>
      <c r="DI66" s="52">
        <f t="shared" si="83"/>
        <v>-1977</v>
      </c>
      <c r="DJ66" s="52" t="str">
        <f t="shared" si="84"/>
        <v>Nữ dưới 30</v>
      </c>
      <c r="DK66" s="52"/>
      <c r="DL66" s="52"/>
      <c r="DM66" s="57" t="str">
        <f t="shared" si="85"/>
        <v>Đến 30</v>
      </c>
      <c r="DN66" s="65" t="str">
        <f t="shared" si="86"/>
        <v>TD</v>
      </c>
      <c r="DO66" s="36">
        <v>2009</v>
      </c>
      <c r="DP66" s="35"/>
      <c r="DQ66" s="73"/>
      <c r="DR66" s="36"/>
      <c r="DS66" s="80"/>
      <c r="DT66" s="81"/>
      <c r="DU66" s="82"/>
      <c r="DV66" s="75"/>
      <c r="DW66" s="40"/>
      <c r="DX66" s="106" t="s">
        <v>62</v>
      </c>
      <c r="DY66" s="378" t="s">
        <v>71</v>
      </c>
      <c r="DZ66" s="37" t="s">
        <v>62</v>
      </c>
      <c r="EA66" s="48" t="s">
        <v>183</v>
      </c>
      <c r="EB66" s="49" t="s">
        <v>200</v>
      </c>
      <c r="EC66" s="49" t="s">
        <v>183</v>
      </c>
      <c r="ED66" s="49" t="s">
        <v>200</v>
      </c>
      <c r="EE66" s="76">
        <v>2014</v>
      </c>
      <c r="EF66" s="49">
        <f t="shared" si="87"/>
        <v>0</v>
      </c>
      <c r="EG66" s="77" t="str">
        <f t="shared" si="88"/>
        <v>- - -</v>
      </c>
      <c r="EH66" s="48" t="s">
        <v>183</v>
      </c>
      <c r="EI66" s="49" t="s">
        <v>200</v>
      </c>
      <c r="EJ66" s="49" t="s">
        <v>183</v>
      </c>
      <c r="EK66" s="49" t="s">
        <v>200</v>
      </c>
      <c r="EL66" s="76">
        <v>2014</v>
      </c>
      <c r="EM66" s="35"/>
      <c r="EN66" s="55" t="e">
        <f t="shared" si="89"/>
        <v>#REF!</v>
      </c>
      <c r="EO66" s="78" t="str">
        <f t="shared" si="90"/>
        <v>---</v>
      </c>
      <c r="EP66" s="87"/>
    </row>
    <row r="67" spans="1:175" s="79" customFormat="1" ht="11.25" customHeight="1" x14ac:dyDescent="0.2">
      <c r="A67" s="98">
        <v>271</v>
      </c>
      <c r="B67" s="937">
        <v>15</v>
      </c>
      <c r="C67" s="35"/>
      <c r="D67" s="35" t="str">
        <f t="shared" si="44"/>
        <v>Ông</v>
      </c>
      <c r="E67" s="40" t="s">
        <v>22</v>
      </c>
      <c r="F67" s="35" t="s">
        <v>219</v>
      </c>
      <c r="G67" s="64" t="s">
        <v>183</v>
      </c>
      <c r="H67" s="1024" t="s">
        <v>200</v>
      </c>
      <c r="I67" s="64" t="s">
        <v>211</v>
      </c>
      <c r="J67" s="1024" t="s">
        <v>200</v>
      </c>
      <c r="K67" s="40" t="s">
        <v>169</v>
      </c>
      <c r="L67" s="210" t="s">
        <v>264</v>
      </c>
      <c r="M67" s="1047" t="str">
        <f t="shared" si="45"/>
        <v>VC</v>
      </c>
      <c r="N67" s="223"/>
      <c r="O67" s="1025" t="e">
        <f t="shared" si="46"/>
        <v>#REF!</v>
      </c>
      <c r="P67" s="40"/>
      <c r="Q67" s="359" t="e">
        <f>VLOOKUP(P67,#REF!,2,0)</f>
        <v>#REF!</v>
      </c>
      <c r="R67" s="1032" t="s">
        <v>61</v>
      </c>
      <c r="S67" s="378" t="s">
        <v>325</v>
      </c>
      <c r="T67" s="38" t="e">
        <f>VLOOKUP(Y67,#REF!,5,0)</f>
        <v>#REF!</v>
      </c>
      <c r="U67" s="39" t="e">
        <f>VLOOKUP(Y67,#REF!,6,0)</f>
        <v>#REF!</v>
      </c>
      <c r="V67" s="1059" t="s">
        <v>248</v>
      </c>
      <c r="W67" s="358" t="str">
        <f t="shared" si="47"/>
        <v>Giảng viên chính (hạng II)</v>
      </c>
      <c r="X67" s="361" t="e">
        <f t="shared" si="48"/>
        <v>#REF!</v>
      </c>
      <c r="Y67" s="380" t="s">
        <v>255</v>
      </c>
      <c r="Z67" s="380" t="e">
        <f>VLOOKUP(Y67,#REF!,2,0)</f>
        <v>#REF!</v>
      </c>
      <c r="AA67" s="52" t="e">
        <f t="shared" si="49"/>
        <v>#REF!</v>
      </c>
      <c r="AB67" s="1040">
        <v>2</v>
      </c>
      <c r="AC67" s="700" t="e">
        <f t="shared" si="50"/>
        <v>#REF!</v>
      </c>
      <c r="AD67" s="43" t="e">
        <f t="shared" si="51"/>
        <v>#REF!</v>
      </c>
      <c r="AE67" s="44" t="e">
        <f t="shared" si="52"/>
        <v>#REF!</v>
      </c>
      <c r="AF67" s="435"/>
      <c r="AG67" s="100"/>
      <c r="AH67" s="673"/>
      <c r="AI67" s="694" t="s">
        <v>200</v>
      </c>
      <c r="AJ67" s="100"/>
      <c r="AK67" s="694" t="s">
        <v>200</v>
      </c>
      <c r="AL67" s="695"/>
      <c r="AM67" s="178"/>
      <c r="AN67" s="53"/>
      <c r="AO67" s="353">
        <f t="shared" si="53"/>
        <v>3</v>
      </c>
      <c r="AP67" s="275" t="e">
        <f t="shared" si="54"/>
        <v>#REF!</v>
      </c>
      <c r="AQ67" s="84" t="e">
        <f t="shared" si="55"/>
        <v>#REF!</v>
      </c>
      <c r="AR67" s="275" t="e">
        <f t="shared" si="56"/>
        <v>#REF!</v>
      </c>
      <c r="AS67" s="438"/>
      <c r="AT67" s="48" t="s">
        <v>183</v>
      </c>
      <c r="AU67" s="669" t="s">
        <v>200</v>
      </c>
      <c r="AV67" s="49" t="s">
        <v>189</v>
      </c>
      <c r="AW67" s="669" t="s">
        <v>200</v>
      </c>
      <c r="AX67" s="50">
        <v>2018</v>
      </c>
      <c r="AY67" s="87"/>
      <c r="AZ67" s="300"/>
      <c r="BA67" s="517"/>
      <c r="BB67" s="51" t="e">
        <f t="shared" si="57"/>
        <v>#REF!</v>
      </c>
      <c r="BC67" s="356">
        <f t="shared" si="58"/>
        <v>-24223</v>
      </c>
      <c r="BD67" s="310" t="e">
        <f>VLOOKUP(Y67,#REF!,3,0)</f>
        <v>#REF!</v>
      </c>
      <c r="BE67" s="310" t="e">
        <f>VLOOKUP(Y67,#REF!,4,0)</f>
        <v>#REF!</v>
      </c>
      <c r="BF67" s="57" t="str">
        <f t="shared" si="59"/>
        <v>PCTN</v>
      </c>
      <c r="BG67" s="58">
        <v>15</v>
      </c>
      <c r="BH67" s="450" t="s">
        <v>178</v>
      </c>
      <c r="BI67" s="60" t="s">
        <v>183</v>
      </c>
      <c r="BJ67" s="677" t="s">
        <v>200</v>
      </c>
      <c r="BK67" s="448">
        <v>5</v>
      </c>
      <c r="BL67" s="677" t="s">
        <v>200</v>
      </c>
      <c r="BM67" s="256">
        <v>2018</v>
      </c>
      <c r="BN67" s="178"/>
      <c r="BO67" s="62"/>
      <c r="BP67" s="59">
        <f t="shared" si="60"/>
        <v>16</v>
      </c>
      <c r="BQ67" s="454" t="s">
        <v>178</v>
      </c>
      <c r="BR67" s="60" t="s">
        <v>183</v>
      </c>
      <c r="BS67" s="442"/>
      <c r="BT67" s="1135" t="s">
        <v>200</v>
      </c>
      <c r="BU67" s="445">
        <v>5</v>
      </c>
      <c r="BV67" s="669" t="s">
        <v>200</v>
      </c>
      <c r="BW67" s="50">
        <v>2019</v>
      </c>
      <c r="BX67" s="61"/>
      <c r="BY67" s="177">
        <v>5</v>
      </c>
      <c r="BZ67" s="357">
        <f t="shared" si="61"/>
        <v>-24233</v>
      </c>
      <c r="CA67" s="57" t="str">
        <f t="shared" si="62"/>
        <v>- - -</v>
      </c>
      <c r="CB67" s="379" t="str">
        <f t="shared" si="63"/>
        <v>Chánh Văn phòng Học viện, Trưởng Ban Tổ chức - Cán bộ, Trưởng Khoa Quản lý nhà nước về Kinh tế và Tài chính công</v>
      </c>
      <c r="CC67" s="63" t="str">
        <f t="shared" si="64"/>
        <v>A</v>
      </c>
      <c r="CD67" s="41" t="e">
        <f t="shared" si="65"/>
        <v>#REF!</v>
      </c>
      <c r="CE67" s="52" t="e">
        <f t="shared" si="66"/>
        <v>#REF!</v>
      </c>
      <c r="CF67" s="35" t="str">
        <f t="shared" si="67"/>
        <v>---</v>
      </c>
      <c r="CG67" s="35"/>
      <c r="CH67" s="367"/>
      <c r="CI67" s="35"/>
      <c r="CJ67" s="102"/>
      <c r="CK67" s="35" t="e">
        <f t="shared" si="68"/>
        <v>#REF!</v>
      </c>
      <c r="CL67" s="55" t="str">
        <f t="shared" si="69"/>
        <v>NN</v>
      </c>
      <c r="CM67" s="65">
        <v>7</v>
      </c>
      <c r="CN67" s="66">
        <v>2012</v>
      </c>
      <c r="CO67" s="65"/>
      <c r="CP67" s="80"/>
      <c r="CQ67" s="55" t="str">
        <f t="shared" si="70"/>
        <v>- - -</v>
      </c>
      <c r="CR67" s="65"/>
      <c r="CS67" s="191"/>
      <c r="CT67" s="65"/>
      <c r="CU67" s="80"/>
      <c r="CV67" s="69" t="e">
        <f t="shared" si="71"/>
        <v>#REF!</v>
      </c>
      <c r="CW67" s="70" t="str">
        <f t="shared" si="72"/>
        <v>/-/ /-/</v>
      </c>
      <c r="CX67" s="67">
        <f t="shared" si="73"/>
        <v>12</v>
      </c>
      <c r="CY67" s="68">
        <f t="shared" si="74"/>
        <v>2033</v>
      </c>
      <c r="CZ67" s="67">
        <f t="shared" si="75"/>
        <v>9</v>
      </c>
      <c r="DA67" s="68">
        <f t="shared" si="76"/>
        <v>2033</v>
      </c>
      <c r="DB67" s="67">
        <f t="shared" si="77"/>
        <v>6</v>
      </c>
      <c r="DC67" s="68">
        <f t="shared" si="78"/>
        <v>2033</v>
      </c>
      <c r="DD67" s="71" t="e">
        <f t="shared" si="79"/>
        <v>#REF!</v>
      </c>
      <c r="DE67" s="72" t="str">
        <f t="shared" si="80"/>
        <v>. .</v>
      </c>
      <c r="DF67" s="72"/>
      <c r="DG67" s="52">
        <f t="shared" si="81"/>
        <v>720</v>
      </c>
      <c r="DH67" s="52">
        <f t="shared" si="82"/>
        <v>-23675</v>
      </c>
      <c r="DI67" s="52">
        <f t="shared" si="83"/>
        <v>-1973</v>
      </c>
      <c r="DJ67" s="52" t="str">
        <f t="shared" si="84"/>
        <v>Nam dưới 35</v>
      </c>
      <c r="DK67" s="52"/>
      <c r="DL67" s="52"/>
      <c r="DM67" s="57" t="str">
        <f t="shared" si="85"/>
        <v>Đến 30</v>
      </c>
      <c r="DN67" s="65" t="str">
        <f t="shared" si="86"/>
        <v>TD</v>
      </c>
      <c r="DO67" s="36">
        <v>2008</v>
      </c>
      <c r="DP67" s="35"/>
      <c r="DQ67" s="73"/>
      <c r="DR67" s="36"/>
      <c r="DS67" s="80"/>
      <c r="DT67" s="81"/>
      <c r="DU67" s="82"/>
      <c r="DV67" s="75"/>
      <c r="DW67" s="87"/>
      <c r="DX67" s="1032" t="s">
        <v>61</v>
      </c>
      <c r="DY67" s="378" t="s">
        <v>71</v>
      </c>
      <c r="DZ67" s="37" t="s">
        <v>61</v>
      </c>
      <c r="EA67" s="48" t="s">
        <v>183</v>
      </c>
      <c r="EB67" s="49" t="s">
        <v>200</v>
      </c>
      <c r="EC67" s="49" t="s">
        <v>189</v>
      </c>
      <c r="ED67" s="49" t="s">
        <v>200</v>
      </c>
      <c r="EE67" s="76">
        <v>2012</v>
      </c>
      <c r="EF67" s="49">
        <f t="shared" si="87"/>
        <v>0</v>
      </c>
      <c r="EG67" s="77" t="str">
        <f t="shared" si="88"/>
        <v>- - -</v>
      </c>
      <c r="EH67" s="48" t="s">
        <v>183</v>
      </c>
      <c r="EI67" s="49" t="s">
        <v>200</v>
      </c>
      <c r="EJ67" s="49" t="s">
        <v>189</v>
      </c>
      <c r="EK67" s="49" t="s">
        <v>200</v>
      </c>
      <c r="EL67" s="76">
        <v>2012</v>
      </c>
      <c r="EM67" s="35">
        <v>3.66</v>
      </c>
      <c r="EN67" s="55" t="e">
        <f t="shared" si="89"/>
        <v>#REF!</v>
      </c>
      <c r="EO67" s="78" t="str">
        <f t="shared" si="90"/>
        <v>---</v>
      </c>
      <c r="EP67" s="87"/>
    </row>
    <row r="68" spans="1:175" s="350" customFormat="1" ht="11.25" customHeight="1" x14ac:dyDescent="0.2">
      <c r="A68" s="98">
        <v>273</v>
      </c>
      <c r="B68" s="937">
        <v>16</v>
      </c>
      <c r="C68" s="35"/>
      <c r="D68" s="35" t="str">
        <f t="shared" si="44"/>
        <v>Bà</v>
      </c>
      <c r="E68" s="40" t="s">
        <v>6</v>
      </c>
      <c r="F68" s="35" t="s">
        <v>221</v>
      </c>
      <c r="G68" s="64" t="s">
        <v>173</v>
      </c>
      <c r="H68" s="1024" t="s">
        <v>200</v>
      </c>
      <c r="I68" s="64">
        <v>7</v>
      </c>
      <c r="J68" s="1024" t="s">
        <v>200</v>
      </c>
      <c r="K68" s="40">
        <v>1977</v>
      </c>
      <c r="L68" s="210" t="s">
        <v>264</v>
      </c>
      <c r="M68" s="1047" t="str">
        <f t="shared" si="45"/>
        <v>VC</v>
      </c>
      <c r="N68" s="223"/>
      <c r="O68" s="1025" t="e">
        <f t="shared" si="46"/>
        <v>#REF!</v>
      </c>
      <c r="P68" s="40"/>
      <c r="Q68" s="359" t="e">
        <f>VLOOKUP(P68,#REF!,2,0)</f>
        <v>#REF!</v>
      </c>
      <c r="R68" s="1032" t="s">
        <v>61</v>
      </c>
      <c r="S68" s="378" t="s">
        <v>325</v>
      </c>
      <c r="T68" s="38" t="e">
        <f>VLOOKUP(Y68,#REF!,5,0)</f>
        <v>#REF!</v>
      </c>
      <c r="U68" s="39" t="e">
        <f>VLOOKUP(Y68,#REF!,6,0)</f>
        <v>#REF!</v>
      </c>
      <c r="V68" s="1059" t="s">
        <v>248</v>
      </c>
      <c r="W68" s="358" t="str">
        <f t="shared" si="47"/>
        <v>Giảng viên (hạng III)</v>
      </c>
      <c r="X68" s="361" t="e">
        <f t="shared" si="48"/>
        <v>#REF!</v>
      </c>
      <c r="Y68" s="380" t="s">
        <v>254</v>
      </c>
      <c r="Z68" s="380" t="e">
        <f>VLOOKUP(Y68,#REF!,2,0)</f>
        <v>#REF!</v>
      </c>
      <c r="AA68" s="52" t="e">
        <f t="shared" si="49"/>
        <v>#REF!</v>
      </c>
      <c r="AB68" s="108">
        <v>5</v>
      </c>
      <c r="AC68" s="700" t="s">
        <v>200</v>
      </c>
      <c r="AD68" s="43">
        <v>9</v>
      </c>
      <c r="AE68" s="44">
        <v>3.66</v>
      </c>
      <c r="AF68" s="435"/>
      <c r="AG68" s="100"/>
      <c r="AH68" s="673" t="s">
        <v>183</v>
      </c>
      <c r="AI68" s="694" t="s">
        <v>200</v>
      </c>
      <c r="AJ68" s="100" t="s">
        <v>185</v>
      </c>
      <c r="AK68" s="694" t="s">
        <v>200</v>
      </c>
      <c r="AL68" s="695">
        <v>2016</v>
      </c>
      <c r="AM68" s="178"/>
      <c r="AN68" s="53"/>
      <c r="AO68" s="353">
        <f t="shared" si="53"/>
        <v>6</v>
      </c>
      <c r="AP68" s="275" t="str">
        <f t="shared" si="54"/>
        <v>/</v>
      </c>
      <c r="AQ68" s="84">
        <f t="shared" si="55"/>
        <v>9</v>
      </c>
      <c r="AR68" s="47" t="e">
        <f t="shared" si="56"/>
        <v>#REF!</v>
      </c>
      <c r="AS68" s="438"/>
      <c r="AT68" s="48" t="s">
        <v>183</v>
      </c>
      <c r="AU68" s="669" t="s">
        <v>200</v>
      </c>
      <c r="AV68" s="49" t="s">
        <v>185</v>
      </c>
      <c r="AW68" s="669" t="s">
        <v>200</v>
      </c>
      <c r="AX68" s="50">
        <v>2019</v>
      </c>
      <c r="AY68" s="87"/>
      <c r="AZ68" s="300"/>
      <c r="BA68" s="517"/>
      <c r="BB68" s="51" t="e">
        <f t="shared" si="57"/>
        <v>#REF!</v>
      </c>
      <c r="BC68" s="356">
        <f t="shared" si="58"/>
        <v>-24233</v>
      </c>
      <c r="BD68" s="310" t="e">
        <f>VLOOKUP(Y68,#REF!,3,0)</f>
        <v>#REF!</v>
      </c>
      <c r="BE68" s="310" t="e">
        <f>VLOOKUP(Y68,#REF!,4,0)</f>
        <v>#REF!</v>
      </c>
      <c r="BF68" s="57" t="str">
        <f t="shared" si="59"/>
        <v>PCTN</v>
      </c>
      <c r="BG68" s="59">
        <v>14</v>
      </c>
      <c r="BH68" s="450" t="s">
        <v>178</v>
      </c>
      <c r="BI68" s="60" t="s">
        <v>183</v>
      </c>
      <c r="BJ68" s="677" t="s">
        <v>200</v>
      </c>
      <c r="BK68" s="448">
        <v>5</v>
      </c>
      <c r="BL68" s="677" t="s">
        <v>200</v>
      </c>
      <c r="BM68" s="256">
        <v>2018</v>
      </c>
      <c r="BN68" s="178"/>
      <c r="BO68" s="62"/>
      <c r="BP68" s="59">
        <f t="shared" si="60"/>
        <v>15</v>
      </c>
      <c r="BQ68" s="454" t="s">
        <v>178</v>
      </c>
      <c r="BR68" s="60" t="s">
        <v>183</v>
      </c>
      <c r="BS68" s="442"/>
      <c r="BT68" s="1135" t="s">
        <v>200</v>
      </c>
      <c r="BU68" s="445">
        <v>5</v>
      </c>
      <c r="BV68" s="669" t="s">
        <v>200</v>
      </c>
      <c r="BW68" s="50">
        <v>2019</v>
      </c>
      <c r="BX68" s="61"/>
      <c r="BY68" s="177">
        <v>5</v>
      </c>
      <c r="BZ68" s="357">
        <f t="shared" si="61"/>
        <v>-24233</v>
      </c>
      <c r="CA68" s="57" t="str">
        <f t="shared" si="62"/>
        <v>- - -</v>
      </c>
      <c r="CB68" s="379" t="str">
        <f t="shared" si="63"/>
        <v>Chánh Văn phòng Học viện, Trưởng Ban Tổ chức - Cán bộ, Trưởng Khoa Quản lý nhà nước về Kinh tế và Tài chính công</v>
      </c>
      <c r="CC68" s="63" t="str">
        <f t="shared" si="64"/>
        <v>A</v>
      </c>
      <c r="CD68" s="41" t="e">
        <f t="shared" si="65"/>
        <v>#REF!</v>
      </c>
      <c r="CE68" s="52" t="e">
        <f t="shared" si="66"/>
        <v>#REF!</v>
      </c>
      <c r="CF68" s="35" t="str">
        <f t="shared" si="67"/>
        <v>---</v>
      </c>
      <c r="CG68" s="35"/>
      <c r="CH68" s="367"/>
      <c r="CI68" s="35"/>
      <c r="CJ68" s="102"/>
      <c r="CK68" s="35" t="e">
        <f t="shared" si="68"/>
        <v>#REF!</v>
      </c>
      <c r="CL68" s="55" t="str">
        <f t="shared" si="69"/>
        <v>- - -</v>
      </c>
      <c r="CM68" s="65"/>
      <c r="CN68" s="66"/>
      <c r="CO68" s="65"/>
      <c r="CP68" s="80"/>
      <c r="CQ68" s="55" t="str">
        <f t="shared" si="70"/>
        <v>- - -</v>
      </c>
      <c r="CR68" s="65"/>
      <c r="CS68" s="36"/>
      <c r="CT68" s="65"/>
      <c r="CU68" s="80"/>
      <c r="CV68" s="69" t="e">
        <f t="shared" si="71"/>
        <v>#REF!</v>
      </c>
      <c r="CW68" s="70" t="str">
        <f t="shared" si="72"/>
        <v>/-/ /-/</v>
      </c>
      <c r="CX68" s="67">
        <f t="shared" si="73"/>
        <v>8</v>
      </c>
      <c r="CY68" s="68">
        <f t="shared" si="74"/>
        <v>2032</v>
      </c>
      <c r="CZ68" s="67">
        <f t="shared" si="75"/>
        <v>5</v>
      </c>
      <c r="DA68" s="68">
        <f t="shared" si="76"/>
        <v>2032</v>
      </c>
      <c r="DB68" s="67">
        <f t="shared" si="77"/>
        <v>2</v>
      </c>
      <c r="DC68" s="68">
        <f t="shared" si="78"/>
        <v>2032</v>
      </c>
      <c r="DD68" s="71" t="e">
        <f t="shared" si="79"/>
        <v>#REF!</v>
      </c>
      <c r="DE68" s="72" t="str">
        <f t="shared" si="80"/>
        <v>. .</v>
      </c>
      <c r="DF68" s="72"/>
      <c r="DG68" s="52">
        <f t="shared" si="81"/>
        <v>660</v>
      </c>
      <c r="DH68" s="52">
        <f t="shared" si="82"/>
        <v>-23719</v>
      </c>
      <c r="DI68" s="52">
        <f t="shared" si="83"/>
        <v>-1977</v>
      </c>
      <c r="DJ68" s="52" t="str">
        <f t="shared" si="84"/>
        <v>Nữ dưới 30</v>
      </c>
      <c r="DK68" s="52"/>
      <c r="DL68" s="52"/>
      <c r="DM68" s="57" t="str">
        <f t="shared" si="85"/>
        <v>Đến 30</v>
      </c>
      <c r="DN68" s="65" t="str">
        <f t="shared" si="86"/>
        <v>--</v>
      </c>
      <c r="DO68" s="36"/>
      <c r="DP68" s="35"/>
      <c r="DQ68" s="73"/>
      <c r="DR68" s="36"/>
      <c r="DS68" s="80"/>
      <c r="DT68" s="81"/>
      <c r="DU68" s="82"/>
      <c r="DV68" s="75"/>
      <c r="DW68" s="87"/>
      <c r="DX68" s="37" t="s">
        <v>61</v>
      </c>
      <c r="DY68" s="378" t="s">
        <v>71</v>
      </c>
      <c r="DZ68" s="37" t="s">
        <v>61</v>
      </c>
      <c r="EA68" s="48" t="s">
        <v>183</v>
      </c>
      <c r="EB68" s="49" t="s">
        <v>200</v>
      </c>
      <c r="EC68" s="49" t="s">
        <v>185</v>
      </c>
      <c r="ED68" s="49" t="s">
        <v>200</v>
      </c>
      <c r="EE68" s="76">
        <v>2013</v>
      </c>
      <c r="EF68" s="49">
        <f t="shared" si="87"/>
        <v>0</v>
      </c>
      <c r="EG68" s="77" t="str">
        <f t="shared" si="88"/>
        <v>- - -</v>
      </c>
      <c r="EH68" s="48" t="s">
        <v>183</v>
      </c>
      <c r="EI68" s="49" t="s">
        <v>200</v>
      </c>
      <c r="EJ68" s="49" t="s">
        <v>185</v>
      </c>
      <c r="EK68" s="49" t="s">
        <v>200</v>
      </c>
      <c r="EL68" s="76">
        <v>2013</v>
      </c>
      <c r="EM68" s="35"/>
      <c r="EN68" s="55" t="e">
        <f t="shared" si="89"/>
        <v>#REF!</v>
      </c>
      <c r="EO68" s="78" t="str">
        <f t="shared" si="90"/>
        <v>---</v>
      </c>
      <c r="EP68" s="87"/>
      <c r="EQ68" s="79"/>
      <c r="ER68" s="79"/>
      <c r="ES68" s="79"/>
      <c r="ET68" s="79"/>
      <c r="EU68" s="79"/>
      <c r="EV68" s="79"/>
      <c r="EW68" s="79"/>
      <c r="EX68" s="79"/>
      <c r="EY68" s="79"/>
      <c r="EZ68" s="79"/>
      <c r="FA68" s="79"/>
      <c r="FB68" s="79"/>
      <c r="FC68" s="79"/>
      <c r="FD68" s="79"/>
      <c r="FE68" s="79"/>
      <c r="FF68" s="79"/>
      <c r="FG68" s="79"/>
      <c r="FH68" s="79"/>
      <c r="FI68" s="79"/>
      <c r="FJ68" s="79"/>
      <c r="FK68" s="79"/>
      <c r="FL68" s="79"/>
      <c r="FM68" s="79"/>
      <c r="FN68" s="79"/>
      <c r="FO68" s="79"/>
      <c r="FP68" s="79"/>
      <c r="FQ68" s="79"/>
      <c r="FR68" s="79"/>
      <c r="FS68" s="79"/>
    </row>
    <row r="69" spans="1:175" s="105" customFormat="1" ht="11.25" customHeight="1" x14ac:dyDescent="0.2">
      <c r="A69" s="98">
        <v>287</v>
      </c>
      <c r="B69" s="937">
        <v>17</v>
      </c>
      <c r="C69" s="35"/>
      <c r="D69" s="35" t="str">
        <f t="shared" si="44"/>
        <v>Bà</v>
      </c>
      <c r="E69" s="40" t="s">
        <v>194</v>
      </c>
      <c r="F69" s="35" t="s">
        <v>221</v>
      </c>
      <c r="G69" s="64" t="s">
        <v>139</v>
      </c>
      <c r="H69" s="1024" t="s">
        <v>200</v>
      </c>
      <c r="I69" s="64" t="s">
        <v>184</v>
      </c>
      <c r="J69" s="1024" t="s">
        <v>200</v>
      </c>
      <c r="K69" s="40">
        <v>1977</v>
      </c>
      <c r="L69" s="210" t="s">
        <v>264</v>
      </c>
      <c r="M69" s="1047" t="str">
        <f t="shared" si="45"/>
        <v>VC</v>
      </c>
      <c r="N69" s="223"/>
      <c r="O69" s="1025" t="e">
        <f t="shared" si="46"/>
        <v>#REF!</v>
      </c>
      <c r="P69" s="40"/>
      <c r="Q69" s="359" t="e">
        <f>VLOOKUP(P69,#REF!,2,0)</f>
        <v>#REF!</v>
      </c>
      <c r="R69" s="1032" t="s">
        <v>14</v>
      </c>
      <c r="S69" s="378" t="s">
        <v>67</v>
      </c>
      <c r="T69" s="38" t="e">
        <f>VLOOKUP(Y69,#REF!,5,0)</f>
        <v>#REF!</v>
      </c>
      <c r="U69" s="39" t="e">
        <f>VLOOKUP(Y69,#REF!,6,0)</f>
        <v>#REF!</v>
      </c>
      <c r="V69" s="1059" t="s">
        <v>248</v>
      </c>
      <c r="W69" s="358" t="str">
        <f t="shared" si="47"/>
        <v>Giảng viên (hạng III)</v>
      </c>
      <c r="X69" s="361" t="e">
        <f t="shared" si="48"/>
        <v>#REF!</v>
      </c>
      <c r="Y69" s="380" t="s">
        <v>254</v>
      </c>
      <c r="Z69" s="380" t="e">
        <f>VLOOKUP(Y69,#REF!,2,0)</f>
        <v>#REF!</v>
      </c>
      <c r="AA69" s="52" t="e">
        <f t="shared" si="49"/>
        <v>#REF!</v>
      </c>
      <c r="AB69" s="180">
        <v>5</v>
      </c>
      <c r="AC69" s="700" t="e">
        <f t="shared" ref="AC69:AC84" si="91">IF(AD69&gt;0,"/")</f>
        <v>#REF!</v>
      </c>
      <c r="AD69" s="43" t="e">
        <f t="shared" ref="AD69:AD83" si="92">IF(OR(BE69=0.18,BE69=0.2),12,IF(BE69=0.31,10,IF(BE69=0.33,9,IF(BE69=0.34,8,IF(BE69=0.36,6)))))</f>
        <v>#REF!</v>
      </c>
      <c r="AE69" s="44" t="e">
        <f t="shared" ref="AE69:AE84" si="93">BD69+(AB69-1)*BE69</f>
        <v>#REF!</v>
      </c>
      <c r="AF69" s="435"/>
      <c r="AG69" s="100"/>
      <c r="AH69" s="673"/>
      <c r="AI69" s="694" t="s">
        <v>200</v>
      </c>
      <c r="AJ69" s="100"/>
      <c r="AK69" s="694" t="s">
        <v>200</v>
      </c>
      <c r="AL69" s="695"/>
      <c r="AM69" s="178"/>
      <c r="AN69" s="53"/>
      <c r="AO69" s="353">
        <f t="shared" si="53"/>
        <v>6</v>
      </c>
      <c r="AP69" s="275" t="e">
        <f t="shared" si="54"/>
        <v>#REF!</v>
      </c>
      <c r="AQ69" s="84" t="e">
        <f t="shared" si="55"/>
        <v>#REF!</v>
      </c>
      <c r="AR69" s="47" t="e">
        <f t="shared" si="56"/>
        <v>#REF!</v>
      </c>
      <c r="AS69" s="438"/>
      <c r="AT69" s="48" t="s">
        <v>183</v>
      </c>
      <c r="AU69" s="669" t="s">
        <v>200</v>
      </c>
      <c r="AV69" s="49" t="s">
        <v>188</v>
      </c>
      <c r="AW69" s="669" t="s">
        <v>200</v>
      </c>
      <c r="AX69" s="50">
        <v>2017</v>
      </c>
      <c r="AY69" s="87"/>
      <c r="AZ69" s="509"/>
      <c r="BA69" s="517"/>
      <c r="BB69" s="51" t="e">
        <f t="shared" si="57"/>
        <v>#REF!</v>
      </c>
      <c r="BC69" s="356">
        <f t="shared" si="58"/>
        <v>-24207</v>
      </c>
      <c r="BD69" s="310" t="e">
        <f>VLOOKUP(Y69,#REF!,3,0)</f>
        <v>#REF!</v>
      </c>
      <c r="BE69" s="310" t="e">
        <f>VLOOKUP(Y69,#REF!,4,0)</f>
        <v>#REF!</v>
      </c>
      <c r="BF69" s="57" t="str">
        <f t="shared" si="59"/>
        <v>PCTN</v>
      </c>
      <c r="BG69" s="58">
        <v>15</v>
      </c>
      <c r="BH69" s="450" t="s">
        <v>178</v>
      </c>
      <c r="BI69" s="60" t="s">
        <v>183</v>
      </c>
      <c r="BJ69" s="677" t="s">
        <v>200</v>
      </c>
      <c r="BK69" s="448">
        <v>5</v>
      </c>
      <c r="BL69" s="677" t="s">
        <v>200</v>
      </c>
      <c r="BM69" s="256">
        <v>2018</v>
      </c>
      <c r="BN69" s="178"/>
      <c r="BO69" s="62"/>
      <c r="BP69" s="59">
        <f t="shared" si="60"/>
        <v>16</v>
      </c>
      <c r="BQ69" s="454" t="s">
        <v>178</v>
      </c>
      <c r="BR69" s="60" t="s">
        <v>183</v>
      </c>
      <c r="BS69" s="442"/>
      <c r="BT69" s="1135" t="s">
        <v>200</v>
      </c>
      <c r="BU69" s="445">
        <v>5</v>
      </c>
      <c r="BV69" s="669" t="s">
        <v>200</v>
      </c>
      <c r="BW69" s="50">
        <v>2019</v>
      </c>
      <c r="BX69" s="61"/>
      <c r="BY69" s="177">
        <v>5</v>
      </c>
      <c r="BZ69" s="357">
        <f t="shared" si="61"/>
        <v>-24233</v>
      </c>
      <c r="CA69" s="57" t="str">
        <f t="shared" si="62"/>
        <v>- - -</v>
      </c>
      <c r="CB69" s="379" t="str">
        <f t="shared" si="63"/>
        <v>Chánh Văn phòng Học viện, Trưởng Ban Tổ chức - Cán bộ, Trưởng Khoa Quản lý nhà nước về Xã hội</v>
      </c>
      <c r="CC69" s="63" t="str">
        <f t="shared" si="64"/>
        <v>A</v>
      </c>
      <c r="CD69" s="41" t="e">
        <f t="shared" si="65"/>
        <v>#REF!</v>
      </c>
      <c r="CE69" s="52" t="e">
        <f t="shared" si="66"/>
        <v>#REF!</v>
      </c>
      <c r="CF69" s="35" t="str">
        <f t="shared" si="67"/>
        <v>---</v>
      </c>
      <c r="CG69" s="35"/>
      <c r="CH69" s="367"/>
      <c r="CI69" s="35"/>
      <c r="CJ69" s="102"/>
      <c r="CK69" s="35" t="e">
        <f t="shared" si="68"/>
        <v>#REF!</v>
      </c>
      <c r="CL69" s="55" t="str">
        <f t="shared" si="69"/>
        <v>- - -</v>
      </c>
      <c r="CM69" s="65"/>
      <c r="CN69" s="66"/>
      <c r="CO69" s="65"/>
      <c r="CP69" s="80"/>
      <c r="CQ69" s="55" t="str">
        <f t="shared" si="70"/>
        <v>- - -</v>
      </c>
      <c r="CR69" s="65"/>
      <c r="CS69" s="66"/>
      <c r="CT69" s="65"/>
      <c r="CU69" s="80"/>
      <c r="CV69" s="69" t="e">
        <f t="shared" si="71"/>
        <v>#REF!</v>
      </c>
      <c r="CW69" s="70" t="str">
        <f t="shared" si="72"/>
        <v>/-/ /-/</v>
      </c>
      <c r="CX69" s="67">
        <f t="shared" si="73"/>
        <v>3</v>
      </c>
      <c r="CY69" s="68">
        <f t="shared" si="74"/>
        <v>2032</v>
      </c>
      <c r="CZ69" s="67">
        <f t="shared" si="75"/>
        <v>12</v>
      </c>
      <c r="DA69" s="68">
        <f t="shared" si="76"/>
        <v>2031</v>
      </c>
      <c r="DB69" s="67">
        <f t="shared" si="77"/>
        <v>9</v>
      </c>
      <c r="DC69" s="68">
        <f t="shared" si="78"/>
        <v>2031</v>
      </c>
      <c r="DD69" s="71" t="e">
        <f t="shared" si="79"/>
        <v>#REF!</v>
      </c>
      <c r="DE69" s="72" t="str">
        <f t="shared" si="80"/>
        <v>. .</v>
      </c>
      <c r="DF69" s="72"/>
      <c r="DG69" s="52">
        <f t="shared" si="81"/>
        <v>660</v>
      </c>
      <c r="DH69" s="52">
        <f t="shared" si="82"/>
        <v>-23714</v>
      </c>
      <c r="DI69" s="52">
        <f t="shared" si="83"/>
        <v>-1977</v>
      </c>
      <c r="DJ69" s="52" t="str">
        <f t="shared" si="84"/>
        <v>Nữ dưới 30</v>
      </c>
      <c r="DK69" s="52"/>
      <c r="DL69" s="52"/>
      <c r="DM69" s="57" t="str">
        <f t="shared" si="85"/>
        <v>Đến 30</v>
      </c>
      <c r="DN69" s="65" t="str">
        <f t="shared" si="86"/>
        <v>TD</v>
      </c>
      <c r="DO69" s="36">
        <v>2008</v>
      </c>
      <c r="DP69" s="35"/>
      <c r="DQ69" s="73"/>
      <c r="DR69" s="36"/>
      <c r="DS69" s="80"/>
      <c r="DT69" s="81"/>
      <c r="DU69" s="82"/>
      <c r="DV69" s="75"/>
      <c r="DW69" s="87"/>
      <c r="DX69" s="37" t="s">
        <v>14</v>
      </c>
      <c r="DY69" s="378" t="s">
        <v>67</v>
      </c>
      <c r="DZ69" s="37" t="s">
        <v>14</v>
      </c>
      <c r="EA69" s="48" t="s">
        <v>183</v>
      </c>
      <c r="EB69" s="49" t="s">
        <v>200</v>
      </c>
      <c r="EC69" s="184" t="s">
        <v>188</v>
      </c>
      <c r="ED69" s="49" t="s">
        <v>200</v>
      </c>
      <c r="EE69" s="76" t="s">
        <v>203</v>
      </c>
      <c r="EF69" s="49">
        <f t="shared" si="87"/>
        <v>0</v>
      </c>
      <c r="EG69" s="77" t="str">
        <f t="shared" si="88"/>
        <v>- - -</v>
      </c>
      <c r="EH69" s="48" t="s">
        <v>183</v>
      </c>
      <c r="EI69" s="49" t="s">
        <v>200</v>
      </c>
      <c r="EJ69" s="49" t="s">
        <v>188</v>
      </c>
      <c r="EK69" s="49" t="s">
        <v>200</v>
      </c>
      <c r="EL69" s="76" t="s">
        <v>203</v>
      </c>
      <c r="EM69" s="35"/>
      <c r="EN69" s="55" t="e">
        <f t="shared" si="89"/>
        <v>#REF!</v>
      </c>
      <c r="EO69" s="78" t="str">
        <f t="shared" si="90"/>
        <v>---</v>
      </c>
      <c r="EP69" s="87"/>
      <c r="EQ69" s="94"/>
      <c r="ER69" s="94"/>
      <c r="ES69" s="94"/>
      <c r="ET69" s="94"/>
      <c r="EU69" s="94"/>
      <c r="EV69" s="94"/>
      <c r="EW69" s="94"/>
      <c r="EX69" s="94"/>
      <c r="EY69" s="94"/>
      <c r="EZ69" s="94"/>
      <c r="FA69" s="94"/>
      <c r="FB69" s="94"/>
      <c r="FC69" s="94"/>
      <c r="FD69" s="94"/>
      <c r="FE69" s="94"/>
      <c r="FF69" s="94"/>
      <c r="FG69" s="94"/>
      <c r="FH69" s="94"/>
      <c r="FI69" s="94"/>
      <c r="FJ69" s="94"/>
      <c r="FK69" s="94"/>
      <c r="FL69" s="94"/>
      <c r="FM69" s="94"/>
      <c r="FN69" s="94"/>
      <c r="FO69" s="1031"/>
      <c r="FP69" s="1031"/>
      <c r="FQ69" s="1031"/>
      <c r="FR69" s="1031"/>
      <c r="FS69" s="1031"/>
    </row>
    <row r="70" spans="1:175" s="172" customFormat="1" ht="11.25" customHeight="1" x14ac:dyDescent="0.2">
      <c r="A70" s="98">
        <v>289</v>
      </c>
      <c r="B70" s="937">
        <v>18</v>
      </c>
      <c r="C70" s="35"/>
      <c r="D70" s="35" t="str">
        <f t="shared" si="44"/>
        <v>Bà</v>
      </c>
      <c r="E70" s="40" t="s">
        <v>16</v>
      </c>
      <c r="F70" s="35" t="s">
        <v>221</v>
      </c>
      <c r="G70" s="64" t="s">
        <v>135</v>
      </c>
      <c r="H70" s="1024" t="s">
        <v>200</v>
      </c>
      <c r="I70" s="64">
        <v>9</v>
      </c>
      <c r="J70" s="1024" t="s">
        <v>200</v>
      </c>
      <c r="K70" s="40">
        <v>1977</v>
      </c>
      <c r="L70" s="210" t="s">
        <v>264</v>
      </c>
      <c r="M70" s="1047" t="str">
        <f t="shared" si="45"/>
        <v>VC</v>
      </c>
      <c r="N70" s="223"/>
      <c r="O70" s="1025" t="e">
        <f t="shared" si="46"/>
        <v>#REF!</v>
      </c>
      <c r="P70" s="40" t="s">
        <v>121</v>
      </c>
      <c r="Q70" s="359" t="e">
        <f>VLOOKUP(P70,#REF!,2,0)</f>
        <v>#REF!</v>
      </c>
      <c r="R70" s="1032" t="s">
        <v>14</v>
      </c>
      <c r="S70" s="378" t="s">
        <v>67</v>
      </c>
      <c r="T70" s="38" t="e">
        <f>VLOOKUP(Y70,#REF!,5,0)</f>
        <v>#REF!</v>
      </c>
      <c r="U70" s="39" t="e">
        <f>VLOOKUP(Y70,#REF!,6,0)</f>
        <v>#REF!</v>
      </c>
      <c r="V70" s="1059" t="s">
        <v>248</v>
      </c>
      <c r="W70" s="358" t="str">
        <f t="shared" si="47"/>
        <v>Giảng viên (hạng III)</v>
      </c>
      <c r="X70" s="361" t="e">
        <f t="shared" si="48"/>
        <v>#REF!</v>
      </c>
      <c r="Y70" s="380" t="s">
        <v>254</v>
      </c>
      <c r="Z70" s="380" t="e">
        <f>VLOOKUP(Y70,#REF!,2,0)</f>
        <v>#REF!</v>
      </c>
      <c r="AA70" s="52" t="e">
        <f t="shared" si="49"/>
        <v>#REF!</v>
      </c>
      <c r="AB70" s="180">
        <v>6</v>
      </c>
      <c r="AC70" s="700" t="e">
        <f t="shared" si="91"/>
        <v>#REF!</v>
      </c>
      <c r="AD70" s="43" t="e">
        <f t="shared" si="92"/>
        <v>#REF!</v>
      </c>
      <c r="AE70" s="44" t="e">
        <f t="shared" si="93"/>
        <v>#REF!</v>
      </c>
      <c r="AF70" s="435"/>
      <c r="AG70" s="100"/>
      <c r="AH70" s="673" t="s">
        <v>183</v>
      </c>
      <c r="AI70" s="1022" t="s">
        <v>200</v>
      </c>
      <c r="AJ70" s="100" t="s">
        <v>216</v>
      </c>
      <c r="AK70" s="694" t="s">
        <v>200</v>
      </c>
      <c r="AL70" s="695">
        <v>2015</v>
      </c>
      <c r="AM70" s="178"/>
      <c r="AN70" s="53"/>
      <c r="AO70" s="353">
        <f t="shared" si="53"/>
        <v>7</v>
      </c>
      <c r="AP70" s="275" t="e">
        <f t="shared" si="54"/>
        <v>#REF!</v>
      </c>
      <c r="AQ70" s="84" t="e">
        <f t="shared" si="55"/>
        <v>#REF!</v>
      </c>
      <c r="AR70" s="47" t="e">
        <f t="shared" si="56"/>
        <v>#REF!</v>
      </c>
      <c r="AS70" s="438"/>
      <c r="AT70" s="48" t="s">
        <v>183</v>
      </c>
      <c r="AU70" s="693" t="s">
        <v>200</v>
      </c>
      <c r="AV70" s="49" t="s">
        <v>216</v>
      </c>
      <c r="AW70" s="669" t="s">
        <v>200</v>
      </c>
      <c r="AX70" s="50">
        <v>2018</v>
      </c>
      <c r="AY70" s="87"/>
      <c r="AZ70" s="300"/>
      <c r="BA70" s="517">
        <v>4.18</v>
      </c>
      <c r="BB70" s="51" t="e">
        <f t="shared" si="57"/>
        <v>#REF!</v>
      </c>
      <c r="BC70" s="356">
        <f t="shared" si="58"/>
        <v>-24220</v>
      </c>
      <c r="BD70" s="310" t="e">
        <f>VLOOKUP(Y70,#REF!,3,0)</f>
        <v>#REF!</v>
      </c>
      <c r="BE70" s="310" t="e">
        <f>VLOOKUP(Y70,#REF!,4,0)</f>
        <v>#REF!</v>
      </c>
      <c r="BF70" s="57" t="str">
        <f t="shared" si="59"/>
        <v>PCTN</v>
      </c>
      <c r="BG70" s="58">
        <v>15</v>
      </c>
      <c r="BH70" s="450" t="s">
        <v>178</v>
      </c>
      <c r="BI70" s="60" t="s">
        <v>183</v>
      </c>
      <c r="BJ70" s="677" t="s">
        <v>200</v>
      </c>
      <c r="BK70" s="448">
        <v>5</v>
      </c>
      <c r="BL70" s="677" t="s">
        <v>200</v>
      </c>
      <c r="BM70" s="256">
        <v>2018</v>
      </c>
      <c r="BN70" s="178"/>
      <c r="BO70" s="62"/>
      <c r="BP70" s="59">
        <f t="shared" si="60"/>
        <v>16</v>
      </c>
      <c r="BQ70" s="454" t="s">
        <v>178</v>
      </c>
      <c r="BR70" s="60" t="s">
        <v>183</v>
      </c>
      <c r="BS70" s="442"/>
      <c r="BT70" s="1135" t="s">
        <v>200</v>
      </c>
      <c r="BU70" s="445">
        <v>5</v>
      </c>
      <c r="BV70" s="669" t="s">
        <v>200</v>
      </c>
      <c r="BW70" s="50">
        <v>2019</v>
      </c>
      <c r="BX70" s="61"/>
      <c r="BY70" s="177">
        <v>5</v>
      </c>
      <c r="BZ70" s="357">
        <f t="shared" si="61"/>
        <v>-24233</v>
      </c>
      <c r="CA70" s="57" t="str">
        <f t="shared" si="62"/>
        <v>- - -</v>
      </c>
      <c r="CB70" s="379" t="str">
        <f t="shared" si="63"/>
        <v>Chánh Văn phòng Học viện, Trưởng Ban Tổ chức - Cán bộ, Trưởng Khoa Quản lý nhà nước về Xã hội</v>
      </c>
      <c r="CC70" s="63" t="str">
        <f t="shared" si="64"/>
        <v>A</v>
      </c>
      <c r="CD70" s="41" t="e">
        <f t="shared" si="65"/>
        <v>#REF!</v>
      </c>
      <c r="CE70" s="52" t="e">
        <f t="shared" si="66"/>
        <v>#REF!</v>
      </c>
      <c r="CF70" s="35" t="str">
        <f t="shared" si="67"/>
        <v>S</v>
      </c>
      <c r="CG70" s="35">
        <v>2012</v>
      </c>
      <c r="CH70" s="367" t="s">
        <v>250</v>
      </c>
      <c r="CI70" s="35"/>
      <c r="CJ70" s="102"/>
      <c r="CK70" s="35" t="e">
        <f t="shared" si="68"/>
        <v>#REF!</v>
      </c>
      <c r="CL70" s="55" t="str">
        <f t="shared" si="69"/>
        <v>- - -</v>
      </c>
      <c r="CM70" s="65"/>
      <c r="CN70" s="66"/>
      <c r="CO70" s="65"/>
      <c r="CP70" s="80"/>
      <c r="CQ70" s="55" t="str">
        <f t="shared" si="70"/>
        <v>- - -</v>
      </c>
      <c r="CR70" s="65"/>
      <c r="CS70" s="66"/>
      <c r="CT70" s="65"/>
      <c r="CU70" s="80"/>
      <c r="CV70" s="69" t="e">
        <f t="shared" si="71"/>
        <v>#REF!</v>
      </c>
      <c r="CW70" s="70" t="str">
        <f t="shared" si="72"/>
        <v>/-/ /-/</v>
      </c>
      <c r="CX70" s="67">
        <f t="shared" si="73"/>
        <v>10</v>
      </c>
      <c r="CY70" s="68">
        <f t="shared" si="74"/>
        <v>2032</v>
      </c>
      <c r="CZ70" s="67">
        <f t="shared" si="75"/>
        <v>7</v>
      </c>
      <c r="DA70" s="68">
        <f t="shared" si="76"/>
        <v>2032</v>
      </c>
      <c r="DB70" s="67">
        <f t="shared" si="77"/>
        <v>4</v>
      </c>
      <c r="DC70" s="68">
        <f t="shared" si="78"/>
        <v>2032</v>
      </c>
      <c r="DD70" s="71" t="e">
        <f t="shared" si="79"/>
        <v>#REF!</v>
      </c>
      <c r="DE70" s="72" t="str">
        <f t="shared" si="80"/>
        <v>. .</v>
      </c>
      <c r="DF70" s="72"/>
      <c r="DG70" s="52">
        <f t="shared" si="81"/>
        <v>660</v>
      </c>
      <c r="DH70" s="52">
        <f t="shared" si="82"/>
        <v>-23721</v>
      </c>
      <c r="DI70" s="52">
        <f t="shared" si="83"/>
        <v>-1977</v>
      </c>
      <c r="DJ70" s="52" t="str">
        <f t="shared" si="84"/>
        <v>Nữ dưới 30</v>
      </c>
      <c r="DK70" s="52"/>
      <c r="DL70" s="52"/>
      <c r="DM70" s="57" t="str">
        <f t="shared" si="85"/>
        <v>Đến 30</v>
      </c>
      <c r="DN70" s="65" t="str">
        <f t="shared" si="86"/>
        <v>TD</v>
      </c>
      <c r="DO70" s="36">
        <v>2008</v>
      </c>
      <c r="DP70" s="35"/>
      <c r="DQ70" s="73"/>
      <c r="DR70" s="36"/>
      <c r="DS70" s="80"/>
      <c r="DT70" s="81"/>
      <c r="DU70" s="82"/>
      <c r="DV70" s="75"/>
      <c r="DW70" s="87"/>
      <c r="DX70" s="37" t="s">
        <v>14</v>
      </c>
      <c r="DY70" s="378" t="s">
        <v>67</v>
      </c>
      <c r="DZ70" s="37" t="s">
        <v>14</v>
      </c>
      <c r="EA70" s="48" t="s">
        <v>183</v>
      </c>
      <c r="EB70" s="49" t="s">
        <v>200</v>
      </c>
      <c r="EC70" s="184" t="s">
        <v>216</v>
      </c>
      <c r="ED70" s="49" t="s">
        <v>200</v>
      </c>
      <c r="EE70" s="76">
        <v>2012</v>
      </c>
      <c r="EF70" s="49">
        <f t="shared" si="87"/>
        <v>0</v>
      </c>
      <c r="EG70" s="77" t="str">
        <f t="shared" si="88"/>
        <v>- - -</v>
      </c>
      <c r="EH70" s="48" t="s">
        <v>183</v>
      </c>
      <c r="EI70" s="49" t="s">
        <v>200</v>
      </c>
      <c r="EJ70" s="184" t="s">
        <v>216</v>
      </c>
      <c r="EK70" s="49" t="s">
        <v>200</v>
      </c>
      <c r="EL70" s="76">
        <v>2012</v>
      </c>
      <c r="EM70" s="35"/>
      <c r="EN70" s="55" t="e">
        <f t="shared" si="89"/>
        <v>#REF!</v>
      </c>
      <c r="EO70" s="78" t="str">
        <f t="shared" si="90"/>
        <v>---</v>
      </c>
      <c r="EP70" s="87"/>
      <c r="EQ70" s="79"/>
      <c r="ER70" s="79"/>
      <c r="ES70" s="79"/>
      <c r="ET70" s="79"/>
      <c r="EU70" s="79"/>
      <c r="EV70" s="79"/>
      <c r="EW70" s="79"/>
      <c r="EX70" s="79"/>
      <c r="EY70" s="79"/>
      <c r="EZ70" s="79"/>
      <c r="FA70" s="79"/>
      <c r="FB70" s="79"/>
      <c r="FC70" s="79"/>
      <c r="FD70" s="79"/>
      <c r="FE70" s="79"/>
      <c r="FF70" s="79"/>
      <c r="FG70" s="79"/>
      <c r="FH70" s="79"/>
      <c r="FI70" s="79"/>
      <c r="FJ70" s="79"/>
      <c r="FK70" s="79"/>
      <c r="FL70" s="79"/>
      <c r="FM70" s="79"/>
      <c r="FN70" s="79"/>
      <c r="FO70" s="79"/>
      <c r="FP70" s="79"/>
      <c r="FQ70" s="79"/>
      <c r="FR70" s="79"/>
      <c r="FS70" s="79"/>
    </row>
    <row r="71" spans="1:175" s="172" customFormat="1" ht="11.25" customHeight="1" x14ac:dyDescent="0.2">
      <c r="A71" s="98">
        <v>295</v>
      </c>
      <c r="B71" s="937">
        <v>19</v>
      </c>
      <c r="C71" s="35"/>
      <c r="D71" s="35" t="str">
        <f t="shared" si="44"/>
        <v>Ông</v>
      </c>
      <c r="E71" s="40" t="s">
        <v>15</v>
      </c>
      <c r="F71" s="35" t="s">
        <v>219</v>
      </c>
      <c r="G71" s="64" t="s">
        <v>212</v>
      </c>
      <c r="H71" s="1024" t="s">
        <v>200</v>
      </c>
      <c r="I71" s="64">
        <v>7</v>
      </c>
      <c r="J71" s="1024" t="s">
        <v>200</v>
      </c>
      <c r="K71" s="40">
        <v>1970</v>
      </c>
      <c r="L71" s="210" t="s">
        <v>264</v>
      </c>
      <c r="M71" s="1047" t="str">
        <f t="shared" si="45"/>
        <v>VC</v>
      </c>
      <c r="N71" s="223"/>
      <c r="O71" s="1025" t="e">
        <f t="shared" si="46"/>
        <v>#REF!</v>
      </c>
      <c r="P71" s="40" t="s">
        <v>121</v>
      </c>
      <c r="Q71" s="359" t="e">
        <f>VLOOKUP(P71,#REF!,2,0)</f>
        <v>#REF!</v>
      </c>
      <c r="R71" s="1032" t="s">
        <v>225</v>
      </c>
      <c r="S71" s="378" t="s">
        <v>67</v>
      </c>
      <c r="T71" s="38" t="e">
        <f>VLOOKUP(Y71,#REF!,5,0)</f>
        <v>#REF!</v>
      </c>
      <c r="U71" s="39" t="e">
        <f>VLOOKUP(Y71,#REF!,6,0)</f>
        <v>#REF!</v>
      </c>
      <c r="V71" s="1059" t="s">
        <v>248</v>
      </c>
      <c r="W71" s="358" t="str">
        <f t="shared" si="47"/>
        <v>Giảng viên chính (hạng II)</v>
      </c>
      <c r="X71" s="361" t="e">
        <f t="shared" si="48"/>
        <v>#REF!</v>
      </c>
      <c r="Y71" s="380" t="s">
        <v>255</v>
      </c>
      <c r="Z71" s="380" t="e">
        <f>VLOOKUP(Y71,#REF!,2,0)</f>
        <v>#REF!</v>
      </c>
      <c r="AA71" s="52" t="e">
        <f t="shared" si="49"/>
        <v>#REF!</v>
      </c>
      <c r="AB71" s="180">
        <v>2</v>
      </c>
      <c r="AC71" s="700" t="e">
        <f t="shared" si="91"/>
        <v>#REF!</v>
      </c>
      <c r="AD71" s="43" t="e">
        <f t="shared" si="92"/>
        <v>#REF!</v>
      </c>
      <c r="AE71" s="44" t="e">
        <f t="shared" si="93"/>
        <v>#REF!</v>
      </c>
      <c r="AF71" s="435"/>
      <c r="AG71" s="100"/>
      <c r="AH71" s="673"/>
      <c r="AI71" s="1022" t="s">
        <v>200</v>
      </c>
      <c r="AJ71" s="100"/>
      <c r="AK71" s="694" t="s">
        <v>200</v>
      </c>
      <c r="AL71" s="695"/>
      <c r="AM71" s="178"/>
      <c r="AN71" s="53"/>
      <c r="AO71" s="353">
        <f t="shared" si="53"/>
        <v>3</v>
      </c>
      <c r="AP71" s="275" t="e">
        <f t="shared" si="54"/>
        <v>#REF!</v>
      </c>
      <c r="AQ71" s="84" t="e">
        <f t="shared" si="55"/>
        <v>#REF!</v>
      </c>
      <c r="AR71" s="47" t="e">
        <f t="shared" si="56"/>
        <v>#REF!</v>
      </c>
      <c r="AS71" s="438"/>
      <c r="AT71" s="48" t="s">
        <v>183</v>
      </c>
      <c r="AU71" s="693" t="s">
        <v>200</v>
      </c>
      <c r="AV71" s="49" t="s">
        <v>183</v>
      </c>
      <c r="AW71" s="669" t="s">
        <v>200</v>
      </c>
      <c r="AX71" s="50">
        <v>2017</v>
      </c>
      <c r="AY71" s="87"/>
      <c r="AZ71" s="300"/>
      <c r="BA71" s="517"/>
      <c r="BB71" s="51" t="e">
        <f t="shared" si="57"/>
        <v>#REF!</v>
      </c>
      <c r="BC71" s="356">
        <f t="shared" si="58"/>
        <v>-24205</v>
      </c>
      <c r="BD71" s="310" t="e">
        <f>VLOOKUP(Y71,#REF!,3,0)</f>
        <v>#REF!</v>
      </c>
      <c r="BE71" s="310" t="e">
        <f>VLOOKUP(Y71,#REF!,4,0)</f>
        <v>#REF!</v>
      </c>
      <c r="BF71" s="57" t="str">
        <f t="shared" si="59"/>
        <v>PCTN</v>
      </c>
      <c r="BG71" s="58">
        <v>15</v>
      </c>
      <c r="BH71" s="450" t="s">
        <v>178</v>
      </c>
      <c r="BI71" s="60" t="s">
        <v>183</v>
      </c>
      <c r="BJ71" s="677" t="s">
        <v>200</v>
      </c>
      <c r="BK71" s="448">
        <v>5</v>
      </c>
      <c r="BL71" s="677" t="s">
        <v>200</v>
      </c>
      <c r="BM71" s="256">
        <v>2018</v>
      </c>
      <c r="BN71" s="178"/>
      <c r="BO71" s="62"/>
      <c r="BP71" s="59">
        <f t="shared" si="60"/>
        <v>16</v>
      </c>
      <c r="BQ71" s="454" t="s">
        <v>178</v>
      </c>
      <c r="BR71" s="60" t="s">
        <v>183</v>
      </c>
      <c r="BS71" s="442"/>
      <c r="BT71" s="1135" t="s">
        <v>200</v>
      </c>
      <c r="BU71" s="445">
        <v>5</v>
      </c>
      <c r="BV71" s="669" t="s">
        <v>200</v>
      </c>
      <c r="BW71" s="50">
        <v>2019</v>
      </c>
      <c r="BX71" s="61"/>
      <c r="BY71" s="177">
        <v>5</v>
      </c>
      <c r="BZ71" s="357">
        <f t="shared" si="61"/>
        <v>-24233</v>
      </c>
      <c r="CA71" s="57" t="str">
        <f t="shared" si="62"/>
        <v>- - -</v>
      </c>
      <c r="CB71" s="379" t="str">
        <f t="shared" si="63"/>
        <v>Chánh Văn phòng Học viện, Trưởng Ban Tổ chức - Cán bộ, Trưởng Khoa Quản lý nhà nước về Xã hội</v>
      </c>
      <c r="CC71" s="63" t="str">
        <f t="shared" si="64"/>
        <v>A</v>
      </c>
      <c r="CD71" s="41" t="e">
        <f t="shared" si="65"/>
        <v>#REF!</v>
      </c>
      <c r="CE71" s="52" t="e">
        <f t="shared" si="66"/>
        <v>#REF!</v>
      </c>
      <c r="CF71" s="35" t="str">
        <f t="shared" si="67"/>
        <v>S</v>
      </c>
      <c r="CG71" s="35">
        <v>2009</v>
      </c>
      <c r="CH71" s="367" t="s">
        <v>250</v>
      </c>
      <c r="CI71" s="35"/>
      <c r="CJ71" s="102"/>
      <c r="CK71" s="35" t="e">
        <f t="shared" si="68"/>
        <v>#REF!</v>
      </c>
      <c r="CL71" s="55" t="str">
        <f t="shared" si="69"/>
        <v>NN</v>
      </c>
      <c r="CM71" s="65">
        <v>1</v>
      </c>
      <c r="CN71" s="66" t="s">
        <v>203</v>
      </c>
      <c r="CO71" s="65"/>
      <c r="CP71" s="80"/>
      <c r="CQ71" s="55" t="str">
        <f t="shared" si="70"/>
        <v>- - -</v>
      </c>
      <c r="CR71" s="65"/>
      <c r="CS71" s="66"/>
      <c r="CT71" s="65"/>
      <c r="CU71" s="80"/>
      <c r="CV71" s="69" t="e">
        <f t="shared" si="71"/>
        <v>#REF!</v>
      </c>
      <c r="CW71" s="70" t="str">
        <f t="shared" si="72"/>
        <v>/-/ /-/</v>
      </c>
      <c r="CX71" s="67">
        <f t="shared" si="73"/>
        <v>8</v>
      </c>
      <c r="CY71" s="68">
        <f t="shared" si="74"/>
        <v>2030</v>
      </c>
      <c r="CZ71" s="67">
        <f t="shared" si="75"/>
        <v>5</v>
      </c>
      <c r="DA71" s="68">
        <f t="shared" si="76"/>
        <v>2030</v>
      </c>
      <c r="DB71" s="67">
        <f t="shared" si="77"/>
        <v>2</v>
      </c>
      <c r="DC71" s="68">
        <f t="shared" si="78"/>
        <v>2030</v>
      </c>
      <c r="DD71" s="71" t="e">
        <f t="shared" si="79"/>
        <v>#REF!</v>
      </c>
      <c r="DE71" s="72" t="str">
        <f t="shared" si="80"/>
        <v>. .</v>
      </c>
      <c r="DF71" s="72"/>
      <c r="DG71" s="52">
        <f t="shared" si="81"/>
        <v>720</v>
      </c>
      <c r="DH71" s="52">
        <f t="shared" si="82"/>
        <v>-23635</v>
      </c>
      <c r="DI71" s="52">
        <f t="shared" si="83"/>
        <v>-1970</v>
      </c>
      <c r="DJ71" s="52" t="str">
        <f t="shared" si="84"/>
        <v>Nam dưới 35</v>
      </c>
      <c r="DK71" s="52"/>
      <c r="DL71" s="52"/>
      <c r="DM71" s="57" t="str">
        <f t="shared" si="85"/>
        <v>Đến 30</v>
      </c>
      <c r="DN71" s="65" t="str">
        <f t="shared" si="86"/>
        <v>TD</v>
      </c>
      <c r="DO71" s="36">
        <v>2008</v>
      </c>
      <c r="DP71" s="35"/>
      <c r="DQ71" s="73"/>
      <c r="DR71" s="36"/>
      <c r="DS71" s="80"/>
      <c r="DT71" s="81"/>
      <c r="DU71" s="82"/>
      <c r="DV71" s="75"/>
      <c r="DW71" s="87"/>
      <c r="DX71" s="37" t="s">
        <v>225</v>
      </c>
      <c r="DY71" s="378" t="s">
        <v>67</v>
      </c>
      <c r="DZ71" s="37" t="s">
        <v>225</v>
      </c>
      <c r="EA71" s="48" t="s">
        <v>183</v>
      </c>
      <c r="EB71" s="49" t="s">
        <v>200</v>
      </c>
      <c r="EC71" s="184" t="s">
        <v>183</v>
      </c>
      <c r="ED71" s="49" t="s">
        <v>200</v>
      </c>
      <c r="EE71" s="76">
        <v>2014</v>
      </c>
      <c r="EF71" s="49">
        <f t="shared" si="87"/>
        <v>0</v>
      </c>
      <c r="EG71" s="77" t="str">
        <f t="shared" si="88"/>
        <v>- - -</v>
      </c>
      <c r="EH71" s="48" t="s">
        <v>183</v>
      </c>
      <c r="EI71" s="49" t="s">
        <v>200</v>
      </c>
      <c r="EJ71" s="184" t="s">
        <v>183</v>
      </c>
      <c r="EK71" s="49" t="s">
        <v>200</v>
      </c>
      <c r="EL71" s="76">
        <v>2014</v>
      </c>
      <c r="EM71" s="35">
        <v>3.66</v>
      </c>
      <c r="EN71" s="55" t="e">
        <f t="shared" si="89"/>
        <v>#REF!</v>
      </c>
      <c r="EO71" s="78" t="str">
        <f t="shared" si="90"/>
        <v>---</v>
      </c>
      <c r="EP71" s="87"/>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347"/>
      <c r="FP71" s="347"/>
      <c r="FQ71" s="347"/>
      <c r="FR71" s="347"/>
      <c r="FS71" s="347"/>
    </row>
    <row r="72" spans="1:175" s="79" customFormat="1" ht="11.25" customHeight="1" x14ac:dyDescent="0.2">
      <c r="A72" s="98">
        <v>301</v>
      </c>
      <c r="B72" s="937">
        <v>20</v>
      </c>
      <c r="C72" s="301" t="s">
        <v>227</v>
      </c>
      <c r="D72" s="301" t="str">
        <f t="shared" si="44"/>
        <v>Ông</v>
      </c>
      <c r="E72" s="348" t="s">
        <v>274</v>
      </c>
      <c r="F72" s="301" t="s">
        <v>219</v>
      </c>
      <c r="G72" s="1028" t="s">
        <v>142</v>
      </c>
      <c r="H72" s="1029" t="s">
        <v>200</v>
      </c>
      <c r="I72" s="1028" t="s">
        <v>211</v>
      </c>
      <c r="J72" s="1029" t="s">
        <v>200</v>
      </c>
      <c r="K72" s="302">
        <v>1975</v>
      </c>
      <c r="L72" s="313" t="s">
        <v>264</v>
      </c>
      <c r="M72" s="307" t="str">
        <f t="shared" si="45"/>
        <v>VC</v>
      </c>
      <c r="N72" s="706"/>
      <c r="O72" s="1030" t="e">
        <f t="shared" si="46"/>
        <v>#REF!</v>
      </c>
      <c r="P72" s="302" t="s">
        <v>121</v>
      </c>
      <c r="Q72" s="381" t="e">
        <f>VLOOKUP(P72,#REF!,2,0)</f>
        <v>#REF!</v>
      </c>
      <c r="R72" s="1038" t="s">
        <v>13</v>
      </c>
      <c r="S72" s="382" t="s">
        <v>67</v>
      </c>
      <c r="T72" s="305" t="e">
        <f>VLOOKUP(Y72,#REF!,5,0)</f>
        <v>#REF!</v>
      </c>
      <c r="U72" s="306" t="e">
        <f>VLOOKUP(Y72,#REF!,6,0)</f>
        <v>#REF!</v>
      </c>
      <c r="V72" s="328" t="s">
        <v>248</v>
      </c>
      <c r="W72" s="383" t="str">
        <f t="shared" si="47"/>
        <v>Giảng viên (hạng III)</v>
      </c>
      <c r="X72" s="328" t="e">
        <f t="shared" si="48"/>
        <v>#REF!</v>
      </c>
      <c r="Y72" s="388" t="s">
        <v>254</v>
      </c>
      <c r="Z72" s="384" t="e">
        <f>VLOOKUP(Y72,#REF!,2,0)</f>
        <v>#REF!</v>
      </c>
      <c r="AA72" s="307" t="e">
        <f t="shared" si="49"/>
        <v>#REF!</v>
      </c>
      <c r="AB72" s="308">
        <v>6</v>
      </c>
      <c r="AC72" s="701" t="e">
        <f t="shared" si="91"/>
        <v>#REF!</v>
      </c>
      <c r="AD72" s="309" t="e">
        <f t="shared" si="92"/>
        <v>#REF!</v>
      </c>
      <c r="AE72" s="310" t="e">
        <f t="shared" si="93"/>
        <v>#REF!</v>
      </c>
      <c r="AF72" s="507"/>
      <c r="AG72" s="311"/>
      <c r="AH72" s="707"/>
      <c r="AI72" s="694" t="s">
        <v>200</v>
      </c>
      <c r="AJ72" s="311"/>
      <c r="AK72" s="694" t="s">
        <v>200</v>
      </c>
      <c r="AL72" s="708"/>
      <c r="AM72" s="319"/>
      <c r="AN72" s="320"/>
      <c r="AO72" s="1018">
        <f t="shared" si="53"/>
        <v>7</v>
      </c>
      <c r="AP72" s="1019" t="e">
        <f t="shared" si="54"/>
        <v>#REF!</v>
      </c>
      <c r="AQ72" s="312" t="e">
        <f t="shared" si="55"/>
        <v>#REF!</v>
      </c>
      <c r="AR72" s="313" t="e">
        <f t="shared" si="56"/>
        <v>#REF!</v>
      </c>
      <c r="AS72" s="439"/>
      <c r="AT72" s="314" t="s">
        <v>183</v>
      </c>
      <c r="AU72" s="676" t="s">
        <v>200</v>
      </c>
      <c r="AV72" s="315" t="s">
        <v>216</v>
      </c>
      <c r="AW72" s="676" t="s">
        <v>200</v>
      </c>
      <c r="AX72" s="316">
        <v>2018</v>
      </c>
      <c r="AY72" s="346"/>
      <c r="AZ72" s="513" t="s">
        <v>348</v>
      </c>
      <c r="BA72" s="518"/>
      <c r="BB72" s="318" t="e">
        <f t="shared" si="57"/>
        <v>#REF!</v>
      </c>
      <c r="BC72" s="385">
        <f t="shared" si="58"/>
        <v>-24220</v>
      </c>
      <c r="BD72" s="310" t="e">
        <f>VLOOKUP(Y72,#REF!,3,0)</f>
        <v>#REF!</v>
      </c>
      <c r="BE72" s="310" t="e">
        <f>VLOOKUP(Y72,#REF!,4,0)</f>
        <v>#REF!</v>
      </c>
      <c r="BF72" s="321" t="str">
        <f t="shared" si="59"/>
        <v>PCTN</v>
      </c>
      <c r="BG72" s="322">
        <v>22</v>
      </c>
      <c r="BH72" s="451" t="s">
        <v>178</v>
      </c>
      <c r="BI72" s="709" t="s">
        <v>183</v>
      </c>
      <c r="BJ72" s="676" t="s">
        <v>200</v>
      </c>
      <c r="BK72" s="446" t="s">
        <v>185</v>
      </c>
      <c r="BL72" s="676" t="s">
        <v>200</v>
      </c>
      <c r="BM72" s="316">
        <v>2018</v>
      </c>
      <c r="BN72" s="319"/>
      <c r="BO72" s="325"/>
      <c r="BP72" s="323">
        <f t="shared" si="60"/>
        <v>23</v>
      </c>
      <c r="BQ72" s="710" t="s">
        <v>178</v>
      </c>
      <c r="BR72" s="709" t="s">
        <v>183</v>
      </c>
      <c r="BS72" s="443"/>
      <c r="BT72" s="1136" t="s">
        <v>200</v>
      </c>
      <c r="BU72" s="446" t="s">
        <v>185</v>
      </c>
      <c r="BV72" s="676" t="s">
        <v>200</v>
      </c>
      <c r="BW72" s="50">
        <v>2019</v>
      </c>
      <c r="BX72" s="324"/>
      <c r="BY72" s="317"/>
      <c r="BZ72" s="386">
        <f t="shared" si="61"/>
        <v>-24233</v>
      </c>
      <c r="CA72" s="321" t="str">
        <f t="shared" si="62"/>
        <v>- - -</v>
      </c>
      <c r="CB72" s="302" t="str">
        <f t="shared" si="63"/>
        <v>Chánh Văn phòng Học viện, Trưởng Ban Tổ chức - Cán bộ, Trưởng Khoa Quản lý nhà nước về Xã hội</v>
      </c>
      <c r="CC72" s="326" t="str">
        <f t="shared" si="64"/>
        <v>A</v>
      </c>
      <c r="CD72" s="327" t="e">
        <f t="shared" si="65"/>
        <v>#REF!</v>
      </c>
      <c r="CE72" s="307" t="e">
        <f t="shared" si="66"/>
        <v>#REF!</v>
      </c>
      <c r="CF72" s="301" t="str">
        <f t="shared" si="67"/>
        <v>---</v>
      </c>
      <c r="CG72" s="301"/>
      <c r="CH72" s="372"/>
      <c r="CI72" s="301"/>
      <c r="CJ72" s="387"/>
      <c r="CK72" s="301" t="e">
        <f t="shared" si="68"/>
        <v>#REF!</v>
      </c>
      <c r="CL72" s="329" t="str">
        <f t="shared" si="69"/>
        <v>- - -</v>
      </c>
      <c r="CM72" s="330"/>
      <c r="CN72" s="331"/>
      <c r="CO72" s="330"/>
      <c r="CP72" s="332"/>
      <c r="CQ72" s="329" t="str">
        <f t="shared" si="70"/>
        <v>- - -</v>
      </c>
      <c r="CR72" s="330"/>
      <c r="CS72" s="331"/>
      <c r="CT72" s="330"/>
      <c r="CU72" s="332"/>
      <c r="CV72" s="333" t="e">
        <f t="shared" si="71"/>
        <v>#REF!</v>
      </c>
      <c r="CW72" s="334" t="str">
        <f t="shared" si="72"/>
        <v>/-/ /-/</v>
      </c>
      <c r="CX72" s="335">
        <f t="shared" si="73"/>
        <v>12</v>
      </c>
      <c r="CY72" s="336">
        <f t="shared" si="74"/>
        <v>2035</v>
      </c>
      <c r="CZ72" s="335">
        <f t="shared" si="75"/>
        <v>9</v>
      </c>
      <c r="DA72" s="336">
        <f t="shared" si="76"/>
        <v>2035</v>
      </c>
      <c r="DB72" s="335">
        <f t="shared" si="77"/>
        <v>6</v>
      </c>
      <c r="DC72" s="336">
        <f t="shared" si="78"/>
        <v>2035</v>
      </c>
      <c r="DD72" s="337" t="e">
        <f t="shared" si="79"/>
        <v>#REF!</v>
      </c>
      <c r="DE72" s="338" t="str">
        <f t="shared" si="80"/>
        <v>. .</v>
      </c>
      <c r="DF72" s="338"/>
      <c r="DG72" s="307">
        <f t="shared" si="81"/>
        <v>720</v>
      </c>
      <c r="DH72" s="307">
        <f t="shared" si="82"/>
        <v>-23699</v>
      </c>
      <c r="DI72" s="307">
        <f t="shared" si="83"/>
        <v>-1975</v>
      </c>
      <c r="DJ72" s="307" t="str">
        <f t="shared" si="84"/>
        <v>Nam dưới 35</v>
      </c>
      <c r="DK72" s="307"/>
      <c r="DL72" s="307"/>
      <c r="DM72" s="321" t="str">
        <f t="shared" si="85"/>
        <v>Đến 30</v>
      </c>
      <c r="DN72" s="330" t="str">
        <f t="shared" si="86"/>
        <v>--</v>
      </c>
      <c r="DO72" s="303"/>
      <c r="DP72" s="301"/>
      <c r="DQ72" s="339"/>
      <c r="DR72" s="303"/>
      <c r="DS72" s="332"/>
      <c r="DT72" s="340"/>
      <c r="DU72" s="341"/>
      <c r="DV72" s="342"/>
      <c r="DW72" s="346"/>
      <c r="DX72" s="349" t="s">
        <v>13</v>
      </c>
      <c r="DY72" s="382" t="s">
        <v>67</v>
      </c>
      <c r="DZ72" s="349" t="s">
        <v>13</v>
      </c>
      <c r="EA72" s="314" t="s">
        <v>183</v>
      </c>
      <c r="EB72" s="315" t="s">
        <v>200</v>
      </c>
      <c r="EC72" s="315">
        <v>5</v>
      </c>
      <c r="ED72" s="315" t="s">
        <v>200</v>
      </c>
      <c r="EE72" s="343">
        <v>2014</v>
      </c>
      <c r="EF72" s="315">
        <f t="shared" si="87"/>
        <v>0</v>
      </c>
      <c r="EG72" s="344" t="str">
        <f t="shared" si="88"/>
        <v>- - -</v>
      </c>
      <c r="EH72" s="314" t="s">
        <v>183</v>
      </c>
      <c r="EI72" s="315" t="s">
        <v>200</v>
      </c>
      <c r="EJ72" s="315">
        <v>5</v>
      </c>
      <c r="EK72" s="315" t="s">
        <v>200</v>
      </c>
      <c r="EL72" s="343">
        <v>2014</v>
      </c>
      <c r="EM72" s="301"/>
      <c r="EN72" s="329" t="e">
        <f t="shared" si="89"/>
        <v>#REF!</v>
      </c>
      <c r="EO72" s="345" t="str">
        <f t="shared" si="90"/>
        <v>---</v>
      </c>
      <c r="EP72" s="346"/>
      <c r="EQ72" s="347"/>
      <c r="ER72" s="347"/>
      <c r="ES72" s="347"/>
      <c r="ET72" s="347"/>
      <c r="EU72" s="347"/>
      <c r="EV72" s="347"/>
      <c r="EW72" s="347"/>
      <c r="EX72" s="347"/>
      <c r="EY72" s="347"/>
      <c r="EZ72" s="347"/>
      <c r="FA72" s="347"/>
      <c r="FB72" s="347"/>
      <c r="FC72" s="347"/>
      <c r="FD72" s="347"/>
      <c r="FE72" s="347"/>
      <c r="FF72" s="347"/>
      <c r="FG72" s="347"/>
      <c r="FH72" s="347"/>
      <c r="FI72" s="347"/>
      <c r="FJ72" s="347"/>
      <c r="FK72" s="347"/>
      <c r="FL72" s="347"/>
      <c r="FM72" s="347"/>
      <c r="FN72" s="347"/>
      <c r="FO72" s="347"/>
      <c r="FP72" s="347"/>
      <c r="FQ72" s="347"/>
      <c r="FR72" s="347"/>
      <c r="FS72" s="347"/>
    </row>
    <row r="73" spans="1:175" s="79" customFormat="1" ht="11.25" customHeight="1" x14ac:dyDescent="0.2">
      <c r="A73" s="98">
        <v>327</v>
      </c>
      <c r="B73" s="937">
        <v>21</v>
      </c>
      <c r="C73" s="35"/>
      <c r="D73" s="35" t="str">
        <f t="shared" si="44"/>
        <v>Ông</v>
      </c>
      <c r="E73" s="40" t="s">
        <v>27</v>
      </c>
      <c r="F73" s="35" t="s">
        <v>219</v>
      </c>
      <c r="G73" s="64" t="s">
        <v>136</v>
      </c>
      <c r="H73" s="1024" t="s">
        <v>200</v>
      </c>
      <c r="I73" s="64" t="s">
        <v>189</v>
      </c>
      <c r="J73" s="1024" t="s">
        <v>200</v>
      </c>
      <c r="K73" s="40" t="s">
        <v>180</v>
      </c>
      <c r="L73" s="210" t="s">
        <v>264</v>
      </c>
      <c r="M73" s="1047" t="str">
        <f t="shared" si="45"/>
        <v>VC</v>
      </c>
      <c r="N73" s="223"/>
      <c r="O73" s="1025" t="e">
        <f t="shared" si="46"/>
        <v>#REF!</v>
      </c>
      <c r="P73" s="40"/>
      <c r="Q73" s="359" t="e">
        <f>VLOOKUP(P73,#REF!,2,0)</f>
        <v>#REF!</v>
      </c>
      <c r="R73" s="1032" t="s">
        <v>166</v>
      </c>
      <c r="S73" s="378" t="s">
        <v>74</v>
      </c>
      <c r="T73" s="38" t="e">
        <f>VLOOKUP(Y73,#REF!,5,0)</f>
        <v>#REF!</v>
      </c>
      <c r="U73" s="39" t="e">
        <f>VLOOKUP(Y73,#REF!,6,0)</f>
        <v>#REF!</v>
      </c>
      <c r="V73" s="1059" t="s">
        <v>248</v>
      </c>
      <c r="W73" s="358" t="str">
        <f t="shared" si="47"/>
        <v>Giảng viên chính (hạng II)</v>
      </c>
      <c r="X73" s="361" t="e">
        <f t="shared" si="48"/>
        <v>#REF!</v>
      </c>
      <c r="Y73" s="380" t="s">
        <v>255</v>
      </c>
      <c r="Z73" s="380" t="e">
        <f>VLOOKUP(Y73,#REF!,2,0)</f>
        <v>#REF!</v>
      </c>
      <c r="AA73" s="52" t="e">
        <f t="shared" si="49"/>
        <v>#REF!</v>
      </c>
      <c r="AB73" s="180">
        <v>2</v>
      </c>
      <c r="AC73" s="700" t="e">
        <f t="shared" si="91"/>
        <v>#REF!</v>
      </c>
      <c r="AD73" s="43" t="e">
        <f t="shared" si="92"/>
        <v>#REF!</v>
      </c>
      <c r="AE73" s="44" t="e">
        <f t="shared" si="93"/>
        <v>#REF!</v>
      </c>
      <c r="AF73" s="435"/>
      <c r="AG73" s="100"/>
      <c r="AH73" s="673"/>
      <c r="AI73" s="1022" t="s">
        <v>200</v>
      </c>
      <c r="AJ73" s="100"/>
      <c r="AK73" s="694" t="s">
        <v>200</v>
      </c>
      <c r="AL73" s="695"/>
      <c r="AM73" s="178"/>
      <c r="AN73" s="53"/>
      <c r="AO73" s="353">
        <f t="shared" si="53"/>
        <v>3</v>
      </c>
      <c r="AP73" s="275" t="e">
        <f t="shared" si="54"/>
        <v>#REF!</v>
      </c>
      <c r="AQ73" s="84" t="e">
        <f t="shared" si="55"/>
        <v>#REF!</v>
      </c>
      <c r="AR73" s="47" t="e">
        <f t="shared" si="56"/>
        <v>#REF!</v>
      </c>
      <c r="AS73" s="438"/>
      <c r="AT73" s="48" t="s">
        <v>183</v>
      </c>
      <c r="AU73" s="693" t="s">
        <v>200</v>
      </c>
      <c r="AV73" s="49" t="s">
        <v>183</v>
      </c>
      <c r="AW73" s="669" t="s">
        <v>200</v>
      </c>
      <c r="AX73" s="50">
        <v>2017</v>
      </c>
      <c r="AY73" s="87"/>
      <c r="AZ73" s="509"/>
      <c r="BA73" s="517"/>
      <c r="BB73" s="51" t="e">
        <f t="shared" si="57"/>
        <v>#REF!</v>
      </c>
      <c r="BC73" s="356">
        <f t="shared" si="58"/>
        <v>-24205</v>
      </c>
      <c r="BD73" s="310" t="e">
        <f>VLOOKUP(Y73,#REF!,3,0)</f>
        <v>#REF!</v>
      </c>
      <c r="BE73" s="310" t="e">
        <f>VLOOKUP(Y73,#REF!,4,0)</f>
        <v>#REF!</v>
      </c>
      <c r="BF73" s="57" t="str">
        <f t="shared" si="59"/>
        <v>PCTN</v>
      </c>
      <c r="BG73" s="58">
        <v>21</v>
      </c>
      <c r="BH73" s="450" t="s">
        <v>178</v>
      </c>
      <c r="BI73" s="60" t="s">
        <v>183</v>
      </c>
      <c r="BJ73" s="677" t="s">
        <v>200</v>
      </c>
      <c r="BK73" s="448">
        <v>5</v>
      </c>
      <c r="BL73" s="677" t="s">
        <v>200</v>
      </c>
      <c r="BM73" s="256">
        <v>2018</v>
      </c>
      <c r="BN73" s="178"/>
      <c r="BO73" s="62"/>
      <c r="BP73" s="59">
        <f t="shared" si="60"/>
        <v>22</v>
      </c>
      <c r="BQ73" s="454" t="s">
        <v>178</v>
      </c>
      <c r="BR73" s="60" t="s">
        <v>183</v>
      </c>
      <c r="BS73" s="442"/>
      <c r="BT73" s="1135" t="s">
        <v>200</v>
      </c>
      <c r="BU73" s="445">
        <v>5</v>
      </c>
      <c r="BV73" s="669" t="s">
        <v>200</v>
      </c>
      <c r="BW73" s="50">
        <v>2019</v>
      </c>
      <c r="BX73" s="61"/>
      <c r="BY73" s="177">
        <v>5</v>
      </c>
      <c r="BZ73" s="357">
        <f t="shared" si="61"/>
        <v>-24233</v>
      </c>
      <c r="CA73" s="57" t="str">
        <f t="shared" si="62"/>
        <v>- - -</v>
      </c>
      <c r="CB73" s="379" t="str">
        <f t="shared" si="63"/>
        <v>Chánh Văn phòng Học viện, Trưởng Ban Tổ chức - Cán bộ, Trưởng Khoa Văn bản và Công nghệ hành chính</v>
      </c>
      <c r="CC73" s="63" t="str">
        <f t="shared" si="64"/>
        <v>A</v>
      </c>
      <c r="CD73" s="41" t="e">
        <f t="shared" si="65"/>
        <v>#REF!</v>
      </c>
      <c r="CE73" s="52" t="e">
        <f t="shared" si="66"/>
        <v>#REF!</v>
      </c>
      <c r="CF73" s="35" t="str">
        <f t="shared" si="67"/>
        <v>---</v>
      </c>
      <c r="CG73" s="35"/>
      <c r="CH73" s="367"/>
      <c r="CI73" s="35"/>
      <c r="CJ73" s="102"/>
      <c r="CK73" s="35" t="e">
        <f t="shared" si="68"/>
        <v>#REF!</v>
      </c>
      <c r="CL73" s="55" t="str">
        <f t="shared" si="69"/>
        <v>NN</v>
      </c>
      <c r="CM73" s="65">
        <v>1</v>
      </c>
      <c r="CN73" s="66" t="s">
        <v>203</v>
      </c>
      <c r="CO73" s="65"/>
      <c r="CP73" s="80"/>
      <c r="CQ73" s="55" t="str">
        <f t="shared" si="70"/>
        <v>- - -</v>
      </c>
      <c r="CR73" s="65"/>
      <c r="CS73" s="66"/>
      <c r="CT73" s="65"/>
      <c r="CU73" s="80"/>
      <c r="CV73" s="69" t="e">
        <f t="shared" si="71"/>
        <v>#REF!</v>
      </c>
      <c r="CW73" s="70" t="str">
        <f t="shared" si="72"/>
        <v>/-/ /-/</v>
      </c>
      <c r="CX73" s="67">
        <f t="shared" si="73"/>
        <v>8</v>
      </c>
      <c r="CY73" s="68">
        <f t="shared" si="74"/>
        <v>2026</v>
      </c>
      <c r="CZ73" s="67">
        <f t="shared" si="75"/>
        <v>5</v>
      </c>
      <c r="DA73" s="68">
        <f t="shared" si="76"/>
        <v>2026</v>
      </c>
      <c r="DB73" s="67">
        <f t="shared" si="77"/>
        <v>2</v>
      </c>
      <c r="DC73" s="68">
        <f t="shared" si="78"/>
        <v>2026</v>
      </c>
      <c r="DD73" s="71" t="e">
        <f t="shared" si="79"/>
        <v>#REF!</v>
      </c>
      <c r="DE73" s="72" t="str">
        <f t="shared" si="80"/>
        <v>. .</v>
      </c>
      <c r="DF73" s="72"/>
      <c r="DG73" s="52">
        <f t="shared" si="81"/>
        <v>720</v>
      </c>
      <c r="DH73" s="52">
        <f t="shared" si="82"/>
        <v>-23587</v>
      </c>
      <c r="DI73" s="52">
        <f t="shared" si="83"/>
        <v>-1966</v>
      </c>
      <c r="DJ73" s="52" t="str">
        <f t="shared" si="84"/>
        <v>Nam dưới 35</v>
      </c>
      <c r="DK73" s="52"/>
      <c r="DL73" s="52"/>
      <c r="DM73" s="57" t="str">
        <f t="shared" si="85"/>
        <v>Đến 30</v>
      </c>
      <c r="DN73" s="65" t="str">
        <f t="shared" si="86"/>
        <v>--</v>
      </c>
      <c r="DO73" s="36"/>
      <c r="DP73" s="35"/>
      <c r="DQ73" s="73"/>
      <c r="DR73" s="36"/>
      <c r="DS73" s="80"/>
      <c r="DT73" s="81"/>
      <c r="DU73" s="82"/>
      <c r="DV73" s="75"/>
      <c r="DW73" s="87"/>
      <c r="DX73" s="37" t="s">
        <v>166</v>
      </c>
      <c r="DY73" s="378" t="s">
        <v>74</v>
      </c>
      <c r="DZ73" s="37" t="s">
        <v>166</v>
      </c>
      <c r="EA73" s="193" t="s">
        <v>183</v>
      </c>
      <c r="EB73" s="49" t="s">
        <v>200</v>
      </c>
      <c r="EC73" s="184" t="s">
        <v>183</v>
      </c>
      <c r="ED73" s="49" t="s">
        <v>200</v>
      </c>
      <c r="EE73" s="76">
        <v>2014</v>
      </c>
      <c r="EF73" s="49">
        <f t="shared" si="87"/>
        <v>0</v>
      </c>
      <c r="EG73" s="77" t="str">
        <f t="shared" si="88"/>
        <v>- - -</v>
      </c>
      <c r="EH73" s="193" t="s">
        <v>183</v>
      </c>
      <c r="EI73" s="49" t="s">
        <v>200</v>
      </c>
      <c r="EJ73" s="184" t="s">
        <v>183</v>
      </c>
      <c r="EK73" s="49" t="s">
        <v>200</v>
      </c>
      <c r="EL73" s="76">
        <v>2014</v>
      </c>
      <c r="EM73" s="35">
        <v>3.66</v>
      </c>
      <c r="EN73" s="55" t="e">
        <f t="shared" si="89"/>
        <v>#REF!</v>
      </c>
      <c r="EO73" s="78" t="str">
        <f t="shared" si="90"/>
        <v>---</v>
      </c>
      <c r="EP73" s="87"/>
      <c r="FO73" s="253"/>
      <c r="FP73" s="253"/>
      <c r="FQ73" s="253"/>
      <c r="FR73" s="253"/>
      <c r="FS73" s="253"/>
    </row>
    <row r="74" spans="1:175" s="253" customFormat="1" ht="11.25" customHeight="1" x14ac:dyDescent="0.2">
      <c r="A74" s="98">
        <v>329</v>
      </c>
      <c r="B74" s="937">
        <v>22</v>
      </c>
      <c r="C74" s="35"/>
      <c r="D74" s="35" t="str">
        <f t="shared" si="44"/>
        <v>Bà</v>
      </c>
      <c r="E74" s="40" t="s">
        <v>28</v>
      </c>
      <c r="F74" s="35" t="s">
        <v>221</v>
      </c>
      <c r="G74" s="64" t="s">
        <v>131</v>
      </c>
      <c r="H74" s="1024" t="s">
        <v>200</v>
      </c>
      <c r="I74" s="64" t="s">
        <v>183</v>
      </c>
      <c r="J74" s="1024" t="s">
        <v>200</v>
      </c>
      <c r="K74" s="40">
        <v>1972</v>
      </c>
      <c r="L74" s="210" t="s">
        <v>264</v>
      </c>
      <c r="M74" s="1047" t="str">
        <f t="shared" si="45"/>
        <v>VC</v>
      </c>
      <c r="N74" s="223"/>
      <c r="O74" s="1025" t="e">
        <f t="shared" si="46"/>
        <v>#REF!</v>
      </c>
      <c r="P74" s="40"/>
      <c r="Q74" s="359" t="e">
        <f>VLOOKUP(P74,#REF!,2,0)</f>
        <v>#REF!</v>
      </c>
      <c r="R74" s="1032" t="s">
        <v>166</v>
      </c>
      <c r="S74" s="378" t="s">
        <v>74</v>
      </c>
      <c r="T74" s="38" t="e">
        <f>VLOOKUP(Y74,#REF!,5,0)</f>
        <v>#REF!</v>
      </c>
      <c r="U74" s="39" t="e">
        <f>VLOOKUP(Y74,#REF!,6,0)</f>
        <v>#REF!</v>
      </c>
      <c r="V74" s="1059" t="s">
        <v>248</v>
      </c>
      <c r="W74" s="358" t="str">
        <f t="shared" si="47"/>
        <v>Giảng viên (hạng III)</v>
      </c>
      <c r="X74" s="361" t="e">
        <f t="shared" si="48"/>
        <v>#REF!</v>
      </c>
      <c r="Y74" s="380" t="s">
        <v>254</v>
      </c>
      <c r="Z74" s="380" t="e">
        <f>VLOOKUP(Y74,#REF!,2,0)</f>
        <v>#REF!</v>
      </c>
      <c r="AA74" s="52" t="e">
        <f t="shared" si="49"/>
        <v>#REF!</v>
      </c>
      <c r="AB74" s="108">
        <v>7</v>
      </c>
      <c r="AC74" s="700" t="e">
        <f t="shared" si="91"/>
        <v>#REF!</v>
      </c>
      <c r="AD74" s="43" t="e">
        <f t="shared" si="92"/>
        <v>#REF!</v>
      </c>
      <c r="AE74" s="44" t="e">
        <f t="shared" si="93"/>
        <v>#REF!</v>
      </c>
      <c r="AF74" s="435"/>
      <c r="AG74" s="100"/>
      <c r="AH74" s="673"/>
      <c r="AI74" s="694" t="s">
        <v>200</v>
      </c>
      <c r="AJ74" s="100"/>
      <c r="AK74" s="694" t="s">
        <v>200</v>
      </c>
      <c r="AL74" s="695"/>
      <c r="AM74" s="178"/>
      <c r="AN74" s="53"/>
      <c r="AO74" s="353">
        <f t="shared" si="53"/>
        <v>8</v>
      </c>
      <c r="AP74" s="275" t="e">
        <f t="shared" si="54"/>
        <v>#REF!</v>
      </c>
      <c r="AQ74" s="84" t="e">
        <f t="shared" si="55"/>
        <v>#REF!</v>
      </c>
      <c r="AR74" s="47" t="e">
        <f t="shared" si="56"/>
        <v>#REF!</v>
      </c>
      <c r="AS74" s="438"/>
      <c r="AT74" s="48" t="s">
        <v>183</v>
      </c>
      <c r="AU74" s="669" t="s">
        <v>200</v>
      </c>
      <c r="AV74" s="49" t="s">
        <v>187</v>
      </c>
      <c r="AW74" s="669" t="s">
        <v>200</v>
      </c>
      <c r="AX74" s="50">
        <v>2018</v>
      </c>
      <c r="AY74" s="87"/>
      <c r="AZ74" s="300" t="s">
        <v>347</v>
      </c>
      <c r="BA74" s="517"/>
      <c r="BB74" s="51" t="e">
        <f t="shared" si="57"/>
        <v>#REF!</v>
      </c>
      <c r="BC74" s="356">
        <f t="shared" si="58"/>
        <v>-24224</v>
      </c>
      <c r="BD74" s="310" t="e">
        <f>VLOOKUP(Y74,#REF!,3,0)</f>
        <v>#REF!</v>
      </c>
      <c r="BE74" s="310" t="e">
        <f>VLOOKUP(Y74,#REF!,4,0)</f>
        <v>#REF!</v>
      </c>
      <c r="BF74" s="57" t="str">
        <f t="shared" si="59"/>
        <v>PCTN</v>
      </c>
      <c r="BG74" s="58">
        <v>15</v>
      </c>
      <c r="BH74" s="450" t="s">
        <v>178</v>
      </c>
      <c r="BI74" s="60" t="s">
        <v>183</v>
      </c>
      <c r="BJ74" s="677" t="s">
        <v>200</v>
      </c>
      <c r="BK74" s="448">
        <v>5</v>
      </c>
      <c r="BL74" s="677" t="s">
        <v>200</v>
      </c>
      <c r="BM74" s="256">
        <v>2018</v>
      </c>
      <c r="BN74" s="178"/>
      <c r="BO74" s="62"/>
      <c r="BP74" s="59">
        <f t="shared" si="60"/>
        <v>16</v>
      </c>
      <c r="BQ74" s="454" t="s">
        <v>178</v>
      </c>
      <c r="BR74" s="60" t="s">
        <v>183</v>
      </c>
      <c r="BS74" s="442"/>
      <c r="BT74" s="1135" t="s">
        <v>200</v>
      </c>
      <c r="BU74" s="445">
        <v>5</v>
      </c>
      <c r="BV74" s="669" t="s">
        <v>200</v>
      </c>
      <c r="BW74" s="50">
        <v>2019</v>
      </c>
      <c r="BX74" s="61"/>
      <c r="BY74" s="177">
        <v>5</v>
      </c>
      <c r="BZ74" s="357">
        <f t="shared" si="61"/>
        <v>-24233</v>
      </c>
      <c r="CA74" s="57" t="str">
        <f t="shared" si="62"/>
        <v>- - -</v>
      </c>
      <c r="CB74" s="379" t="str">
        <f t="shared" si="63"/>
        <v>Chánh Văn phòng Học viện, Trưởng Ban Tổ chức - Cán bộ, Trưởng Khoa Văn bản và Công nghệ hành chính</v>
      </c>
      <c r="CC74" s="63" t="str">
        <f t="shared" si="64"/>
        <v>A</v>
      </c>
      <c r="CD74" s="41" t="e">
        <f t="shared" si="65"/>
        <v>#REF!</v>
      </c>
      <c r="CE74" s="52" t="e">
        <f t="shared" si="66"/>
        <v>#REF!</v>
      </c>
      <c r="CF74" s="35" t="str">
        <f t="shared" si="67"/>
        <v>---</v>
      </c>
      <c r="CG74" s="35"/>
      <c r="CH74" s="367"/>
      <c r="CI74" s="35"/>
      <c r="CJ74" s="102"/>
      <c r="CK74" s="35" t="e">
        <f t="shared" si="68"/>
        <v>#REF!</v>
      </c>
      <c r="CL74" s="55" t="str">
        <f t="shared" si="69"/>
        <v>- - -</v>
      </c>
      <c r="CM74" s="65"/>
      <c r="CN74" s="66"/>
      <c r="CO74" s="65"/>
      <c r="CP74" s="80"/>
      <c r="CQ74" s="55" t="str">
        <f t="shared" si="70"/>
        <v>- - -</v>
      </c>
      <c r="CR74" s="65"/>
      <c r="CS74" s="66"/>
      <c r="CT74" s="65"/>
      <c r="CU74" s="80"/>
      <c r="CV74" s="69" t="e">
        <f t="shared" si="71"/>
        <v>#REF!</v>
      </c>
      <c r="CW74" s="70" t="str">
        <f t="shared" si="72"/>
        <v>/-/ /-/</v>
      </c>
      <c r="CX74" s="67">
        <f t="shared" si="73"/>
        <v>2</v>
      </c>
      <c r="CY74" s="68">
        <f t="shared" si="74"/>
        <v>2027</v>
      </c>
      <c r="CZ74" s="67">
        <f t="shared" si="75"/>
        <v>11</v>
      </c>
      <c r="DA74" s="68">
        <f t="shared" si="76"/>
        <v>2026</v>
      </c>
      <c r="DB74" s="67">
        <f t="shared" si="77"/>
        <v>8</v>
      </c>
      <c r="DC74" s="68">
        <f t="shared" si="78"/>
        <v>2026</v>
      </c>
      <c r="DD74" s="71" t="e">
        <f t="shared" si="79"/>
        <v>#REF!</v>
      </c>
      <c r="DE74" s="72" t="str">
        <f t="shared" si="80"/>
        <v>. .</v>
      </c>
      <c r="DF74" s="72"/>
      <c r="DG74" s="52">
        <f t="shared" si="81"/>
        <v>660</v>
      </c>
      <c r="DH74" s="52">
        <f t="shared" si="82"/>
        <v>-23653</v>
      </c>
      <c r="DI74" s="52">
        <f t="shared" si="83"/>
        <v>-1972</v>
      </c>
      <c r="DJ74" s="52" t="str">
        <f t="shared" si="84"/>
        <v>Nữ dưới 30</v>
      </c>
      <c r="DK74" s="89"/>
      <c r="DL74" s="52"/>
      <c r="DM74" s="57" t="str">
        <f t="shared" si="85"/>
        <v>Đến 30</v>
      </c>
      <c r="DN74" s="65" t="str">
        <f t="shared" si="86"/>
        <v>TD</v>
      </c>
      <c r="DO74" s="36">
        <v>2008</v>
      </c>
      <c r="DP74" s="35"/>
      <c r="DQ74" s="73"/>
      <c r="DR74" s="36"/>
      <c r="DS74" s="80"/>
      <c r="DT74" s="81"/>
      <c r="DU74" s="82"/>
      <c r="DV74" s="75"/>
      <c r="DW74" s="87"/>
      <c r="DX74" s="37" t="s">
        <v>166</v>
      </c>
      <c r="DY74" s="378" t="s">
        <v>74</v>
      </c>
      <c r="DZ74" s="37" t="s">
        <v>166</v>
      </c>
      <c r="EA74" s="48" t="s">
        <v>183</v>
      </c>
      <c r="EB74" s="49" t="s">
        <v>200</v>
      </c>
      <c r="EC74" s="49" t="s">
        <v>185</v>
      </c>
      <c r="ED74" s="49" t="s">
        <v>200</v>
      </c>
      <c r="EE74" s="76">
        <v>2013</v>
      </c>
      <c r="EF74" s="49">
        <f t="shared" si="87"/>
        <v>0</v>
      </c>
      <c r="EG74" s="77" t="str">
        <f t="shared" si="88"/>
        <v>- - -</v>
      </c>
      <c r="EH74" s="48" t="s">
        <v>183</v>
      </c>
      <c r="EI74" s="49" t="s">
        <v>200</v>
      </c>
      <c r="EJ74" s="49" t="s">
        <v>185</v>
      </c>
      <c r="EK74" s="49" t="s">
        <v>200</v>
      </c>
      <c r="EL74" s="76">
        <v>2013</v>
      </c>
      <c r="EM74" s="35"/>
      <c r="EN74" s="55" t="e">
        <f t="shared" si="89"/>
        <v>#REF!</v>
      </c>
      <c r="EO74" s="78" t="str">
        <f t="shared" si="90"/>
        <v>---</v>
      </c>
      <c r="EP74" s="87"/>
      <c r="EQ74" s="79"/>
      <c r="ER74" s="79"/>
      <c r="ES74" s="79"/>
      <c r="ET74" s="79"/>
      <c r="EU74" s="79"/>
      <c r="EV74" s="79"/>
      <c r="EW74" s="79"/>
      <c r="EX74" s="79"/>
      <c r="EY74" s="79"/>
      <c r="EZ74" s="79"/>
      <c r="FA74" s="79"/>
      <c r="FB74" s="79"/>
      <c r="FC74" s="79"/>
      <c r="FD74" s="79"/>
      <c r="FE74" s="79"/>
      <c r="FF74" s="79"/>
      <c r="FG74" s="79"/>
      <c r="FH74" s="79"/>
      <c r="FI74" s="79"/>
      <c r="FJ74" s="79"/>
      <c r="FK74" s="79"/>
      <c r="FL74" s="79"/>
      <c r="FM74" s="79"/>
      <c r="FN74" s="79"/>
      <c r="FO74" s="79"/>
      <c r="FP74" s="79"/>
      <c r="FQ74" s="79"/>
      <c r="FR74" s="79"/>
      <c r="FS74" s="79"/>
    </row>
    <row r="75" spans="1:175" s="79" customFormat="1" ht="11.25" customHeight="1" x14ac:dyDescent="0.2">
      <c r="A75" s="98">
        <v>459</v>
      </c>
      <c r="B75" s="937">
        <v>23</v>
      </c>
      <c r="C75" s="35"/>
      <c r="D75" s="35" t="str">
        <f t="shared" si="44"/>
        <v>Bà</v>
      </c>
      <c r="E75" s="40" t="s">
        <v>32</v>
      </c>
      <c r="F75" s="35" t="s">
        <v>221</v>
      </c>
      <c r="G75" s="64" t="s">
        <v>177</v>
      </c>
      <c r="H75" s="1024" t="s">
        <v>200</v>
      </c>
      <c r="I75" s="64" t="s">
        <v>211</v>
      </c>
      <c r="J75" s="1024" t="s">
        <v>200</v>
      </c>
      <c r="K75" s="40" t="s">
        <v>168</v>
      </c>
      <c r="L75" s="210" t="s">
        <v>264</v>
      </c>
      <c r="M75" s="1047" t="str">
        <f t="shared" si="45"/>
        <v>VC</v>
      </c>
      <c r="N75" s="223"/>
      <c r="O75" s="1025" t="e">
        <f t="shared" si="46"/>
        <v>#N/A</v>
      </c>
      <c r="P75" s="40"/>
      <c r="Q75" s="359" t="e">
        <f>VLOOKUP(P75,'[2]- DLiêu Gốc (Không sửa)'!$C$2:$H$116,2,0)</f>
        <v>#N/A</v>
      </c>
      <c r="R75" s="1032"/>
      <c r="S75" s="378" t="s">
        <v>328</v>
      </c>
      <c r="T75" s="38" t="e">
        <f>VLOOKUP(Y75,#REF!,5,0)</f>
        <v>#REF!</v>
      </c>
      <c r="U75" s="39" t="e">
        <f>VLOOKUP(Y75,#REF!,6,0)</f>
        <v>#REF!</v>
      </c>
      <c r="V75" s="1059" t="s">
        <v>248</v>
      </c>
      <c r="W75" s="358" t="str">
        <f t="shared" si="47"/>
        <v>Giảng viên (hạng III)</v>
      </c>
      <c r="X75" s="361" t="e">
        <f t="shared" si="48"/>
        <v>#REF!</v>
      </c>
      <c r="Y75" s="380" t="s">
        <v>254</v>
      </c>
      <c r="Z75" s="380" t="e">
        <f>VLOOKUP(Y75,#REF!,2,0)</f>
        <v>#REF!</v>
      </c>
      <c r="AA75" s="52" t="e">
        <f t="shared" si="49"/>
        <v>#REF!</v>
      </c>
      <c r="AB75" s="108">
        <v>5</v>
      </c>
      <c r="AC75" s="700" t="e">
        <f t="shared" si="91"/>
        <v>#REF!</v>
      </c>
      <c r="AD75" s="43" t="e">
        <f t="shared" si="92"/>
        <v>#REF!</v>
      </c>
      <c r="AE75" s="44" t="e">
        <f t="shared" si="93"/>
        <v>#REF!</v>
      </c>
      <c r="AF75" s="435"/>
      <c r="AG75" s="100"/>
      <c r="AH75" s="673"/>
      <c r="AI75" s="694" t="s">
        <v>200</v>
      </c>
      <c r="AJ75" s="100"/>
      <c r="AK75" s="694" t="s">
        <v>200</v>
      </c>
      <c r="AL75" s="695"/>
      <c r="AM75" s="178"/>
      <c r="AN75" s="53"/>
      <c r="AO75" s="353">
        <f t="shared" si="53"/>
        <v>6</v>
      </c>
      <c r="AP75" s="275" t="e">
        <f t="shared" si="54"/>
        <v>#REF!</v>
      </c>
      <c r="AQ75" s="84" t="e">
        <f t="shared" si="55"/>
        <v>#REF!</v>
      </c>
      <c r="AR75" s="47" t="e">
        <f t="shared" si="56"/>
        <v>#REF!</v>
      </c>
      <c r="AS75" s="438"/>
      <c r="AT75" s="48" t="s">
        <v>183</v>
      </c>
      <c r="AU75" s="669" t="s">
        <v>200</v>
      </c>
      <c r="AV75" s="49" t="s">
        <v>191</v>
      </c>
      <c r="AW75" s="669" t="s">
        <v>200</v>
      </c>
      <c r="AX75" s="50">
        <v>2017</v>
      </c>
      <c r="AY75" s="87"/>
      <c r="AZ75" s="300"/>
      <c r="BA75" s="517"/>
      <c r="BB75" s="51" t="e">
        <f t="shared" si="57"/>
        <v>#REF!</v>
      </c>
      <c r="BC75" s="356">
        <f t="shared" si="58"/>
        <v>-24216</v>
      </c>
      <c r="BD75" s="310" t="e">
        <f>VLOOKUP(Y75,#REF!,3,0)</f>
        <v>#REF!</v>
      </c>
      <c r="BE75" s="310" t="e">
        <f>VLOOKUP(Y75,#REF!,4,0)</f>
        <v>#REF!</v>
      </c>
      <c r="BF75" s="57" t="str">
        <f t="shared" si="59"/>
        <v>PCTN</v>
      </c>
      <c r="BG75" s="58">
        <v>15</v>
      </c>
      <c r="BH75" s="450" t="s">
        <v>178</v>
      </c>
      <c r="BI75" s="60" t="s">
        <v>183</v>
      </c>
      <c r="BJ75" s="677" t="s">
        <v>200</v>
      </c>
      <c r="BK75" s="448">
        <v>5</v>
      </c>
      <c r="BL75" s="677" t="s">
        <v>200</v>
      </c>
      <c r="BM75" s="256">
        <v>2018</v>
      </c>
      <c r="BN75" s="178"/>
      <c r="BO75" s="62"/>
      <c r="BP75" s="59">
        <f t="shared" si="60"/>
        <v>16</v>
      </c>
      <c r="BQ75" s="454" t="s">
        <v>178</v>
      </c>
      <c r="BR75" s="60" t="s">
        <v>183</v>
      </c>
      <c r="BS75" s="442"/>
      <c r="BT75" s="1135" t="s">
        <v>200</v>
      </c>
      <c r="BU75" s="445">
        <v>5</v>
      </c>
      <c r="BV75" s="669" t="s">
        <v>200</v>
      </c>
      <c r="BW75" s="50">
        <v>2019</v>
      </c>
      <c r="BX75" s="61"/>
      <c r="BY75" s="177">
        <v>5</v>
      </c>
      <c r="BZ75" s="357">
        <f t="shared" si="61"/>
        <v>-24233</v>
      </c>
      <c r="CA75" s="57" t="str">
        <f t="shared" si="62"/>
        <v>- - -</v>
      </c>
      <c r="CB75" s="379" t="str">
        <f t="shared" si="63"/>
        <v>Chánh Văn phòng Học viện, Trưởng Ban Tổ chức - Cán bộ, Trưởng Trung tâm Ngoại ngữ - Tin học và Thông tin - Thư viện</v>
      </c>
      <c r="CC75" s="63" t="str">
        <f t="shared" si="64"/>
        <v>A</v>
      </c>
      <c r="CD75" s="41" t="e">
        <f t="shared" si="65"/>
        <v>#REF!</v>
      </c>
      <c r="CE75" s="52" t="e">
        <f t="shared" si="66"/>
        <v>#REF!</v>
      </c>
      <c r="CF75" s="35" t="str">
        <f t="shared" si="67"/>
        <v>---</v>
      </c>
      <c r="CG75" s="35"/>
      <c r="CH75" s="367"/>
      <c r="CI75" s="35"/>
      <c r="CJ75" s="102"/>
      <c r="CK75" s="35" t="e">
        <f t="shared" si="68"/>
        <v>#REF!</v>
      </c>
      <c r="CL75" s="55" t="str">
        <f t="shared" si="69"/>
        <v>- - -</v>
      </c>
      <c r="CM75" s="65"/>
      <c r="CN75" s="66"/>
      <c r="CO75" s="65"/>
      <c r="CP75" s="80"/>
      <c r="CQ75" s="55" t="str">
        <f t="shared" si="70"/>
        <v>- - -</v>
      </c>
      <c r="CR75" s="65"/>
      <c r="CS75" s="66"/>
      <c r="CT75" s="65"/>
      <c r="CU75" s="80"/>
      <c r="CV75" s="69" t="e">
        <f t="shared" si="71"/>
        <v>#REF!</v>
      </c>
      <c r="CW75" s="70" t="str">
        <f t="shared" si="72"/>
        <v>/-/ /-/</v>
      </c>
      <c r="CX75" s="67">
        <f t="shared" si="73"/>
        <v>12</v>
      </c>
      <c r="CY75" s="68">
        <f t="shared" si="74"/>
        <v>2034</v>
      </c>
      <c r="CZ75" s="67">
        <f t="shared" si="75"/>
        <v>9</v>
      </c>
      <c r="DA75" s="68">
        <f t="shared" si="76"/>
        <v>2034</v>
      </c>
      <c r="DB75" s="67">
        <f t="shared" si="77"/>
        <v>6</v>
      </c>
      <c r="DC75" s="68">
        <f t="shared" si="78"/>
        <v>2034</v>
      </c>
      <c r="DD75" s="71" t="e">
        <f t="shared" si="79"/>
        <v>#REF!</v>
      </c>
      <c r="DE75" s="72" t="str">
        <f t="shared" si="80"/>
        <v>. .</v>
      </c>
      <c r="DF75" s="72"/>
      <c r="DG75" s="52">
        <f t="shared" si="81"/>
        <v>660</v>
      </c>
      <c r="DH75" s="52">
        <f t="shared" si="82"/>
        <v>-23747</v>
      </c>
      <c r="DI75" s="52">
        <f t="shared" si="83"/>
        <v>-1979</v>
      </c>
      <c r="DJ75" s="52" t="str">
        <f t="shared" si="84"/>
        <v>Nữ dưới 30</v>
      </c>
      <c r="DK75" s="52"/>
      <c r="DL75" s="52"/>
      <c r="DM75" s="57" t="str">
        <f t="shared" si="85"/>
        <v>Đến 30</v>
      </c>
      <c r="DN75" s="65" t="str">
        <f t="shared" si="86"/>
        <v>--</v>
      </c>
      <c r="DO75" s="36"/>
      <c r="DP75" s="35"/>
      <c r="DQ75" s="73"/>
      <c r="DR75" s="36"/>
      <c r="DS75" s="80"/>
      <c r="DT75" s="81"/>
      <c r="DU75" s="82"/>
      <c r="DV75" s="75"/>
      <c r="DW75" s="87"/>
      <c r="DX75" s="37"/>
      <c r="DY75" s="378" t="s">
        <v>202</v>
      </c>
      <c r="DZ75" s="37"/>
      <c r="EA75" s="48" t="s">
        <v>183</v>
      </c>
      <c r="EB75" s="49" t="s">
        <v>200</v>
      </c>
      <c r="EC75" s="49" t="s">
        <v>191</v>
      </c>
      <c r="ED75" s="49" t="s">
        <v>200</v>
      </c>
      <c r="EE75" s="76" t="s">
        <v>203</v>
      </c>
      <c r="EF75" s="49">
        <f t="shared" si="87"/>
        <v>0</v>
      </c>
      <c r="EG75" s="77" t="str">
        <f t="shared" si="88"/>
        <v>- - -</v>
      </c>
      <c r="EH75" s="48" t="s">
        <v>183</v>
      </c>
      <c r="EI75" s="49" t="s">
        <v>200</v>
      </c>
      <c r="EJ75" s="49" t="s">
        <v>191</v>
      </c>
      <c r="EK75" s="49" t="s">
        <v>200</v>
      </c>
      <c r="EL75" s="76" t="s">
        <v>203</v>
      </c>
      <c r="EM75" s="35"/>
      <c r="EN75" s="55" t="e">
        <f t="shared" si="89"/>
        <v>#REF!</v>
      </c>
      <c r="EO75" s="78" t="str">
        <f t="shared" si="90"/>
        <v>---</v>
      </c>
      <c r="EP75" s="87"/>
    </row>
    <row r="76" spans="1:175" s="253" customFormat="1" ht="11.25" customHeight="1" x14ac:dyDescent="0.2">
      <c r="A76" s="98">
        <v>653</v>
      </c>
      <c r="B76" s="937">
        <v>24</v>
      </c>
      <c r="C76" s="35"/>
      <c r="D76" s="35" t="str">
        <f t="shared" si="44"/>
        <v>Ông</v>
      </c>
      <c r="E76" s="40" t="s">
        <v>45</v>
      </c>
      <c r="F76" s="35" t="s">
        <v>219</v>
      </c>
      <c r="G76" s="64" t="s">
        <v>191</v>
      </c>
      <c r="H76" s="1024" t="s">
        <v>200</v>
      </c>
      <c r="I76" s="64" t="s">
        <v>211</v>
      </c>
      <c r="J76" s="1024" t="s">
        <v>200</v>
      </c>
      <c r="K76" s="40" t="s">
        <v>169</v>
      </c>
      <c r="L76" s="210" t="s">
        <v>264</v>
      </c>
      <c r="M76" s="1047" t="str">
        <f t="shared" si="45"/>
        <v>VC</v>
      </c>
      <c r="N76" s="223"/>
      <c r="O76" s="1025" t="e">
        <f t="shared" si="46"/>
        <v>#VALUE!</v>
      </c>
      <c r="P76" s="40" t="s">
        <v>120</v>
      </c>
      <c r="Q76" s="359" t="str">
        <f>VLOOKUP(P76,'[2]- DLiêu Gốc (Không sửa)'!$C$2:$H$116,2,0)</f>
        <v>0,6</v>
      </c>
      <c r="R76" s="1033" t="s">
        <v>330</v>
      </c>
      <c r="S76" s="943" t="s">
        <v>326</v>
      </c>
      <c r="T76" s="38" t="e">
        <f>VLOOKUP(Y76,#REF!,5,0)</f>
        <v>#REF!</v>
      </c>
      <c r="U76" s="39" t="e">
        <f>VLOOKUP(Y76,#REF!,6,0)</f>
        <v>#REF!</v>
      </c>
      <c r="V76" s="1059" t="s">
        <v>248</v>
      </c>
      <c r="W76" s="358" t="str">
        <f t="shared" si="47"/>
        <v>Giảng viên (hạng III)</v>
      </c>
      <c r="X76" s="361" t="e">
        <f t="shared" si="48"/>
        <v>#REF!</v>
      </c>
      <c r="Y76" s="380" t="s">
        <v>254</v>
      </c>
      <c r="Z76" s="380" t="e">
        <f>VLOOKUP(Y76,#REF!,2,0)</f>
        <v>#REF!</v>
      </c>
      <c r="AA76" s="52" t="e">
        <f t="shared" si="49"/>
        <v>#REF!</v>
      </c>
      <c r="AB76" s="180">
        <v>6</v>
      </c>
      <c r="AC76" s="700" t="e">
        <f t="shared" si="91"/>
        <v>#REF!</v>
      </c>
      <c r="AD76" s="43" t="e">
        <f t="shared" si="92"/>
        <v>#REF!</v>
      </c>
      <c r="AE76" s="44" t="e">
        <f t="shared" si="93"/>
        <v>#REF!</v>
      </c>
      <c r="AF76" s="435"/>
      <c r="AG76" s="100"/>
      <c r="AH76" s="673"/>
      <c r="AI76" s="694" t="s">
        <v>200</v>
      </c>
      <c r="AJ76" s="100"/>
      <c r="AK76" s="694" t="s">
        <v>200</v>
      </c>
      <c r="AL76" s="674"/>
      <c r="AM76" s="178"/>
      <c r="AN76" s="53"/>
      <c r="AO76" s="353">
        <f t="shared" si="53"/>
        <v>7</v>
      </c>
      <c r="AP76" s="275" t="e">
        <f t="shared" si="54"/>
        <v>#REF!</v>
      </c>
      <c r="AQ76" s="84" t="e">
        <f t="shared" si="55"/>
        <v>#REF!</v>
      </c>
      <c r="AR76" s="47" t="e">
        <f t="shared" si="56"/>
        <v>#REF!</v>
      </c>
      <c r="AS76" s="438"/>
      <c r="AT76" s="48" t="s">
        <v>183</v>
      </c>
      <c r="AU76" s="669" t="s">
        <v>200</v>
      </c>
      <c r="AV76" s="49" t="s">
        <v>191</v>
      </c>
      <c r="AW76" s="669" t="s">
        <v>200</v>
      </c>
      <c r="AX76" s="50">
        <v>2018</v>
      </c>
      <c r="AY76" s="87"/>
      <c r="AZ76" s="509"/>
      <c r="BA76" s="517"/>
      <c r="BB76" s="51" t="e">
        <f t="shared" si="57"/>
        <v>#REF!</v>
      </c>
      <c r="BC76" s="356">
        <f t="shared" si="58"/>
        <v>-24228</v>
      </c>
      <c r="BD76" s="310" t="e">
        <f>VLOOKUP(Y76,#REF!,3,0)</f>
        <v>#REF!</v>
      </c>
      <c r="BE76" s="310" t="e">
        <f>VLOOKUP(Y76,#REF!,4,0)</f>
        <v>#REF!</v>
      </c>
      <c r="BF76" s="57" t="str">
        <f t="shared" si="59"/>
        <v>PCTN</v>
      </c>
      <c r="BG76" s="58">
        <v>15</v>
      </c>
      <c r="BH76" s="450" t="s">
        <v>178</v>
      </c>
      <c r="BI76" s="60" t="s">
        <v>183</v>
      </c>
      <c r="BJ76" s="677" t="s">
        <v>200</v>
      </c>
      <c r="BK76" s="448">
        <v>5</v>
      </c>
      <c r="BL76" s="677" t="s">
        <v>200</v>
      </c>
      <c r="BM76" s="256">
        <v>2018</v>
      </c>
      <c r="BN76" s="178"/>
      <c r="BO76" s="62"/>
      <c r="BP76" s="59">
        <f t="shared" si="60"/>
        <v>16</v>
      </c>
      <c r="BQ76" s="454" t="s">
        <v>178</v>
      </c>
      <c r="BR76" s="60" t="s">
        <v>183</v>
      </c>
      <c r="BS76" s="442"/>
      <c r="BT76" s="1135" t="s">
        <v>200</v>
      </c>
      <c r="BU76" s="445">
        <v>5</v>
      </c>
      <c r="BV76" s="669" t="s">
        <v>200</v>
      </c>
      <c r="BW76" s="50">
        <v>2019</v>
      </c>
      <c r="BX76" s="61"/>
      <c r="BY76" s="177">
        <v>5</v>
      </c>
      <c r="BZ76" s="357">
        <f t="shared" si="61"/>
        <v>-24233</v>
      </c>
      <c r="CA76" s="57" t="str">
        <f t="shared" si="62"/>
        <v>- - -</v>
      </c>
      <c r="CB76" s="379" t="str">
        <f t="shared" si="63"/>
        <v>Chánh Văn phòng Học viện, Trưởng Ban Tổ chức - Cán bộ, Trưởng Phân viện Học viện Hành chính Quốc gia tại Thành phố Hồ Chí Minh</v>
      </c>
      <c r="CC76" s="63" t="str">
        <f t="shared" si="64"/>
        <v>A</v>
      </c>
      <c r="CD76" s="41" t="e">
        <f t="shared" si="65"/>
        <v>#REF!</v>
      </c>
      <c r="CE76" s="52" t="e">
        <f t="shared" si="66"/>
        <v>#REF!</v>
      </c>
      <c r="CF76" s="35" t="str">
        <f t="shared" si="67"/>
        <v>S</v>
      </c>
      <c r="CG76" s="35">
        <v>2015</v>
      </c>
      <c r="CH76" s="367" t="s">
        <v>250</v>
      </c>
      <c r="CI76" s="35"/>
      <c r="CJ76" s="102"/>
      <c r="CK76" s="35" t="e">
        <f t="shared" si="68"/>
        <v>#REF!</v>
      </c>
      <c r="CL76" s="55" t="str">
        <f t="shared" si="69"/>
        <v>- - -</v>
      </c>
      <c r="CM76" s="65"/>
      <c r="CN76" s="66"/>
      <c r="CO76" s="65"/>
      <c r="CP76" s="80"/>
      <c r="CQ76" s="55" t="str">
        <f t="shared" si="70"/>
        <v>- - -</v>
      </c>
      <c r="CR76" s="65"/>
      <c r="CS76" s="66"/>
      <c r="CT76" s="65"/>
      <c r="CU76" s="80"/>
      <c r="CV76" s="69" t="e">
        <f t="shared" si="71"/>
        <v>#REF!</v>
      </c>
      <c r="CW76" s="70" t="str">
        <f t="shared" si="72"/>
        <v>/-/ /-/</v>
      </c>
      <c r="CX76" s="67">
        <f t="shared" si="73"/>
        <v>12</v>
      </c>
      <c r="CY76" s="68">
        <f t="shared" si="74"/>
        <v>2033</v>
      </c>
      <c r="CZ76" s="67">
        <f t="shared" si="75"/>
        <v>9</v>
      </c>
      <c r="DA76" s="68">
        <f t="shared" si="76"/>
        <v>2033</v>
      </c>
      <c r="DB76" s="67">
        <f t="shared" si="77"/>
        <v>6</v>
      </c>
      <c r="DC76" s="68">
        <f t="shared" si="78"/>
        <v>2033</v>
      </c>
      <c r="DD76" s="71" t="e">
        <f t="shared" si="79"/>
        <v>#REF!</v>
      </c>
      <c r="DE76" s="72" t="str">
        <f t="shared" si="80"/>
        <v>. .</v>
      </c>
      <c r="DF76" s="72"/>
      <c r="DG76" s="52">
        <f t="shared" si="81"/>
        <v>720</v>
      </c>
      <c r="DH76" s="52">
        <f t="shared" si="82"/>
        <v>-23675</v>
      </c>
      <c r="DI76" s="52">
        <f t="shared" si="83"/>
        <v>-1973</v>
      </c>
      <c r="DJ76" s="52" t="str">
        <f t="shared" si="84"/>
        <v>Nam dưới 35</v>
      </c>
      <c r="DK76" s="52"/>
      <c r="DL76" s="52"/>
      <c r="DM76" s="57" t="str">
        <f t="shared" si="85"/>
        <v>Đến 30</v>
      </c>
      <c r="DN76" s="65" t="str">
        <f t="shared" si="86"/>
        <v>TD</v>
      </c>
      <c r="DO76" s="36">
        <v>2009</v>
      </c>
      <c r="DP76" s="35"/>
      <c r="DQ76" s="73"/>
      <c r="DR76" s="36"/>
      <c r="DS76" s="80"/>
      <c r="DT76" s="81"/>
      <c r="DU76" s="82"/>
      <c r="DV76" s="75"/>
      <c r="DW76" s="87"/>
      <c r="DX76" s="97" t="s">
        <v>39</v>
      </c>
      <c r="DY76" s="378" t="s">
        <v>243</v>
      </c>
      <c r="DZ76" s="37" t="s">
        <v>2</v>
      </c>
      <c r="EA76" s="193" t="s">
        <v>183</v>
      </c>
      <c r="EB76" s="49" t="s">
        <v>200</v>
      </c>
      <c r="EC76" s="49" t="s">
        <v>190</v>
      </c>
      <c r="ED76" s="49" t="s">
        <v>200</v>
      </c>
      <c r="EE76" s="76">
        <v>2013</v>
      </c>
      <c r="EF76" s="49">
        <f t="shared" si="87"/>
        <v>0</v>
      </c>
      <c r="EG76" s="77" t="str">
        <f t="shared" si="88"/>
        <v>- - -</v>
      </c>
      <c r="EH76" s="193" t="s">
        <v>183</v>
      </c>
      <c r="EI76" s="49" t="s">
        <v>200</v>
      </c>
      <c r="EJ76" s="49" t="s">
        <v>190</v>
      </c>
      <c r="EK76" s="49" t="s">
        <v>200</v>
      </c>
      <c r="EL76" s="76">
        <v>2013</v>
      </c>
      <c r="EM76" s="35"/>
      <c r="EN76" s="55" t="e">
        <f t="shared" si="89"/>
        <v>#REF!</v>
      </c>
      <c r="EO76" s="78" t="str">
        <f t="shared" si="90"/>
        <v>---</v>
      </c>
      <c r="EP76" s="87"/>
      <c r="EQ76" s="79"/>
      <c r="ER76" s="79"/>
      <c r="ES76" s="79"/>
      <c r="ET76" s="79"/>
      <c r="EU76" s="79"/>
      <c r="EV76" s="79"/>
      <c r="EW76" s="79"/>
      <c r="EX76" s="79"/>
      <c r="EY76" s="79"/>
      <c r="EZ76" s="79"/>
      <c r="FA76" s="79"/>
      <c r="FB76" s="79"/>
      <c r="FC76" s="79"/>
      <c r="FD76" s="79"/>
      <c r="FE76" s="79"/>
      <c r="FF76" s="79"/>
      <c r="FG76" s="79"/>
      <c r="FH76" s="79"/>
      <c r="FI76" s="79"/>
      <c r="FJ76" s="79"/>
      <c r="FK76" s="79"/>
      <c r="FL76" s="79"/>
      <c r="FM76" s="79"/>
      <c r="FN76" s="79"/>
      <c r="FO76" s="79"/>
      <c r="FP76" s="79"/>
      <c r="FQ76" s="79"/>
      <c r="FR76" s="79"/>
      <c r="FS76" s="79"/>
    </row>
    <row r="77" spans="1:175" s="351" customFormat="1" ht="11.25" customHeight="1" x14ac:dyDescent="0.2">
      <c r="A77" s="98">
        <v>670</v>
      </c>
      <c r="B77" s="937">
        <v>25</v>
      </c>
      <c r="C77" s="35"/>
      <c r="D77" s="35" t="str">
        <f t="shared" si="44"/>
        <v>Bà</v>
      </c>
      <c r="E77" s="40" t="s">
        <v>159</v>
      </c>
      <c r="F77" s="35" t="s">
        <v>221</v>
      </c>
      <c r="G77" s="64" t="s">
        <v>134</v>
      </c>
      <c r="H77" s="1024" t="s">
        <v>200</v>
      </c>
      <c r="I77" s="64" t="s">
        <v>189</v>
      </c>
      <c r="J77" s="1024" t="s">
        <v>200</v>
      </c>
      <c r="K77" s="40">
        <v>1977</v>
      </c>
      <c r="L77" s="210" t="s">
        <v>264</v>
      </c>
      <c r="M77" s="1047" t="str">
        <f t="shared" si="45"/>
        <v>VC</v>
      </c>
      <c r="N77" s="223"/>
      <c r="O77" s="1025" t="e">
        <f t="shared" si="46"/>
        <v>#N/A</v>
      </c>
      <c r="P77" s="40"/>
      <c r="Q77" s="359" t="e">
        <f>VLOOKUP(P77,'[2]- DLiêu Gốc (Không sửa)'!$C$2:$H$116,2,0)</f>
        <v>#N/A</v>
      </c>
      <c r="R77" s="1032" t="s">
        <v>1</v>
      </c>
      <c r="S77" s="943" t="s">
        <v>326</v>
      </c>
      <c r="T77" s="38" t="e">
        <f>VLOOKUP(Y77,#REF!,5,0)</f>
        <v>#REF!</v>
      </c>
      <c r="U77" s="39" t="e">
        <f>VLOOKUP(Y77,#REF!,6,0)</f>
        <v>#REF!</v>
      </c>
      <c r="V77" s="1059" t="s">
        <v>248</v>
      </c>
      <c r="W77" s="358" t="str">
        <f t="shared" si="47"/>
        <v>Giảng viên (hạng III)</v>
      </c>
      <c r="X77" s="361" t="e">
        <f t="shared" si="48"/>
        <v>#REF!</v>
      </c>
      <c r="Y77" s="380" t="s">
        <v>254</v>
      </c>
      <c r="Z77" s="380" t="e">
        <f>VLOOKUP(Y77,#REF!,2,0)</f>
        <v>#REF!</v>
      </c>
      <c r="AA77" s="52" t="e">
        <f t="shared" si="49"/>
        <v>#REF!</v>
      </c>
      <c r="AB77" s="180">
        <v>5</v>
      </c>
      <c r="AC77" s="700" t="e">
        <f t="shared" si="91"/>
        <v>#REF!</v>
      </c>
      <c r="AD77" s="43" t="e">
        <f t="shared" si="92"/>
        <v>#REF!</v>
      </c>
      <c r="AE77" s="44" t="e">
        <f t="shared" si="93"/>
        <v>#REF!</v>
      </c>
      <c r="AF77" s="435"/>
      <c r="AG77" s="100"/>
      <c r="AH77" s="673"/>
      <c r="AI77" s="694" t="s">
        <v>200</v>
      </c>
      <c r="AJ77" s="100"/>
      <c r="AK77" s="694" t="s">
        <v>200</v>
      </c>
      <c r="AL77" s="674"/>
      <c r="AM77" s="178"/>
      <c r="AN77" s="53"/>
      <c r="AO77" s="353">
        <f t="shared" si="53"/>
        <v>6</v>
      </c>
      <c r="AP77" s="275" t="e">
        <f t="shared" si="54"/>
        <v>#REF!</v>
      </c>
      <c r="AQ77" s="84" t="e">
        <f t="shared" si="55"/>
        <v>#REF!</v>
      </c>
      <c r="AR77" s="47" t="e">
        <f t="shared" si="56"/>
        <v>#REF!</v>
      </c>
      <c r="AS77" s="438"/>
      <c r="AT77" s="48" t="s">
        <v>183</v>
      </c>
      <c r="AU77" s="669" t="s">
        <v>200</v>
      </c>
      <c r="AV77" s="49" t="s">
        <v>183</v>
      </c>
      <c r="AW77" s="669" t="s">
        <v>200</v>
      </c>
      <c r="AX77" s="50">
        <v>2018</v>
      </c>
      <c r="AY77" s="87"/>
      <c r="AZ77" s="300"/>
      <c r="BA77" s="517">
        <v>1.18</v>
      </c>
      <c r="BB77" s="51" t="e">
        <f t="shared" si="57"/>
        <v>#REF!</v>
      </c>
      <c r="BC77" s="356">
        <f t="shared" si="58"/>
        <v>-24217</v>
      </c>
      <c r="BD77" s="310" t="e">
        <f>VLOOKUP(Y77,#REF!,3,0)</f>
        <v>#REF!</v>
      </c>
      <c r="BE77" s="310" t="e">
        <f>VLOOKUP(Y77,#REF!,4,0)</f>
        <v>#REF!</v>
      </c>
      <c r="BF77" s="57" t="str">
        <f t="shared" si="59"/>
        <v>PCTN</v>
      </c>
      <c r="BG77" s="58">
        <v>15</v>
      </c>
      <c r="BH77" s="450" t="s">
        <v>178</v>
      </c>
      <c r="BI77" s="60" t="s">
        <v>183</v>
      </c>
      <c r="BJ77" s="677" t="s">
        <v>200</v>
      </c>
      <c r="BK77" s="448">
        <v>5</v>
      </c>
      <c r="BL77" s="677" t="s">
        <v>200</v>
      </c>
      <c r="BM77" s="256">
        <v>2018</v>
      </c>
      <c r="BN77" s="178"/>
      <c r="BO77" s="62"/>
      <c r="BP77" s="59">
        <f t="shared" si="60"/>
        <v>16</v>
      </c>
      <c r="BQ77" s="454" t="s">
        <v>178</v>
      </c>
      <c r="BR77" s="60" t="s">
        <v>183</v>
      </c>
      <c r="BS77" s="442"/>
      <c r="BT77" s="1135" t="s">
        <v>200</v>
      </c>
      <c r="BU77" s="445">
        <v>5</v>
      </c>
      <c r="BV77" s="669" t="s">
        <v>200</v>
      </c>
      <c r="BW77" s="50">
        <v>2019</v>
      </c>
      <c r="BX77" s="61"/>
      <c r="BY77" s="177">
        <v>5</v>
      </c>
      <c r="BZ77" s="357">
        <f t="shared" si="61"/>
        <v>-24233</v>
      </c>
      <c r="CA77" s="57" t="str">
        <f t="shared" si="62"/>
        <v>- - -</v>
      </c>
      <c r="CB77" s="379" t="str">
        <f t="shared" si="63"/>
        <v>Chánh Văn phòng Học viện, Trưởng Ban Tổ chức - Cán bộ, Trưởng Phân viện Học viện Hành chính Quốc gia tại Thành phố Hồ Chí Minh</v>
      </c>
      <c r="CC77" s="63" t="str">
        <f t="shared" si="64"/>
        <v>A</v>
      </c>
      <c r="CD77" s="41" t="e">
        <f t="shared" si="65"/>
        <v>#REF!</v>
      </c>
      <c r="CE77" s="52" t="e">
        <f t="shared" si="66"/>
        <v>#REF!</v>
      </c>
      <c r="CF77" s="35" t="str">
        <f t="shared" si="67"/>
        <v>---</v>
      </c>
      <c r="CG77" s="35"/>
      <c r="CH77" s="367"/>
      <c r="CI77" s="35"/>
      <c r="CJ77" s="102"/>
      <c r="CK77" s="35" t="e">
        <f t="shared" si="68"/>
        <v>#REF!</v>
      </c>
      <c r="CL77" s="55" t="str">
        <f t="shared" si="69"/>
        <v>- - -</v>
      </c>
      <c r="CM77" s="65"/>
      <c r="CN77" s="66"/>
      <c r="CO77" s="65"/>
      <c r="CP77" s="80"/>
      <c r="CQ77" s="55" t="str">
        <f t="shared" si="70"/>
        <v>- - -</v>
      </c>
      <c r="CR77" s="65"/>
      <c r="CS77" s="66"/>
      <c r="CT77" s="65"/>
      <c r="CU77" s="80"/>
      <c r="CV77" s="69" t="e">
        <f t="shared" si="71"/>
        <v>#REF!</v>
      </c>
      <c r="CW77" s="70" t="str">
        <f t="shared" si="72"/>
        <v>/-/ /-/</v>
      </c>
      <c r="CX77" s="67">
        <f t="shared" si="73"/>
        <v>8</v>
      </c>
      <c r="CY77" s="68">
        <f t="shared" si="74"/>
        <v>2032</v>
      </c>
      <c r="CZ77" s="67">
        <f t="shared" si="75"/>
        <v>5</v>
      </c>
      <c r="DA77" s="68">
        <f t="shared" si="76"/>
        <v>2032</v>
      </c>
      <c r="DB77" s="67">
        <f t="shared" si="77"/>
        <v>2</v>
      </c>
      <c r="DC77" s="68">
        <f t="shared" si="78"/>
        <v>2032</v>
      </c>
      <c r="DD77" s="71" t="e">
        <f t="shared" si="79"/>
        <v>#REF!</v>
      </c>
      <c r="DE77" s="72" t="str">
        <f t="shared" si="80"/>
        <v>. .</v>
      </c>
      <c r="DF77" s="72"/>
      <c r="DG77" s="52">
        <f t="shared" si="81"/>
        <v>660</v>
      </c>
      <c r="DH77" s="52">
        <f t="shared" si="82"/>
        <v>-23719</v>
      </c>
      <c r="DI77" s="52">
        <f t="shared" si="83"/>
        <v>-1977</v>
      </c>
      <c r="DJ77" s="52" t="str">
        <f t="shared" si="84"/>
        <v>Nữ dưới 30</v>
      </c>
      <c r="DK77" s="52"/>
      <c r="DL77" s="194"/>
      <c r="DM77" s="57" t="str">
        <f t="shared" si="85"/>
        <v>Đến 30</v>
      </c>
      <c r="DN77" s="65" t="str">
        <f t="shared" si="86"/>
        <v>TD</v>
      </c>
      <c r="DO77" s="36">
        <v>2012</v>
      </c>
      <c r="DP77" s="35"/>
      <c r="DQ77" s="191"/>
      <c r="DR77" s="36"/>
      <c r="DS77" s="80"/>
      <c r="DT77" s="81"/>
      <c r="DU77" s="82"/>
      <c r="DV77" s="75"/>
      <c r="DW77" s="87"/>
      <c r="DX77" s="37" t="s">
        <v>1</v>
      </c>
      <c r="DY77" s="378" t="s">
        <v>243</v>
      </c>
      <c r="DZ77" s="37" t="s">
        <v>1</v>
      </c>
      <c r="EA77" s="48" t="s">
        <v>183</v>
      </c>
      <c r="EB77" s="49" t="s">
        <v>200</v>
      </c>
      <c r="EC77" s="49" t="s">
        <v>183</v>
      </c>
      <c r="ED77" s="49" t="s">
        <v>200</v>
      </c>
      <c r="EE77" s="76" t="s">
        <v>218</v>
      </c>
      <c r="EF77" s="49">
        <f t="shared" si="87"/>
        <v>0</v>
      </c>
      <c r="EG77" s="77" t="str">
        <f t="shared" si="88"/>
        <v>- - -</v>
      </c>
      <c r="EH77" s="48" t="s">
        <v>183</v>
      </c>
      <c r="EI77" s="49" t="s">
        <v>200</v>
      </c>
      <c r="EJ77" s="49" t="s">
        <v>183</v>
      </c>
      <c r="EK77" s="49" t="s">
        <v>200</v>
      </c>
      <c r="EL77" s="76" t="s">
        <v>218</v>
      </c>
      <c r="EM77" s="35"/>
      <c r="EN77" s="55" t="e">
        <f t="shared" si="89"/>
        <v>#REF!</v>
      </c>
      <c r="EO77" s="78" t="str">
        <f t="shared" si="90"/>
        <v>---</v>
      </c>
      <c r="EP77" s="87"/>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1076"/>
      <c r="FP77" s="1076"/>
      <c r="FQ77" s="1076"/>
      <c r="FR77" s="1076"/>
      <c r="FS77" s="1076"/>
    </row>
    <row r="78" spans="1:175" s="79" customFormat="1" ht="11.25" customHeight="1" x14ac:dyDescent="0.2">
      <c r="A78" s="98">
        <v>676</v>
      </c>
      <c r="B78" s="937">
        <v>26</v>
      </c>
      <c r="C78" s="35"/>
      <c r="D78" s="35" t="str">
        <f t="shared" si="44"/>
        <v>Ông</v>
      </c>
      <c r="E78" s="40" t="s">
        <v>44</v>
      </c>
      <c r="F78" s="35" t="s">
        <v>219</v>
      </c>
      <c r="G78" s="64" t="s">
        <v>184</v>
      </c>
      <c r="H78" s="1024" t="s">
        <v>200</v>
      </c>
      <c r="I78" s="64">
        <v>8</v>
      </c>
      <c r="J78" s="1024" t="s">
        <v>200</v>
      </c>
      <c r="K78" s="40">
        <v>1963</v>
      </c>
      <c r="L78" s="210" t="s">
        <v>264</v>
      </c>
      <c r="M78" s="1047" t="str">
        <f t="shared" si="45"/>
        <v>VC</v>
      </c>
      <c r="N78" s="223"/>
      <c r="O78" s="1025" t="e">
        <f t="shared" si="46"/>
        <v>#N/A</v>
      </c>
      <c r="P78" s="40"/>
      <c r="Q78" s="359" t="e">
        <f>VLOOKUP(P78,'[2]- DLiêu Gốc (Không sửa)'!$C$2:$H$116,2,0)</f>
        <v>#N/A</v>
      </c>
      <c r="R78" s="1032" t="s">
        <v>1</v>
      </c>
      <c r="S78" s="943" t="s">
        <v>326</v>
      </c>
      <c r="T78" s="38" t="e">
        <f>VLOOKUP(Y78,#REF!,5,0)</f>
        <v>#REF!</v>
      </c>
      <c r="U78" s="39" t="e">
        <f>VLOOKUP(Y78,#REF!,6,0)</f>
        <v>#REF!</v>
      </c>
      <c r="V78" s="1059" t="s">
        <v>248</v>
      </c>
      <c r="W78" s="358" t="str">
        <f t="shared" si="47"/>
        <v>Giảng viên (hạng III)</v>
      </c>
      <c r="X78" s="361" t="e">
        <f t="shared" si="48"/>
        <v>#REF!</v>
      </c>
      <c r="Y78" s="380" t="s">
        <v>254</v>
      </c>
      <c r="Z78" s="380" t="e">
        <f>VLOOKUP(Y78,#REF!,2,0)</f>
        <v>#REF!</v>
      </c>
      <c r="AA78" s="52" t="e">
        <f t="shared" si="49"/>
        <v>#REF!</v>
      </c>
      <c r="AB78" s="180">
        <v>6</v>
      </c>
      <c r="AC78" s="700" t="e">
        <f t="shared" si="91"/>
        <v>#REF!</v>
      </c>
      <c r="AD78" s="43" t="e">
        <f t="shared" si="92"/>
        <v>#REF!</v>
      </c>
      <c r="AE78" s="44" t="e">
        <f t="shared" si="93"/>
        <v>#REF!</v>
      </c>
      <c r="AF78" s="435"/>
      <c r="AG78" s="100"/>
      <c r="AH78" s="673"/>
      <c r="AI78" s="1022" t="s">
        <v>200</v>
      </c>
      <c r="AJ78" s="100"/>
      <c r="AK78" s="694" t="s">
        <v>200</v>
      </c>
      <c r="AL78" s="674"/>
      <c r="AM78" s="178"/>
      <c r="AN78" s="53"/>
      <c r="AO78" s="353">
        <f t="shared" si="53"/>
        <v>7</v>
      </c>
      <c r="AP78" s="275" t="e">
        <f t="shared" si="54"/>
        <v>#REF!</v>
      </c>
      <c r="AQ78" s="84" t="e">
        <f t="shared" si="55"/>
        <v>#REF!</v>
      </c>
      <c r="AR78" s="47" t="e">
        <f t="shared" si="56"/>
        <v>#REF!</v>
      </c>
      <c r="AS78" s="438"/>
      <c r="AT78" s="48" t="s">
        <v>183</v>
      </c>
      <c r="AU78" s="693" t="s">
        <v>200</v>
      </c>
      <c r="AV78" s="49" t="s">
        <v>187</v>
      </c>
      <c r="AW78" s="669" t="s">
        <v>200</v>
      </c>
      <c r="AX78" s="50">
        <v>2017</v>
      </c>
      <c r="AY78" s="87"/>
      <c r="AZ78" s="509"/>
      <c r="BA78" s="517"/>
      <c r="BB78" s="51" t="e">
        <f t="shared" si="57"/>
        <v>#REF!</v>
      </c>
      <c r="BC78" s="356">
        <f t="shared" si="58"/>
        <v>-24212</v>
      </c>
      <c r="BD78" s="310" t="e">
        <f>VLOOKUP(Y78,#REF!,3,0)</f>
        <v>#REF!</v>
      </c>
      <c r="BE78" s="310" t="e">
        <f>VLOOKUP(Y78,#REF!,4,0)</f>
        <v>#REF!</v>
      </c>
      <c r="BF78" s="57" t="str">
        <f t="shared" si="59"/>
        <v>PCTN</v>
      </c>
      <c r="BG78" s="58">
        <v>15</v>
      </c>
      <c r="BH78" s="450" t="s">
        <v>178</v>
      </c>
      <c r="BI78" s="60" t="s">
        <v>183</v>
      </c>
      <c r="BJ78" s="677" t="s">
        <v>200</v>
      </c>
      <c r="BK78" s="448">
        <v>5</v>
      </c>
      <c r="BL78" s="677" t="s">
        <v>200</v>
      </c>
      <c r="BM78" s="256">
        <v>2018</v>
      </c>
      <c r="BN78" s="178"/>
      <c r="BO78" s="62"/>
      <c r="BP78" s="59">
        <f t="shared" si="60"/>
        <v>16</v>
      </c>
      <c r="BQ78" s="454" t="s">
        <v>178</v>
      </c>
      <c r="BR78" s="60" t="s">
        <v>183</v>
      </c>
      <c r="BS78" s="442"/>
      <c r="BT78" s="1135" t="s">
        <v>200</v>
      </c>
      <c r="BU78" s="445">
        <v>5</v>
      </c>
      <c r="BV78" s="669" t="s">
        <v>200</v>
      </c>
      <c r="BW78" s="50">
        <v>2019</v>
      </c>
      <c r="BX78" s="61"/>
      <c r="BY78" s="177">
        <v>5</v>
      </c>
      <c r="BZ78" s="357">
        <f t="shared" si="61"/>
        <v>-24233</v>
      </c>
      <c r="CA78" s="57" t="str">
        <f t="shared" si="62"/>
        <v>- - -</v>
      </c>
      <c r="CB78" s="379" t="str">
        <f t="shared" si="63"/>
        <v>Chánh Văn phòng Học viện, Trưởng Ban Tổ chức - Cán bộ, Trưởng Phân viện Học viện Hành chính Quốc gia tại Thành phố Hồ Chí Minh</v>
      </c>
      <c r="CC78" s="63" t="str">
        <f t="shared" si="64"/>
        <v>A</v>
      </c>
      <c r="CD78" s="41" t="e">
        <f t="shared" si="65"/>
        <v>#REF!</v>
      </c>
      <c r="CE78" s="52" t="e">
        <f t="shared" si="66"/>
        <v>#REF!</v>
      </c>
      <c r="CF78" s="35" t="str">
        <f t="shared" si="67"/>
        <v>---</v>
      </c>
      <c r="CG78" s="35"/>
      <c r="CH78" s="367"/>
      <c r="CI78" s="35"/>
      <c r="CJ78" s="102"/>
      <c r="CK78" s="35" t="e">
        <f t="shared" si="68"/>
        <v>#REF!</v>
      </c>
      <c r="CL78" s="55" t="str">
        <f t="shared" si="69"/>
        <v>- - -</v>
      </c>
      <c r="CM78" s="65"/>
      <c r="CN78" s="66"/>
      <c r="CO78" s="65"/>
      <c r="CP78" s="80"/>
      <c r="CQ78" s="55" t="str">
        <f t="shared" si="70"/>
        <v>- - -</v>
      </c>
      <c r="CR78" s="65"/>
      <c r="CS78" s="66"/>
      <c r="CT78" s="65"/>
      <c r="CU78" s="80"/>
      <c r="CV78" s="69" t="e">
        <f t="shared" si="71"/>
        <v>#REF!</v>
      </c>
      <c r="CW78" s="70" t="str">
        <f t="shared" si="72"/>
        <v>/-/ /-/</v>
      </c>
      <c r="CX78" s="67">
        <f t="shared" si="73"/>
        <v>9</v>
      </c>
      <c r="CY78" s="68">
        <f t="shared" si="74"/>
        <v>2023</v>
      </c>
      <c r="CZ78" s="67">
        <f t="shared" si="75"/>
        <v>6</v>
      </c>
      <c r="DA78" s="68">
        <f t="shared" si="76"/>
        <v>2023</v>
      </c>
      <c r="DB78" s="67">
        <f t="shared" si="77"/>
        <v>3</v>
      </c>
      <c r="DC78" s="68">
        <f t="shared" si="78"/>
        <v>2023</v>
      </c>
      <c r="DD78" s="71" t="e">
        <f t="shared" si="79"/>
        <v>#REF!</v>
      </c>
      <c r="DE78" s="72" t="str">
        <f t="shared" si="80"/>
        <v>. .</v>
      </c>
      <c r="DF78" s="72"/>
      <c r="DG78" s="52">
        <f t="shared" si="81"/>
        <v>720</v>
      </c>
      <c r="DH78" s="52">
        <f t="shared" si="82"/>
        <v>-23552</v>
      </c>
      <c r="DI78" s="52">
        <f t="shared" si="83"/>
        <v>-1963</v>
      </c>
      <c r="DJ78" s="52" t="str">
        <f t="shared" si="84"/>
        <v>Nam dưới 35</v>
      </c>
      <c r="DK78" s="52"/>
      <c r="DL78" s="52"/>
      <c r="DM78" s="57" t="str">
        <f t="shared" si="85"/>
        <v>Đến 30</v>
      </c>
      <c r="DN78" s="65" t="str">
        <f t="shared" si="86"/>
        <v>TD</v>
      </c>
      <c r="DO78" s="36">
        <v>2009</v>
      </c>
      <c r="DP78" s="35"/>
      <c r="DQ78" s="73"/>
      <c r="DR78" s="36"/>
      <c r="DS78" s="80"/>
      <c r="DT78" s="81"/>
      <c r="DU78" s="82"/>
      <c r="DV78" s="75"/>
      <c r="DW78" s="87"/>
      <c r="DX78" s="37" t="s">
        <v>1</v>
      </c>
      <c r="DY78" s="378" t="s">
        <v>243</v>
      </c>
      <c r="DZ78" s="37" t="s">
        <v>1</v>
      </c>
      <c r="EA78" s="193" t="s">
        <v>183</v>
      </c>
      <c r="EB78" s="49" t="s">
        <v>200</v>
      </c>
      <c r="EC78" s="184" t="s">
        <v>187</v>
      </c>
      <c r="ED78" s="49" t="s">
        <v>200</v>
      </c>
      <c r="EE78" s="76" t="s">
        <v>203</v>
      </c>
      <c r="EF78" s="49">
        <f t="shared" si="87"/>
        <v>0</v>
      </c>
      <c r="EG78" s="77" t="str">
        <f t="shared" si="88"/>
        <v>- - -</v>
      </c>
      <c r="EH78" s="193" t="s">
        <v>183</v>
      </c>
      <c r="EI78" s="49" t="s">
        <v>200</v>
      </c>
      <c r="EJ78" s="184" t="s">
        <v>187</v>
      </c>
      <c r="EK78" s="49" t="s">
        <v>200</v>
      </c>
      <c r="EL78" s="76" t="s">
        <v>203</v>
      </c>
      <c r="EM78" s="35"/>
      <c r="EN78" s="55" t="e">
        <f t="shared" si="89"/>
        <v>#REF!</v>
      </c>
      <c r="EO78" s="78" t="str">
        <f t="shared" si="90"/>
        <v>---</v>
      </c>
      <c r="EP78" s="87"/>
    </row>
    <row r="79" spans="1:175" s="253" customFormat="1" ht="11.25" customHeight="1" x14ac:dyDescent="0.2">
      <c r="A79" s="98">
        <v>677</v>
      </c>
      <c r="B79" s="937">
        <v>27</v>
      </c>
      <c r="C79" s="35"/>
      <c r="D79" s="35" t="str">
        <f t="shared" si="44"/>
        <v>Ông</v>
      </c>
      <c r="E79" s="40" t="s">
        <v>151</v>
      </c>
      <c r="F79" s="35" t="s">
        <v>219</v>
      </c>
      <c r="G79" s="64" t="s">
        <v>183</v>
      </c>
      <c r="H79" s="1024" t="s">
        <v>200</v>
      </c>
      <c r="I79" s="64" t="s">
        <v>211</v>
      </c>
      <c r="J79" s="1024" t="s">
        <v>200</v>
      </c>
      <c r="K79" s="40" t="s">
        <v>162</v>
      </c>
      <c r="L79" s="210" t="s">
        <v>264</v>
      </c>
      <c r="M79" s="1047" t="str">
        <f t="shared" si="45"/>
        <v>VC</v>
      </c>
      <c r="N79" s="223"/>
      <c r="O79" s="1025" t="e">
        <f t="shared" si="46"/>
        <v>#N/A</v>
      </c>
      <c r="P79" s="40"/>
      <c r="Q79" s="359" t="e">
        <f>VLOOKUP(P79,'[2]- DLiêu Gốc (Không sửa)'!$C$2:$H$116,2,0)</f>
        <v>#N/A</v>
      </c>
      <c r="R79" s="1032" t="s">
        <v>1</v>
      </c>
      <c r="S79" s="943" t="s">
        <v>326</v>
      </c>
      <c r="T79" s="38" t="e">
        <f>VLOOKUP(Y79,#REF!,5,0)</f>
        <v>#REF!</v>
      </c>
      <c r="U79" s="39" t="e">
        <f>VLOOKUP(Y79,#REF!,6,0)</f>
        <v>#REF!</v>
      </c>
      <c r="V79" s="1059" t="s">
        <v>248</v>
      </c>
      <c r="W79" s="358" t="str">
        <f t="shared" si="47"/>
        <v>Giảng viên (hạng III)</v>
      </c>
      <c r="X79" s="361" t="e">
        <f t="shared" si="48"/>
        <v>#REF!</v>
      </c>
      <c r="Y79" s="380" t="s">
        <v>254</v>
      </c>
      <c r="Z79" s="380" t="e">
        <f>VLOOKUP(Y79,#REF!,2,0)</f>
        <v>#REF!</v>
      </c>
      <c r="AA79" s="52" t="e">
        <f t="shared" si="49"/>
        <v>#REF!</v>
      </c>
      <c r="AB79" s="180">
        <v>5</v>
      </c>
      <c r="AC79" s="700" t="e">
        <f t="shared" si="91"/>
        <v>#REF!</v>
      </c>
      <c r="AD79" s="43" t="e">
        <f t="shared" si="92"/>
        <v>#REF!</v>
      </c>
      <c r="AE79" s="44" t="e">
        <f t="shared" si="93"/>
        <v>#REF!</v>
      </c>
      <c r="AF79" s="435"/>
      <c r="AG79" s="100"/>
      <c r="AH79" s="48" t="s">
        <v>183</v>
      </c>
      <c r="AI79" s="694" t="s">
        <v>200</v>
      </c>
      <c r="AJ79" s="49" t="s">
        <v>184</v>
      </c>
      <c r="AK79" s="694" t="s">
        <v>200</v>
      </c>
      <c r="AL79" s="50">
        <v>2015</v>
      </c>
      <c r="AM79" s="178"/>
      <c r="AN79" s="53"/>
      <c r="AO79" s="353">
        <f t="shared" si="53"/>
        <v>6</v>
      </c>
      <c r="AP79" s="275" t="e">
        <f t="shared" si="54"/>
        <v>#REF!</v>
      </c>
      <c r="AQ79" s="84" t="e">
        <f t="shared" si="55"/>
        <v>#REF!</v>
      </c>
      <c r="AR79" s="47" t="e">
        <f t="shared" si="56"/>
        <v>#REF!</v>
      </c>
      <c r="AS79" s="438"/>
      <c r="AT79" s="48" t="s">
        <v>183</v>
      </c>
      <c r="AU79" s="669" t="s">
        <v>200</v>
      </c>
      <c r="AV79" s="49" t="s">
        <v>184</v>
      </c>
      <c r="AW79" s="669" t="s">
        <v>200</v>
      </c>
      <c r="AX79" s="675">
        <v>2018</v>
      </c>
      <c r="AY79" s="453"/>
      <c r="AZ79" s="509"/>
      <c r="BA79" s="517">
        <v>2.1800000000000002</v>
      </c>
      <c r="BB79" s="51" t="e">
        <f t="shared" si="57"/>
        <v>#REF!</v>
      </c>
      <c r="BC79" s="356">
        <f t="shared" si="58"/>
        <v>-24218</v>
      </c>
      <c r="BD79" s="310" t="e">
        <f>VLOOKUP(Y79,#REF!,3,0)</f>
        <v>#REF!</v>
      </c>
      <c r="BE79" s="310" t="e">
        <f>VLOOKUP(Y79,#REF!,4,0)</f>
        <v>#REF!</v>
      </c>
      <c r="BF79" s="57" t="str">
        <f t="shared" si="59"/>
        <v>PCTN</v>
      </c>
      <c r="BG79" s="58">
        <v>15</v>
      </c>
      <c r="BH79" s="450" t="s">
        <v>178</v>
      </c>
      <c r="BI79" s="60" t="s">
        <v>183</v>
      </c>
      <c r="BJ79" s="677" t="s">
        <v>200</v>
      </c>
      <c r="BK79" s="448">
        <v>5</v>
      </c>
      <c r="BL79" s="677" t="s">
        <v>200</v>
      </c>
      <c r="BM79" s="256">
        <v>2018</v>
      </c>
      <c r="BN79" s="178"/>
      <c r="BO79" s="62"/>
      <c r="BP79" s="59">
        <f t="shared" si="60"/>
        <v>16</v>
      </c>
      <c r="BQ79" s="454" t="s">
        <v>178</v>
      </c>
      <c r="BR79" s="60" t="s">
        <v>183</v>
      </c>
      <c r="BS79" s="442"/>
      <c r="BT79" s="1135" t="s">
        <v>200</v>
      </c>
      <c r="BU79" s="445">
        <v>5</v>
      </c>
      <c r="BV79" s="669" t="s">
        <v>200</v>
      </c>
      <c r="BW79" s="50">
        <v>2019</v>
      </c>
      <c r="BX79" s="61"/>
      <c r="BY79" s="177">
        <v>5</v>
      </c>
      <c r="BZ79" s="357">
        <f t="shared" si="61"/>
        <v>-24233</v>
      </c>
      <c r="CA79" s="57" t="str">
        <f t="shared" si="62"/>
        <v>- - -</v>
      </c>
      <c r="CB79" s="379" t="str">
        <f t="shared" si="63"/>
        <v>Chánh Văn phòng Học viện, Trưởng Ban Tổ chức - Cán bộ, Trưởng Phân viện Học viện Hành chính Quốc gia tại Thành phố Hồ Chí Minh</v>
      </c>
      <c r="CC79" s="63" t="str">
        <f t="shared" si="64"/>
        <v>A</v>
      </c>
      <c r="CD79" s="41" t="e">
        <f t="shared" si="65"/>
        <v>#REF!</v>
      </c>
      <c r="CE79" s="52" t="e">
        <f t="shared" si="66"/>
        <v>#REF!</v>
      </c>
      <c r="CF79" s="35" t="str">
        <f t="shared" si="67"/>
        <v>---</v>
      </c>
      <c r="CG79" s="35"/>
      <c r="CH79" s="367"/>
      <c r="CI79" s="35"/>
      <c r="CJ79" s="102"/>
      <c r="CK79" s="35" t="e">
        <f t="shared" si="68"/>
        <v>#REF!</v>
      </c>
      <c r="CL79" s="55" t="str">
        <f t="shared" si="69"/>
        <v>- - -</v>
      </c>
      <c r="CM79" s="65"/>
      <c r="CN79" s="66"/>
      <c r="CO79" s="65"/>
      <c r="CP79" s="80"/>
      <c r="CQ79" s="55" t="str">
        <f t="shared" si="70"/>
        <v>- - -</v>
      </c>
      <c r="CR79" s="65"/>
      <c r="CS79" s="66"/>
      <c r="CT79" s="65"/>
      <c r="CU79" s="80"/>
      <c r="CV79" s="69" t="e">
        <f t="shared" si="71"/>
        <v>#REF!</v>
      </c>
      <c r="CW79" s="70" t="str">
        <f t="shared" si="72"/>
        <v>/-/ /-/</v>
      </c>
      <c r="CX79" s="67">
        <f t="shared" si="73"/>
        <v>12</v>
      </c>
      <c r="CY79" s="68">
        <f t="shared" si="74"/>
        <v>2037</v>
      </c>
      <c r="CZ79" s="67">
        <f t="shared" si="75"/>
        <v>9</v>
      </c>
      <c r="DA79" s="68">
        <f t="shared" si="76"/>
        <v>2037</v>
      </c>
      <c r="DB79" s="67">
        <f t="shared" si="77"/>
        <v>6</v>
      </c>
      <c r="DC79" s="68">
        <f t="shared" si="78"/>
        <v>2037</v>
      </c>
      <c r="DD79" s="71" t="e">
        <f t="shared" si="79"/>
        <v>#REF!</v>
      </c>
      <c r="DE79" s="72" t="str">
        <f t="shared" si="80"/>
        <v>. .</v>
      </c>
      <c r="DF79" s="72"/>
      <c r="DG79" s="52">
        <f t="shared" si="81"/>
        <v>720</v>
      </c>
      <c r="DH79" s="52">
        <f t="shared" si="82"/>
        <v>-23723</v>
      </c>
      <c r="DI79" s="52">
        <f t="shared" si="83"/>
        <v>-1977</v>
      </c>
      <c r="DJ79" s="52" t="str">
        <f t="shared" si="84"/>
        <v>Nam dưới 35</v>
      </c>
      <c r="DK79" s="52"/>
      <c r="DL79" s="52"/>
      <c r="DM79" s="57" t="str">
        <f t="shared" si="85"/>
        <v>Đến 30</v>
      </c>
      <c r="DN79" s="65" t="str">
        <f t="shared" si="86"/>
        <v>TD</v>
      </c>
      <c r="DO79" s="36">
        <v>2009</v>
      </c>
      <c r="DP79" s="35"/>
      <c r="DQ79" s="73"/>
      <c r="DR79" s="36"/>
      <c r="DS79" s="80"/>
      <c r="DT79" s="81"/>
      <c r="DU79" s="82"/>
      <c r="DV79" s="75"/>
      <c r="DW79" s="87"/>
      <c r="DX79" s="37" t="s">
        <v>1</v>
      </c>
      <c r="DY79" s="378" t="s">
        <v>243</v>
      </c>
      <c r="DZ79" s="37" t="s">
        <v>1</v>
      </c>
      <c r="EA79" s="48" t="s">
        <v>183</v>
      </c>
      <c r="EB79" s="49" t="s">
        <v>200</v>
      </c>
      <c r="EC79" s="49" t="s">
        <v>184</v>
      </c>
      <c r="ED79" s="49" t="s">
        <v>200</v>
      </c>
      <c r="EE79" s="76" t="s">
        <v>218</v>
      </c>
      <c r="EF79" s="49">
        <f t="shared" si="87"/>
        <v>0</v>
      </c>
      <c r="EG79" s="77" t="str">
        <f t="shared" si="88"/>
        <v>- - -</v>
      </c>
      <c r="EH79" s="48" t="s">
        <v>183</v>
      </c>
      <c r="EI79" s="49" t="s">
        <v>200</v>
      </c>
      <c r="EJ79" s="49" t="s">
        <v>184</v>
      </c>
      <c r="EK79" s="49" t="s">
        <v>200</v>
      </c>
      <c r="EL79" s="76" t="s">
        <v>218</v>
      </c>
      <c r="EM79" s="35"/>
      <c r="EN79" s="55" t="e">
        <f t="shared" si="89"/>
        <v>#REF!</v>
      </c>
      <c r="EO79" s="78" t="str">
        <f t="shared" si="90"/>
        <v>---</v>
      </c>
      <c r="EP79" s="87"/>
      <c r="EQ79" s="79"/>
      <c r="ER79" s="79"/>
      <c r="ES79" s="79"/>
      <c r="ET79" s="79"/>
      <c r="EU79" s="79"/>
      <c r="EV79" s="79"/>
      <c r="EW79" s="79"/>
      <c r="EX79" s="79"/>
      <c r="EY79" s="79"/>
      <c r="EZ79" s="79"/>
      <c r="FA79" s="79"/>
      <c r="FB79" s="79"/>
      <c r="FC79" s="79"/>
      <c r="FD79" s="79"/>
      <c r="FE79" s="79"/>
      <c r="FF79" s="79"/>
      <c r="FG79" s="79"/>
      <c r="FH79" s="79"/>
      <c r="FI79" s="79"/>
      <c r="FJ79" s="79"/>
      <c r="FK79" s="79"/>
      <c r="FL79" s="79"/>
      <c r="FM79" s="79"/>
      <c r="FN79" s="79"/>
      <c r="FO79" s="79"/>
      <c r="FP79" s="79"/>
      <c r="FQ79" s="79"/>
      <c r="FR79" s="79"/>
      <c r="FS79" s="79"/>
    </row>
    <row r="80" spans="1:175" s="347" customFormat="1" ht="11.25" customHeight="1" x14ac:dyDescent="0.2">
      <c r="A80" s="98">
        <v>679</v>
      </c>
      <c r="B80" s="937">
        <v>28</v>
      </c>
      <c r="C80" s="35"/>
      <c r="D80" s="35" t="str">
        <f t="shared" si="44"/>
        <v>Bà</v>
      </c>
      <c r="E80" s="40" t="s">
        <v>46</v>
      </c>
      <c r="F80" s="35" t="s">
        <v>221</v>
      </c>
      <c r="G80" s="64" t="s">
        <v>184</v>
      </c>
      <c r="H80" s="1024" t="s">
        <v>200</v>
      </c>
      <c r="I80" s="64" t="s">
        <v>184</v>
      </c>
      <c r="J80" s="1024" t="s">
        <v>200</v>
      </c>
      <c r="K80" s="40">
        <v>1963</v>
      </c>
      <c r="L80" s="210" t="s">
        <v>264</v>
      </c>
      <c r="M80" s="1047" t="str">
        <f t="shared" si="45"/>
        <v>VC</v>
      </c>
      <c r="N80" s="223"/>
      <c r="O80" s="1025" t="e">
        <f t="shared" si="46"/>
        <v>#N/A</v>
      </c>
      <c r="P80" s="40"/>
      <c r="Q80" s="359" t="e">
        <f>VLOOKUP(P80,'[2]- DLiêu Gốc (Không sửa)'!$C$2:$H$116,2,0)</f>
        <v>#N/A</v>
      </c>
      <c r="R80" s="1032" t="s">
        <v>37</v>
      </c>
      <c r="S80" s="943" t="s">
        <v>326</v>
      </c>
      <c r="T80" s="38" t="e">
        <f>VLOOKUP(Y80,#REF!,5,0)</f>
        <v>#REF!</v>
      </c>
      <c r="U80" s="39" t="e">
        <f>VLOOKUP(Y80,#REF!,6,0)</f>
        <v>#REF!</v>
      </c>
      <c r="V80" s="1059" t="s">
        <v>248</v>
      </c>
      <c r="W80" s="358" t="str">
        <f t="shared" si="47"/>
        <v>Giảng viên (hạng III)</v>
      </c>
      <c r="X80" s="361" t="e">
        <f t="shared" si="48"/>
        <v>#REF!</v>
      </c>
      <c r="Y80" s="380" t="s">
        <v>254</v>
      </c>
      <c r="Z80" s="380" t="e">
        <f>VLOOKUP(Y80,#REF!,2,0)</f>
        <v>#REF!</v>
      </c>
      <c r="AA80" s="52" t="e">
        <f t="shared" si="49"/>
        <v>#REF!</v>
      </c>
      <c r="AB80" s="180">
        <v>6</v>
      </c>
      <c r="AC80" s="700" t="e">
        <f t="shared" si="91"/>
        <v>#REF!</v>
      </c>
      <c r="AD80" s="43" t="e">
        <f t="shared" si="92"/>
        <v>#REF!</v>
      </c>
      <c r="AE80" s="44" t="e">
        <f t="shared" si="93"/>
        <v>#REF!</v>
      </c>
      <c r="AF80" s="435"/>
      <c r="AG80" s="100"/>
      <c r="AH80" s="673"/>
      <c r="AI80" s="694" t="s">
        <v>200</v>
      </c>
      <c r="AJ80" s="100"/>
      <c r="AK80" s="694" t="s">
        <v>200</v>
      </c>
      <c r="AL80" s="674"/>
      <c r="AM80" s="178"/>
      <c r="AN80" s="53"/>
      <c r="AO80" s="353">
        <f t="shared" si="53"/>
        <v>7</v>
      </c>
      <c r="AP80" s="275" t="e">
        <f t="shared" si="54"/>
        <v>#REF!</v>
      </c>
      <c r="AQ80" s="84" t="e">
        <f t="shared" si="55"/>
        <v>#REF!</v>
      </c>
      <c r="AR80" s="47" t="e">
        <f t="shared" si="56"/>
        <v>#REF!</v>
      </c>
      <c r="AS80" s="438"/>
      <c r="AT80" s="48" t="s">
        <v>183</v>
      </c>
      <c r="AU80" s="669" t="s">
        <v>200</v>
      </c>
      <c r="AV80" s="49" t="s">
        <v>187</v>
      </c>
      <c r="AW80" s="669" t="s">
        <v>200</v>
      </c>
      <c r="AX80" s="50">
        <v>2016</v>
      </c>
      <c r="AY80" s="87"/>
      <c r="AZ80" s="509"/>
      <c r="BA80" s="517"/>
      <c r="BB80" s="51" t="e">
        <f t="shared" si="57"/>
        <v>#REF!</v>
      </c>
      <c r="BC80" s="356">
        <f t="shared" si="58"/>
        <v>-24200</v>
      </c>
      <c r="BD80" s="310" t="e">
        <f>VLOOKUP(Y80,#REF!,3,0)</f>
        <v>#REF!</v>
      </c>
      <c r="BE80" s="310" t="e">
        <f>VLOOKUP(Y80,#REF!,4,0)</f>
        <v>#REF!</v>
      </c>
      <c r="BF80" s="57" t="str">
        <f t="shared" si="59"/>
        <v>PCTN</v>
      </c>
      <c r="BG80" s="58">
        <v>15</v>
      </c>
      <c r="BH80" s="450" t="s">
        <v>178</v>
      </c>
      <c r="BI80" s="60" t="s">
        <v>183</v>
      </c>
      <c r="BJ80" s="677" t="s">
        <v>200</v>
      </c>
      <c r="BK80" s="448">
        <v>5</v>
      </c>
      <c r="BL80" s="677" t="s">
        <v>200</v>
      </c>
      <c r="BM80" s="256">
        <v>2018</v>
      </c>
      <c r="BN80" s="178"/>
      <c r="BO80" s="62"/>
      <c r="BP80" s="59">
        <f t="shared" si="60"/>
        <v>16</v>
      </c>
      <c r="BQ80" s="454" t="s">
        <v>178</v>
      </c>
      <c r="BR80" s="60" t="s">
        <v>183</v>
      </c>
      <c r="BS80" s="442"/>
      <c r="BT80" s="1135" t="s">
        <v>200</v>
      </c>
      <c r="BU80" s="445">
        <v>5</v>
      </c>
      <c r="BV80" s="669" t="s">
        <v>200</v>
      </c>
      <c r="BW80" s="50">
        <v>2019</v>
      </c>
      <c r="BX80" s="61"/>
      <c r="BY80" s="177">
        <v>5</v>
      </c>
      <c r="BZ80" s="357">
        <f t="shared" si="61"/>
        <v>-24233</v>
      </c>
      <c r="CA80" s="57" t="str">
        <f t="shared" si="62"/>
        <v>- - -</v>
      </c>
      <c r="CB80" s="379" t="str">
        <f t="shared" si="63"/>
        <v>Chánh Văn phòng Học viện, Trưởng Ban Tổ chức - Cán bộ, Trưởng Phân viện Học viện Hành chính Quốc gia tại Thành phố Hồ Chí Minh</v>
      </c>
      <c r="CC80" s="63" t="str">
        <f t="shared" si="64"/>
        <v>A</v>
      </c>
      <c r="CD80" s="41" t="e">
        <f t="shared" si="65"/>
        <v>#REF!</v>
      </c>
      <c r="CE80" s="52" t="e">
        <f t="shared" si="66"/>
        <v>#REF!</v>
      </c>
      <c r="CF80" s="35" t="str">
        <f t="shared" si="67"/>
        <v>---</v>
      </c>
      <c r="CG80" s="35"/>
      <c r="CH80" s="367"/>
      <c r="CI80" s="35"/>
      <c r="CJ80" s="102"/>
      <c r="CK80" s="35" t="e">
        <f t="shared" si="68"/>
        <v>#REF!</v>
      </c>
      <c r="CL80" s="55" t="str">
        <f t="shared" si="69"/>
        <v>- - -</v>
      </c>
      <c r="CM80" s="65"/>
      <c r="CN80" s="66"/>
      <c r="CO80" s="65"/>
      <c r="CP80" s="80"/>
      <c r="CQ80" s="55" t="str">
        <f t="shared" si="70"/>
        <v>- - -</v>
      </c>
      <c r="CR80" s="65"/>
      <c r="CS80" s="36"/>
      <c r="CT80" s="65"/>
      <c r="CU80" s="80"/>
      <c r="CV80" s="69" t="e">
        <f t="shared" si="71"/>
        <v>#REF!</v>
      </c>
      <c r="CW80" s="70" t="str">
        <f t="shared" si="72"/>
        <v>/-/ /-/</v>
      </c>
      <c r="CX80" s="67">
        <f t="shared" si="73"/>
        <v>3</v>
      </c>
      <c r="CY80" s="68">
        <f t="shared" si="74"/>
        <v>2018</v>
      </c>
      <c r="CZ80" s="67">
        <f t="shared" si="75"/>
        <v>12</v>
      </c>
      <c r="DA80" s="68">
        <f t="shared" si="76"/>
        <v>2017</v>
      </c>
      <c r="DB80" s="67">
        <f t="shared" si="77"/>
        <v>9</v>
      </c>
      <c r="DC80" s="68">
        <f t="shared" si="78"/>
        <v>2017</v>
      </c>
      <c r="DD80" s="71" t="e">
        <f t="shared" si="79"/>
        <v>#REF!</v>
      </c>
      <c r="DE80" s="72" t="str">
        <f t="shared" si="80"/>
        <v>. .</v>
      </c>
      <c r="DF80" s="72"/>
      <c r="DG80" s="52">
        <f t="shared" si="81"/>
        <v>660</v>
      </c>
      <c r="DH80" s="52">
        <f t="shared" si="82"/>
        <v>-23546</v>
      </c>
      <c r="DI80" s="52">
        <f t="shared" si="83"/>
        <v>-1963</v>
      </c>
      <c r="DJ80" s="52" t="str">
        <f t="shared" si="84"/>
        <v>Nữ dưới 30</v>
      </c>
      <c r="DK80" s="52"/>
      <c r="DL80" s="52"/>
      <c r="DM80" s="57" t="str">
        <f t="shared" si="85"/>
        <v>Đến 30</v>
      </c>
      <c r="DN80" s="65" t="str">
        <f t="shared" si="86"/>
        <v>TD</v>
      </c>
      <c r="DO80" s="36">
        <v>2009</v>
      </c>
      <c r="DP80" s="35"/>
      <c r="DQ80" s="73"/>
      <c r="DR80" s="36"/>
      <c r="DS80" s="80"/>
      <c r="DT80" s="81"/>
      <c r="DU80" s="82"/>
      <c r="DV80" s="75"/>
      <c r="DW80" s="87"/>
      <c r="DX80" s="37" t="s">
        <v>37</v>
      </c>
      <c r="DY80" s="378" t="s">
        <v>243</v>
      </c>
      <c r="DZ80" s="37" t="s">
        <v>37</v>
      </c>
      <c r="EA80" s="48" t="s">
        <v>183</v>
      </c>
      <c r="EB80" s="49" t="s">
        <v>200</v>
      </c>
      <c r="EC80" s="49" t="s">
        <v>187</v>
      </c>
      <c r="ED80" s="49" t="s">
        <v>200</v>
      </c>
      <c r="EE80" s="76">
        <v>2013</v>
      </c>
      <c r="EF80" s="49">
        <f t="shared" si="87"/>
        <v>0</v>
      </c>
      <c r="EG80" s="77" t="str">
        <f t="shared" si="88"/>
        <v>- - -</v>
      </c>
      <c r="EH80" s="48" t="s">
        <v>183</v>
      </c>
      <c r="EI80" s="49" t="s">
        <v>200</v>
      </c>
      <c r="EJ80" s="49" t="s">
        <v>187</v>
      </c>
      <c r="EK80" s="49" t="s">
        <v>200</v>
      </c>
      <c r="EL80" s="76">
        <v>2013</v>
      </c>
      <c r="EM80" s="35"/>
      <c r="EN80" s="55" t="e">
        <f t="shared" si="89"/>
        <v>#REF!</v>
      </c>
      <c r="EO80" s="78" t="str">
        <f t="shared" si="90"/>
        <v>---</v>
      </c>
      <c r="EP80" s="87"/>
      <c r="EQ80" s="79"/>
      <c r="ER80" s="79"/>
      <c r="ES80" s="79"/>
      <c r="ET80" s="79"/>
      <c r="EU80" s="79"/>
      <c r="EV80" s="79"/>
      <c r="EW80" s="79"/>
      <c r="EX80" s="79"/>
      <c r="EY80" s="79"/>
      <c r="EZ80" s="79"/>
      <c r="FA80" s="79"/>
      <c r="FB80" s="79"/>
      <c r="FC80" s="79"/>
      <c r="FD80" s="79"/>
      <c r="FE80" s="79"/>
      <c r="FF80" s="79"/>
      <c r="FG80" s="79"/>
      <c r="FH80" s="79"/>
      <c r="FI80" s="79"/>
      <c r="FJ80" s="79"/>
      <c r="FK80" s="79"/>
      <c r="FL80" s="79"/>
      <c r="FM80" s="79"/>
      <c r="FN80" s="79"/>
      <c r="FO80" s="79"/>
      <c r="FP80" s="79"/>
      <c r="FQ80" s="79"/>
      <c r="FR80" s="79"/>
      <c r="FS80" s="79"/>
    </row>
    <row r="81" spans="1:175" s="347" customFormat="1" ht="11.25" customHeight="1" x14ac:dyDescent="0.2">
      <c r="A81" s="98">
        <v>686</v>
      </c>
      <c r="B81" s="937">
        <v>29</v>
      </c>
      <c r="C81" s="35"/>
      <c r="D81" s="35" t="str">
        <f t="shared" si="44"/>
        <v>Ông</v>
      </c>
      <c r="E81" s="40" t="s">
        <v>232</v>
      </c>
      <c r="F81" s="35" t="s">
        <v>219</v>
      </c>
      <c r="G81" s="64" t="s">
        <v>192</v>
      </c>
      <c r="H81" s="1024" t="s">
        <v>200</v>
      </c>
      <c r="I81" s="64" t="s">
        <v>183</v>
      </c>
      <c r="J81" s="1024" t="s">
        <v>200</v>
      </c>
      <c r="K81" s="40" t="s">
        <v>172</v>
      </c>
      <c r="L81" s="210" t="s">
        <v>264</v>
      </c>
      <c r="M81" s="1047" t="str">
        <f t="shared" si="45"/>
        <v>VC</v>
      </c>
      <c r="N81" s="223"/>
      <c r="O81" s="1025" t="str">
        <f t="shared" si="46"/>
        <v>CVụ</v>
      </c>
      <c r="P81" s="1027" t="s">
        <v>122</v>
      </c>
      <c r="Q81" s="359">
        <f>VLOOKUP(P81,'[2]- DLiêu Gốc (Không sửa)'!$C$2:$H$116,2,0)</f>
        <v>1.1000000000000001</v>
      </c>
      <c r="R81" s="1032" t="s">
        <v>2</v>
      </c>
      <c r="S81" s="943" t="s">
        <v>326</v>
      </c>
      <c r="T81" s="38" t="e">
        <f>VLOOKUP(Y81,#REF!,5,0)</f>
        <v>#REF!</v>
      </c>
      <c r="U81" s="39" t="e">
        <f>VLOOKUP(Y81,#REF!,6,0)</f>
        <v>#REF!</v>
      </c>
      <c r="V81" s="1059" t="s">
        <v>248</v>
      </c>
      <c r="W81" s="358" t="str">
        <f t="shared" si="47"/>
        <v>Giảng viên cao cấp (hạng I)</v>
      </c>
      <c r="X81" s="361" t="e">
        <f t="shared" si="48"/>
        <v>#REF!</v>
      </c>
      <c r="Y81" s="380" t="s">
        <v>253</v>
      </c>
      <c r="Z81" s="380" t="e">
        <f>VLOOKUP(Y81,#REF!,2,0)</f>
        <v>#REF!</v>
      </c>
      <c r="AA81" s="52" t="e">
        <f t="shared" si="49"/>
        <v>#REF!</v>
      </c>
      <c r="AB81" s="1040">
        <v>6</v>
      </c>
      <c r="AC81" s="700" t="e">
        <f t="shared" si="91"/>
        <v>#REF!</v>
      </c>
      <c r="AD81" s="43" t="e">
        <f t="shared" si="92"/>
        <v>#REF!</v>
      </c>
      <c r="AE81" s="44" t="e">
        <f t="shared" si="93"/>
        <v>#REF!</v>
      </c>
      <c r="AF81" s="45">
        <v>13</v>
      </c>
      <c r="AG81" s="275" t="e">
        <f>IF(AD81=AB81,"%",IF(AD81&gt;AB81,"/"))</f>
        <v>#REF!</v>
      </c>
      <c r="AH81" s="673" t="s">
        <v>183</v>
      </c>
      <c r="AI81" s="694" t="s">
        <v>200</v>
      </c>
      <c r="AJ81" s="100" t="s">
        <v>216</v>
      </c>
      <c r="AK81" s="694" t="s">
        <v>200</v>
      </c>
      <c r="AL81" s="695">
        <v>2018</v>
      </c>
      <c r="AM81" s="178"/>
      <c r="AN81" s="53"/>
      <c r="AO81" s="1039"/>
      <c r="AP81" s="1039"/>
      <c r="AQ81" s="1011"/>
      <c r="AR81" s="724" t="e">
        <f>IF(AND(AD81=AB81,AF81=0),5,IF(AND(AD81=AB81,AF81&gt;4),AF81+1,IF(AD81&gt;AB81,AD81)))</f>
        <v>#REF!</v>
      </c>
      <c r="AS81" s="438" t="e">
        <f>IF(AD81=AB81,"%",IF(AD81&gt;AB81,AE81+BE81))</f>
        <v>#REF!</v>
      </c>
      <c r="AT81" s="48" t="s">
        <v>183</v>
      </c>
      <c r="AU81" s="669" t="s">
        <v>200</v>
      </c>
      <c r="AV81" s="49" t="s">
        <v>216</v>
      </c>
      <c r="AW81" s="669" t="s">
        <v>200</v>
      </c>
      <c r="AX81" s="50">
        <v>2019</v>
      </c>
      <c r="AY81" s="87"/>
      <c r="AZ81" s="300"/>
      <c r="BA81" s="517">
        <v>4.18</v>
      </c>
      <c r="BB81" s="51" t="e">
        <f t="shared" si="57"/>
        <v>#REF!</v>
      </c>
      <c r="BC81" s="356">
        <f t="shared" si="58"/>
        <v>-24232</v>
      </c>
      <c r="BD81" s="310" t="e">
        <f>VLOOKUP(Y81,#REF!,3,0)</f>
        <v>#REF!</v>
      </c>
      <c r="BE81" s="310" t="e">
        <f>VLOOKUP(Y81,#REF!,4,0)</f>
        <v>#REF!</v>
      </c>
      <c r="BF81" s="57" t="str">
        <f t="shared" si="59"/>
        <v>PCTN</v>
      </c>
      <c r="BG81" s="58">
        <v>31</v>
      </c>
      <c r="BH81" s="450" t="s">
        <v>178</v>
      </c>
      <c r="BI81" s="60" t="s">
        <v>183</v>
      </c>
      <c r="BJ81" s="677" t="s">
        <v>200</v>
      </c>
      <c r="BK81" s="448" t="s">
        <v>185</v>
      </c>
      <c r="BL81" s="677" t="s">
        <v>200</v>
      </c>
      <c r="BM81" s="256">
        <v>2018</v>
      </c>
      <c r="BN81" s="178"/>
      <c r="BO81" s="62"/>
      <c r="BP81" s="59">
        <f t="shared" si="60"/>
        <v>32</v>
      </c>
      <c r="BQ81" s="454" t="s">
        <v>178</v>
      </c>
      <c r="BR81" s="60" t="s">
        <v>183</v>
      </c>
      <c r="BS81" s="442"/>
      <c r="BT81" s="1135" t="s">
        <v>200</v>
      </c>
      <c r="BU81" s="445" t="s">
        <v>185</v>
      </c>
      <c r="BV81" s="669" t="s">
        <v>200</v>
      </c>
      <c r="BW81" s="50">
        <v>2019</v>
      </c>
      <c r="BX81" s="61"/>
      <c r="BY81" s="177">
        <v>5</v>
      </c>
      <c r="BZ81" s="357">
        <f t="shared" si="61"/>
        <v>-24233</v>
      </c>
      <c r="CA81" s="57" t="str">
        <f t="shared" si="62"/>
        <v>- - -</v>
      </c>
      <c r="CB81" s="379" t="str">
        <f t="shared" si="63"/>
        <v>Chánh Văn phòng Học viện, Trưởng Ban Tổ chức - Cán bộ, Trưởng Phân viện Học viện Hành chính Quốc gia tại Thành phố Hồ Chí Minh</v>
      </c>
      <c r="CC81" s="63" t="str">
        <f t="shared" si="64"/>
        <v>A</v>
      </c>
      <c r="CD81" s="41" t="e">
        <f>IF(AND(AF81&gt;0,AB81&lt;(AD81-1),CE81&gt;0,CE81&lt;13,OR(AND(CK81="Cùg Ng",($CD$2-CG81)&gt;BB81),CK81="- - -")),"Sớm TT","=&gt; s")</f>
        <v>#REF!</v>
      </c>
      <c r="CE81" s="52" t="e">
        <f t="shared" si="66"/>
        <v>#REF!</v>
      </c>
      <c r="CF81" s="35" t="str">
        <f t="shared" si="67"/>
        <v>---</v>
      </c>
      <c r="CG81" s="35"/>
      <c r="CH81" s="367"/>
      <c r="CI81" s="35"/>
      <c r="CJ81" s="102"/>
      <c r="CK81" s="35" t="e">
        <f t="shared" si="68"/>
        <v>#REF!</v>
      </c>
      <c r="CL81" s="55" t="str">
        <f t="shared" si="69"/>
        <v>- - -</v>
      </c>
      <c r="CM81" s="65"/>
      <c r="CN81" s="66"/>
      <c r="CO81" s="65"/>
      <c r="CP81" s="80"/>
      <c r="CQ81" s="55" t="str">
        <f t="shared" si="70"/>
        <v>CN</v>
      </c>
      <c r="CR81" s="65">
        <v>10</v>
      </c>
      <c r="CS81" s="66">
        <v>2014</v>
      </c>
      <c r="CT81" s="65"/>
      <c r="CU81" s="80"/>
      <c r="CV81" s="69" t="e">
        <f t="shared" si="71"/>
        <v>#REF!</v>
      </c>
      <c r="CW81" s="70" t="str">
        <f t="shared" si="72"/>
        <v>/-/ /-/</v>
      </c>
      <c r="CX81" s="67">
        <f t="shared" si="73"/>
        <v>2</v>
      </c>
      <c r="CY81" s="68">
        <f t="shared" si="74"/>
        <v>2020</v>
      </c>
      <c r="CZ81" s="67">
        <f t="shared" si="75"/>
        <v>11</v>
      </c>
      <c r="DA81" s="68">
        <f t="shared" si="76"/>
        <v>2019</v>
      </c>
      <c r="DB81" s="67">
        <f t="shared" si="77"/>
        <v>8</v>
      </c>
      <c r="DC81" s="68">
        <f t="shared" si="78"/>
        <v>2019</v>
      </c>
      <c r="DD81" s="71" t="e">
        <f t="shared" si="79"/>
        <v>#REF!</v>
      </c>
      <c r="DE81" s="72" t="str">
        <f t="shared" si="80"/>
        <v>K.Dài</v>
      </c>
      <c r="DF81" s="72">
        <v>5</v>
      </c>
      <c r="DG81" s="52">
        <f t="shared" si="81"/>
        <v>780</v>
      </c>
      <c r="DH81" s="52">
        <f t="shared" si="82"/>
        <v>-23449</v>
      </c>
      <c r="DI81" s="52">
        <f t="shared" si="83"/>
        <v>-1955</v>
      </c>
      <c r="DJ81" s="52" t="str">
        <f t="shared" si="84"/>
        <v>Nam dưới 35</v>
      </c>
      <c r="DK81" s="52" t="s">
        <v>236</v>
      </c>
      <c r="DL81" s="52" t="e">
        <f>COUNTIF(#REF!,"Nam dưới 35")</f>
        <v>#REF!</v>
      </c>
      <c r="DM81" s="57" t="str">
        <f t="shared" si="85"/>
        <v>Đến 30</v>
      </c>
      <c r="DN81" s="65" t="str">
        <f t="shared" si="86"/>
        <v>--</v>
      </c>
      <c r="DO81" s="36"/>
      <c r="DP81" s="35"/>
      <c r="DQ81" s="73"/>
      <c r="DR81" s="36"/>
      <c r="DS81" s="80"/>
      <c r="DT81" s="81"/>
      <c r="DU81" s="82"/>
      <c r="DV81" s="75"/>
      <c r="DW81" s="87"/>
      <c r="DX81" s="37" t="s">
        <v>2</v>
      </c>
      <c r="DY81" s="378" t="s">
        <v>243</v>
      </c>
      <c r="DZ81" s="37"/>
      <c r="EA81" s="48" t="s">
        <v>183</v>
      </c>
      <c r="EB81" s="49" t="s">
        <v>200</v>
      </c>
      <c r="EC81" s="49" t="s">
        <v>216</v>
      </c>
      <c r="ED81" s="49" t="s">
        <v>200</v>
      </c>
      <c r="EE81" s="76">
        <v>2013</v>
      </c>
      <c r="EF81" s="49">
        <f t="shared" si="87"/>
        <v>0</v>
      </c>
      <c r="EG81" s="77" t="str">
        <f t="shared" si="88"/>
        <v>- - -</v>
      </c>
      <c r="EH81" s="48" t="s">
        <v>183</v>
      </c>
      <c r="EI81" s="49" t="s">
        <v>200</v>
      </c>
      <c r="EJ81" s="49" t="s">
        <v>216</v>
      </c>
      <c r="EK81" s="49" t="s">
        <v>200</v>
      </c>
      <c r="EL81" s="76">
        <v>2013</v>
      </c>
      <c r="EM81" s="35"/>
      <c r="EN81" s="55" t="e">
        <f>IF(AND(BE81&gt;0.34,AF81=1,OR(BD81=6.2,BD81=5.75)),((BD81-EM81)-2*0.34),IF(AND(BE81&gt;0.33,AF81=1,OR(BD81=4.4,BD81=4)),((BD81-EM81)-2*0.33),"- - -"))</f>
        <v>#REF!</v>
      </c>
      <c r="EO81" s="78" t="str">
        <f t="shared" si="90"/>
        <v>---</v>
      </c>
      <c r="EP81" s="87"/>
      <c r="EQ81" s="79"/>
      <c r="ER81" s="79"/>
      <c r="ES81" s="79"/>
      <c r="ET81" s="79"/>
      <c r="EU81" s="79"/>
      <c r="EV81" s="79"/>
      <c r="EW81" s="79"/>
      <c r="EX81" s="79"/>
      <c r="EY81" s="79"/>
      <c r="EZ81" s="79"/>
      <c r="FA81" s="79"/>
      <c r="FB81" s="79"/>
      <c r="FC81" s="79"/>
      <c r="FD81" s="79"/>
      <c r="FE81" s="79"/>
      <c r="FF81" s="79"/>
      <c r="FG81" s="79"/>
      <c r="FH81" s="79"/>
      <c r="FI81" s="79"/>
      <c r="FJ81" s="79"/>
      <c r="FK81" s="79"/>
      <c r="FL81" s="79"/>
      <c r="FM81" s="79"/>
      <c r="FN81" s="79"/>
      <c r="FO81" s="79"/>
      <c r="FP81" s="79"/>
      <c r="FQ81" s="79"/>
      <c r="FR81" s="79"/>
      <c r="FS81" s="79"/>
    </row>
    <row r="82" spans="1:175" s="79" customFormat="1" ht="11.25" customHeight="1" x14ac:dyDescent="0.25">
      <c r="A82" s="98">
        <v>694</v>
      </c>
      <c r="B82" s="937">
        <v>30</v>
      </c>
      <c r="C82" s="35"/>
      <c r="D82" s="35" t="str">
        <f t="shared" si="44"/>
        <v>Bà</v>
      </c>
      <c r="E82" s="40" t="s">
        <v>40</v>
      </c>
      <c r="F82" s="35" t="s">
        <v>221</v>
      </c>
      <c r="G82" s="64" t="s">
        <v>191</v>
      </c>
      <c r="H82" s="1024" t="s">
        <v>200</v>
      </c>
      <c r="I82" s="64">
        <v>9</v>
      </c>
      <c r="J82" s="1024" t="s">
        <v>200</v>
      </c>
      <c r="K82" s="40">
        <v>1969</v>
      </c>
      <c r="L82" s="210" t="s">
        <v>264</v>
      </c>
      <c r="M82" s="1047" t="str">
        <f t="shared" si="45"/>
        <v>VC</v>
      </c>
      <c r="N82" s="223"/>
      <c r="O82" s="1025" t="e">
        <f t="shared" si="46"/>
        <v>#N/A</v>
      </c>
      <c r="P82" s="40"/>
      <c r="Q82" s="359" t="e">
        <f>VLOOKUP(P82,'[2]- DLiêu Gốc (Không sửa)'!$C$2:$H$116,2,0)</f>
        <v>#N/A</v>
      </c>
      <c r="R82" s="1037" t="s">
        <v>222</v>
      </c>
      <c r="S82" s="943" t="s">
        <v>326</v>
      </c>
      <c r="T82" s="38" t="e">
        <f>VLOOKUP(Y82,#REF!,5,0)</f>
        <v>#REF!</v>
      </c>
      <c r="U82" s="39" t="e">
        <f>VLOOKUP(Y82,#REF!,6,0)</f>
        <v>#REF!</v>
      </c>
      <c r="V82" s="1059" t="s">
        <v>248</v>
      </c>
      <c r="W82" s="358" t="str">
        <f t="shared" si="47"/>
        <v>Giảng viên (hạng III)</v>
      </c>
      <c r="X82" s="94" t="e">
        <f t="shared" si="48"/>
        <v>#REF!</v>
      </c>
      <c r="Y82" s="380" t="s">
        <v>254</v>
      </c>
      <c r="Z82" s="380" t="e">
        <f>VLOOKUP(Y82,#REF!,2,0)</f>
        <v>#REF!</v>
      </c>
      <c r="AA82" s="52" t="e">
        <f t="shared" si="49"/>
        <v>#REF!</v>
      </c>
      <c r="AB82" s="108">
        <v>6</v>
      </c>
      <c r="AC82" s="700" t="e">
        <f t="shared" si="91"/>
        <v>#REF!</v>
      </c>
      <c r="AD82" s="43" t="e">
        <f t="shared" si="92"/>
        <v>#REF!</v>
      </c>
      <c r="AE82" s="54" t="e">
        <f t="shared" si="93"/>
        <v>#REF!</v>
      </c>
      <c r="AF82" s="437"/>
      <c r="AG82" s="437"/>
      <c r="AH82" s="722"/>
      <c r="AI82" s="694" t="s">
        <v>200</v>
      </c>
      <c r="AJ82" s="46"/>
      <c r="AK82" s="694" t="s">
        <v>200</v>
      </c>
      <c r="AL82" s="723"/>
      <c r="AM82" s="109"/>
      <c r="AN82" s="53"/>
      <c r="AO82" s="45">
        <f>AB82+1</f>
        <v>7</v>
      </c>
      <c r="AP82" s="690" t="e">
        <f>IF(AD82=AB82,"%",IF(AD82&gt;AB82,"/"))</f>
        <v>#REF!</v>
      </c>
      <c r="AQ82" s="84" t="e">
        <f>IF(AND(AD82=AB82,AO82=4),5,IF(AND(AD82=AB82,AO82&gt;4),AO82+1,IF(AD82&gt;AB82,AD82)))</f>
        <v>#REF!</v>
      </c>
      <c r="AR82" s="47" t="e">
        <f>IF(AD82=AB82,"%",IF(AD82&gt;AB82,AE82+BE82))</f>
        <v>#REF!</v>
      </c>
      <c r="AS82" s="438"/>
      <c r="AT82" s="48" t="s">
        <v>183</v>
      </c>
      <c r="AU82" s="669" t="s">
        <v>200</v>
      </c>
      <c r="AV82" s="49" t="s">
        <v>184</v>
      </c>
      <c r="AW82" s="669" t="s">
        <v>200</v>
      </c>
      <c r="AX82" s="50">
        <v>2017</v>
      </c>
      <c r="AY82" s="87"/>
      <c r="AZ82" s="300"/>
      <c r="BA82" s="517"/>
      <c r="BB82" s="51" t="e">
        <f t="shared" si="57"/>
        <v>#REF!</v>
      </c>
      <c r="BC82" s="356">
        <f t="shared" si="58"/>
        <v>-24206</v>
      </c>
      <c r="BD82" s="310" t="e">
        <f>VLOOKUP(Y82,#REF!,3,0)</f>
        <v>#REF!</v>
      </c>
      <c r="BE82" s="310" t="e">
        <f>VLOOKUP(Y82,#REF!,4,0)</f>
        <v>#REF!</v>
      </c>
      <c r="BF82" s="57" t="str">
        <f t="shared" si="59"/>
        <v>PCTN</v>
      </c>
      <c r="BG82" s="58">
        <v>15</v>
      </c>
      <c r="BH82" s="450" t="s">
        <v>178</v>
      </c>
      <c r="BI82" s="60" t="s">
        <v>183</v>
      </c>
      <c r="BJ82" s="677" t="s">
        <v>200</v>
      </c>
      <c r="BK82" s="448">
        <v>5</v>
      </c>
      <c r="BL82" s="677" t="s">
        <v>200</v>
      </c>
      <c r="BM82" s="256">
        <v>2018</v>
      </c>
      <c r="BN82" s="109"/>
      <c r="BO82" s="62"/>
      <c r="BP82" s="59">
        <f t="shared" si="60"/>
        <v>16</v>
      </c>
      <c r="BQ82" s="454" t="s">
        <v>178</v>
      </c>
      <c r="BR82" s="60" t="s">
        <v>183</v>
      </c>
      <c r="BS82" s="442"/>
      <c r="BT82" s="1135" t="s">
        <v>200</v>
      </c>
      <c r="BU82" s="445">
        <v>5</v>
      </c>
      <c r="BV82" s="669" t="s">
        <v>200</v>
      </c>
      <c r="BW82" s="50">
        <v>2019</v>
      </c>
      <c r="BX82" s="61"/>
      <c r="BY82" s="177">
        <v>5</v>
      </c>
      <c r="BZ82" s="357">
        <f t="shared" si="61"/>
        <v>-24233</v>
      </c>
      <c r="CA82" s="57" t="str">
        <f t="shared" si="62"/>
        <v>- - -</v>
      </c>
      <c r="CB82" s="379" t="str">
        <f t="shared" si="63"/>
        <v>Chánh Văn phòng Học viện, Trưởng Ban Tổ chức - Cán bộ, Trưởng Phân viện Học viện Hành chính Quốc gia tại Thành phố Hồ Chí Minh</v>
      </c>
      <c r="CC82" s="63" t="str">
        <f t="shared" si="64"/>
        <v>A</v>
      </c>
      <c r="CD82" s="41" t="e">
        <f>IF(AND(AO82&gt;0,AB82&lt;(AD82-1),CE82&gt;0,CE82&lt;13,OR(AND(CK82="Cùg Ng",($CD$2-CG82)&gt;BB82),CK82="- - -")),"Sớm TT","=&gt; s")</f>
        <v>#REF!</v>
      </c>
      <c r="CE82" s="52" t="e">
        <f t="shared" si="66"/>
        <v>#REF!</v>
      </c>
      <c r="CF82" s="35" t="str">
        <f t="shared" si="67"/>
        <v>---</v>
      </c>
      <c r="CG82" s="35"/>
      <c r="CH82" s="254"/>
      <c r="CI82" s="35"/>
      <c r="CJ82" s="35"/>
      <c r="CK82" s="35" t="e">
        <f t="shared" si="68"/>
        <v>#REF!</v>
      </c>
      <c r="CL82" s="55" t="str">
        <f t="shared" si="69"/>
        <v>- - -</v>
      </c>
      <c r="CM82" s="65"/>
      <c r="CN82" s="66"/>
      <c r="CO82" s="65"/>
      <c r="CP82" s="80"/>
      <c r="CQ82" s="55" t="str">
        <f t="shared" si="70"/>
        <v>- - -</v>
      </c>
      <c r="CR82" s="65"/>
      <c r="CS82" s="66"/>
      <c r="CT82" s="65"/>
      <c r="CU82" s="80"/>
      <c r="CV82" s="69" t="e">
        <f t="shared" si="71"/>
        <v>#REF!</v>
      </c>
      <c r="CW82" s="70" t="str">
        <f t="shared" si="72"/>
        <v>/-/ /-/</v>
      </c>
      <c r="CX82" s="67">
        <f t="shared" si="73"/>
        <v>10</v>
      </c>
      <c r="CY82" s="68">
        <f t="shared" si="74"/>
        <v>2024</v>
      </c>
      <c r="CZ82" s="67">
        <f t="shared" si="75"/>
        <v>7</v>
      </c>
      <c r="DA82" s="68">
        <f t="shared" si="76"/>
        <v>2024</v>
      </c>
      <c r="DB82" s="67">
        <f t="shared" si="77"/>
        <v>4</v>
      </c>
      <c r="DC82" s="68">
        <f t="shared" si="78"/>
        <v>2024</v>
      </c>
      <c r="DD82" s="71" t="e">
        <f t="shared" si="79"/>
        <v>#REF!</v>
      </c>
      <c r="DE82" s="72" t="str">
        <f t="shared" si="80"/>
        <v>. .</v>
      </c>
      <c r="DF82" s="369"/>
      <c r="DG82" s="52">
        <f t="shared" si="81"/>
        <v>660</v>
      </c>
      <c r="DH82" s="52">
        <f t="shared" si="82"/>
        <v>-23625</v>
      </c>
      <c r="DI82" s="52">
        <f t="shared" si="83"/>
        <v>-1969</v>
      </c>
      <c r="DJ82" s="52" t="str">
        <f t="shared" si="84"/>
        <v>Nữ dưới 30</v>
      </c>
      <c r="DK82" s="52"/>
      <c r="DL82" s="52"/>
      <c r="DM82" s="57" t="str">
        <f t="shared" si="85"/>
        <v>Đến 30</v>
      </c>
      <c r="DN82" s="65" t="str">
        <f t="shared" si="86"/>
        <v>TD</v>
      </c>
      <c r="DO82" s="36">
        <v>2009</v>
      </c>
      <c r="DP82" s="35"/>
      <c r="DQ82" s="56"/>
      <c r="DR82" s="80"/>
      <c r="DS82" s="80"/>
      <c r="DT82" s="366"/>
      <c r="DU82" s="360"/>
      <c r="DV82" s="75"/>
      <c r="DW82" s="87"/>
      <c r="DX82" s="250" t="s">
        <v>222</v>
      </c>
      <c r="DY82" s="378" t="s">
        <v>243</v>
      </c>
      <c r="DZ82" s="37" t="s">
        <v>222</v>
      </c>
      <c r="EA82" s="363" t="s">
        <v>183</v>
      </c>
      <c r="EB82" s="49" t="s">
        <v>200</v>
      </c>
      <c r="EC82" s="49" t="s">
        <v>184</v>
      </c>
      <c r="ED82" s="49" t="s">
        <v>200</v>
      </c>
      <c r="EE82" s="76" t="s">
        <v>203</v>
      </c>
      <c r="EF82" s="49">
        <f t="shared" si="87"/>
        <v>0</v>
      </c>
      <c r="EG82" s="77" t="str">
        <f t="shared" si="88"/>
        <v>- - -</v>
      </c>
      <c r="EH82" s="363" t="s">
        <v>183</v>
      </c>
      <c r="EI82" s="49" t="s">
        <v>200</v>
      </c>
      <c r="EJ82" s="49" t="s">
        <v>184</v>
      </c>
      <c r="EK82" s="49" t="s">
        <v>200</v>
      </c>
      <c r="EL82" s="76" t="s">
        <v>203</v>
      </c>
      <c r="EM82" s="35"/>
      <c r="EN82" s="55" t="e">
        <f>IF(AND(BE82&gt;0.34,AO82=1,OR(BD82=6.2,BD82=5.75)),((BD82-EM82)-2*0.34),IF(AND(BE82&gt;0.33,AO82=1,OR(BD82=4.4,BD82=4)),((BD82-EM82)-2*0.33),"- - -"))</f>
        <v>#REF!</v>
      </c>
      <c r="EO82" s="78" t="str">
        <f t="shared" si="90"/>
        <v>---</v>
      </c>
      <c r="EP82" s="87"/>
    </row>
    <row r="83" spans="1:175" s="79" customFormat="1" ht="11.25" customHeight="1" x14ac:dyDescent="0.2">
      <c r="A83" s="98">
        <v>696</v>
      </c>
      <c r="B83" s="937">
        <v>31</v>
      </c>
      <c r="C83" s="35"/>
      <c r="D83" s="35" t="str">
        <f t="shared" si="44"/>
        <v>Bà</v>
      </c>
      <c r="E83" s="40" t="s">
        <v>82</v>
      </c>
      <c r="F83" s="35" t="s">
        <v>221</v>
      </c>
      <c r="G83" s="64" t="s">
        <v>143</v>
      </c>
      <c r="H83" s="1024" t="s">
        <v>200</v>
      </c>
      <c r="I83" s="64">
        <v>5</v>
      </c>
      <c r="J83" s="1024" t="s">
        <v>200</v>
      </c>
      <c r="K83" s="40">
        <v>1977</v>
      </c>
      <c r="L83" s="210" t="s">
        <v>264</v>
      </c>
      <c r="M83" s="1047" t="str">
        <f t="shared" si="45"/>
        <v>VC</v>
      </c>
      <c r="N83" s="223"/>
      <c r="O83" s="1025" t="e">
        <f t="shared" si="46"/>
        <v>#VALUE!</v>
      </c>
      <c r="P83" s="40" t="s">
        <v>121</v>
      </c>
      <c r="Q83" s="359" t="str">
        <f>VLOOKUP(P83,'[2]- DLiêu Gốc (Không sửa)'!$C$2:$H$116,2,0)</f>
        <v>0,4</v>
      </c>
      <c r="R83" s="1037" t="s">
        <v>222</v>
      </c>
      <c r="S83" s="943" t="s">
        <v>326</v>
      </c>
      <c r="T83" s="38" t="e">
        <f>VLOOKUP(Y83,#REF!,5,0)</f>
        <v>#REF!</v>
      </c>
      <c r="U83" s="39" t="e">
        <f>VLOOKUP(Y83,#REF!,6,0)</f>
        <v>#REF!</v>
      </c>
      <c r="V83" s="1059" t="s">
        <v>248</v>
      </c>
      <c r="W83" s="358" t="str">
        <f t="shared" si="47"/>
        <v>Giảng viên (hạng III)</v>
      </c>
      <c r="X83" s="361" t="e">
        <f t="shared" si="48"/>
        <v>#REF!</v>
      </c>
      <c r="Y83" s="380" t="s">
        <v>254</v>
      </c>
      <c r="Z83" s="380" t="e">
        <f>VLOOKUP(Y83,#REF!,2,0)</f>
        <v>#REF!</v>
      </c>
      <c r="AA83" s="52" t="e">
        <f t="shared" si="49"/>
        <v>#REF!</v>
      </c>
      <c r="AB83" s="180">
        <v>5</v>
      </c>
      <c r="AC83" s="700" t="e">
        <f t="shared" si="91"/>
        <v>#REF!</v>
      </c>
      <c r="AD83" s="43" t="e">
        <f t="shared" si="92"/>
        <v>#REF!</v>
      </c>
      <c r="AE83" s="44" t="e">
        <f t="shared" si="93"/>
        <v>#REF!</v>
      </c>
      <c r="AF83" s="435"/>
      <c r="AG83" s="435"/>
      <c r="AH83" s="673"/>
      <c r="AI83" s="694" t="s">
        <v>200</v>
      </c>
      <c r="AJ83" s="100"/>
      <c r="AK83" s="694" t="s">
        <v>200</v>
      </c>
      <c r="AL83" s="674"/>
      <c r="AM83" s="178"/>
      <c r="AN83" s="53"/>
      <c r="AO83" s="45">
        <f>AB83+1</f>
        <v>6</v>
      </c>
      <c r="AP83" s="690" t="e">
        <f>IF(AD83=AB83,"%",IF(AD83&gt;AB83,"/"))</f>
        <v>#REF!</v>
      </c>
      <c r="AQ83" s="84" t="e">
        <f>IF(AND(AD83=AB83,AO83=4),5,IF(AND(AD83=AB83,AO83&gt;4),AO83+1,IF(AD83&gt;AB83,AD83)))</f>
        <v>#REF!</v>
      </c>
      <c r="AR83" s="47" t="e">
        <f>IF(AD83=AB83,"%",IF(AD83&gt;AB83,AE83+BE83))</f>
        <v>#REF!</v>
      </c>
      <c r="AS83" s="438"/>
      <c r="AT83" s="48" t="s">
        <v>183</v>
      </c>
      <c r="AU83" s="669" t="s">
        <v>200</v>
      </c>
      <c r="AV83" s="49" t="s">
        <v>191</v>
      </c>
      <c r="AW83" s="669" t="s">
        <v>200</v>
      </c>
      <c r="AX83" s="50">
        <v>2017</v>
      </c>
      <c r="AY83" s="87"/>
      <c r="AZ83" s="300"/>
      <c r="BA83" s="517"/>
      <c r="BB83" s="51" t="e">
        <f t="shared" si="57"/>
        <v>#REF!</v>
      </c>
      <c r="BC83" s="356">
        <f t="shared" si="58"/>
        <v>-24216</v>
      </c>
      <c r="BD83" s="310" t="e">
        <f>VLOOKUP(Y83,#REF!,3,0)</f>
        <v>#REF!</v>
      </c>
      <c r="BE83" s="310" t="e">
        <f>VLOOKUP(Y83,#REF!,4,0)</f>
        <v>#REF!</v>
      </c>
      <c r="BF83" s="57" t="str">
        <f t="shared" si="59"/>
        <v>PCTN</v>
      </c>
      <c r="BG83" s="58">
        <v>15</v>
      </c>
      <c r="BH83" s="450" t="s">
        <v>178</v>
      </c>
      <c r="BI83" s="60" t="s">
        <v>183</v>
      </c>
      <c r="BJ83" s="677" t="s">
        <v>200</v>
      </c>
      <c r="BK83" s="448">
        <v>5</v>
      </c>
      <c r="BL83" s="677" t="s">
        <v>200</v>
      </c>
      <c r="BM83" s="256">
        <v>2018</v>
      </c>
      <c r="BN83" s="178"/>
      <c r="BO83" s="62"/>
      <c r="BP83" s="59">
        <f t="shared" si="60"/>
        <v>16</v>
      </c>
      <c r="BQ83" s="454" t="s">
        <v>178</v>
      </c>
      <c r="BR83" s="60" t="s">
        <v>183</v>
      </c>
      <c r="BS83" s="442"/>
      <c r="BT83" s="1135" t="s">
        <v>200</v>
      </c>
      <c r="BU83" s="445">
        <v>5</v>
      </c>
      <c r="BV83" s="669" t="s">
        <v>200</v>
      </c>
      <c r="BW83" s="50">
        <v>2019</v>
      </c>
      <c r="BX83" s="61"/>
      <c r="BY83" s="177">
        <v>5</v>
      </c>
      <c r="BZ83" s="357">
        <f t="shared" si="61"/>
        <v>-24233</v>
      </c>
      <c r="CA83" s="57" t="str">
        <f t="shared" si="62"/>
        <v>- - -</v>
      </c>
      <c r="CB83" s="379" t="str">
        <f t="shared" si="63"/>
        <v>Chánh Văn phòng Học viện, Trưởng Ban Tổ chức - Cán bộ, Trưởng Phân viện Học viện Hành chính Quốc gia tại Thành phố Hồ Chí Minh</v>
      </c>
      <c r="CC83" s="63" t="str">
        <f t="shared" si="64"/>
        <v>A</v>
      </c>
      <c r="CD83" s="41" t="e">
        <f>IF(AND(AO83&gt;0,AB83&lt;(AD83-1),CE83&gt;0,CE83&lt;13,OR(AND(CK83="Cùg Ng",($CD$2-CG83)&gt;BB83),CK83="- - -")),"Sớm TT","=&gt; s")</f>
        <v>#REF!</v>
      </c>
      <c r="CE83" s="52" t="e">
        <f t="shared" si="66"/>
        <v>#REF!</v>
      </c>
      <c r="CF83" s="35" t="str">
        <f t="shared" si="67"/>
        <v>---</v>
      </c>
      <c r="CG83" s="35"/>
      <c r="CH83" s="367"/>
      <c r="CI83" s="35"/>
      <c r="CJ83" s="102"/>
      <c r="CK83" s="35" t="e">
        <f t="shared" si="68"/>
        <v>#REF!</v>
      </c>
      <c r="CL83" s="55" t="str">
        <f t="shared" si="69"/>
        <v>- - -</v>
      </c>
      <c r="CM83" s="65"/>
      <c r="CN83" s="66"/>
      <c r="CO83" s="65"/>
      <c r="CP83" s="80"/>
      <c r="CQ83" s="55" t="str">
        <f t="shared" si="70"/>
        <v>- - -</v>
      </c>
      <c r="CR83" s="65"/>
      <c r="CS83" s="66"/>
      <c r="CT83" s="65"/>
      <c r="CU83" s="80"/>
      <c r="CV83" s="69" t="e">
        <f t="shared" si="71"/>
        <v>#REF!</v>
      </c>
      <c r="CW83" s="70" t="str">
        <f t="shared" si="72"/>
        <v>/-/ /-/</v>
      </c>
      <c r="CX83" s="67">
        <f t="shared" si="73"/>
        <v>6</v>
      </c>
      <c r="CY83" s="68">
        <f t="shared" si="74"/>
        <v>2032</v>
      </c>
      <c r="CZ83" s="67">
        <f t="shared" si="75"/>
        <v>3</v>
      </c>
      <c r="DA83" s="68">
        <f t="shared" si="76"/>
        <v>2032</v>
      </c>
      <c r="DB83" s="67">
        <f t="shared" si="77"/>
        <v>12</v>
      </c>
      <c r="DC83" s="68">
        <f t="shared" si="78"/>
        <v>2031</v>
      </c>
      <c r="DD83" s="71" t="e">
        <f t="shared" si="79"/>
        <v>#REF!</v>
      </c>
      <c r="DE83" s="72" t="str">
        <f t="shared" si="80"/>
        <v>. .</v>
      </c>
      <c r="DF83" s="72"/>
      <c r="DG83" s="52">
        <f t="shared" si="81"/>
        <v>660</v>
      </c>
      <c r="DH83" s="52">
        <f t="shared" si="82"/>
        <v>-23717</v>
      </c>
      <c r="DI83" s="52">
        <f t="shared" si="83"/>
        <v>-1977</v>
      </c>
      <c r="DJ83" s="52" t="str">
        <f t="shared" si="84"/>
        <v>Nữ dưới 30</v>
      </c>
      <c r="DK83" s="52"/>
      <c r="DL83" s="52"/>
      <c r="DM83" s="57" t="str">
        <f t="shared" si="85"/>
        <v>Đến 30</v>
      </c>
      <c r="DN83" s="65" t="str">
        <f t="shared" si="86"/>
        <v>TD</v>
      </c>
      <c r="DO83" s="36">
        <v>2008</v>
      </c>
      <c r="DP83" s="35"/>
      <c r="DQ83" s="73"/>
      <c r="DR83" s="36"/>
      <c r="DS83" s="80"/>
      <c r="DT83" s="81"/>
      <c r="DU83" s="82"/>
      <c r="DV83" s="75"/>
      <c r="DW83" s="87"/>
      <c r="DX83" s="250" t="s">
        <v>222</v>
      </c>
      <c r="DY83" s="378" t="s">
        <v>243</v>
      </c>
      <c r="DZ83" s="37" t="s">
        <v>1</v>
      </c>
      <c r="EA83" s="48" t="s">
        <v>183</v>
      </c>
      <c r="EB83" s="49" t="s">
        <v>200</v>
      </c>
      <c r="EC83" s="49" t="s">
        <v>191</v>
      </c>
      <c r="ED83" s="49" t="s">
        <v>200</v>
      </c>
      <c r="EE83" s="76" t="s">
        <v>203</v>
      </c>
      <c r="EF83" s="49">
        <f t="shared" si="87"/>
        <v>0</v>
      </c>
      <c r="EG83" s="77" t="str">
        <f t="shared" si="88"/>
        <v>- - -</v>
      </c>
      <c r="EH83" s="48" t="s">
        <v>183</v>
      </c>
      <c r="EI83" s="49" t="s">
        <v>200</v>
      </c>
      <c r="EJ83" s="49" t="s">
        <v>191</v>
      </c>
      <c r="EK83" s="49" t="s">
        <v>200</v>
      </c>
      <c r="EL83" s="76" t="s">
        <v>203</v>
      </c>
      <c r="EM83" s="35"/>
      <c r="EN83" s="55" t="e">
        <f>IF(AND(BE83&gt;0.34,AO83=1,OR(BD83=6.2,BD83=5.75)),((BD83-EM83)-2*0.34),IF(AND(BE83&gt;0.33,AO83=1,OR(BD83=4.4,BD83=4)),((BD83-EM83)-2*0.33),"- - -"))</f>
        <v>#REF!</v>
      </c>
      <c r="EO83" s="78" t="str">
        <f t="shared" si="90"/>
        <v>---</v>
      </c>
      <c r="EP83" s="87"/>
    </row>
    <row r="84" spans="1:175" s="347" customFormat="1" ht="13.5" customHeight="1" x14ac:dyDescent="0.25">
      <c r="A84" s="98">
        <v>703</v>
      </c>
      <c r="B84" s="937">
        <v>32</v>
      </c>
      <c r="C84" s="1043"/>
      <c r="D84" s="1043" t="str">
        <f t="shared" si="44"/>
        <v>Ông</v>
      </c>
      <c r="E84" s="1044" t="s">
        <v>150</v>
      </c>
      <c r="F84" s="1043" t="s">
        <v>219</v>
      </c>
      <c r="G84" s="1026" t="s">
        <v>132</v>
      </c>
      <c r="H84" s="258" t="s">
        <v>200</v>
      </c>
      <c r="I84" s="1026">
        <v>8</v>
      </c>
      <c r="J84" s="258" t="s">
        <v>200</v>
      </c>
      <c r="K84" s="1044">
        <v>1978</v>
      </c>
      <c r="L84" s="210" t="s">
        <v>264</v>
      </c>
      <c r="M84" s="1047" t="str">
        <f t="shared" si="45"/>
        <v>VC</v>
      </c>
      <c r="N84" s="223"/>
      <c r="O84" s="1025" t="e">
        <f t="shared" si="46"/>
        <v>#VALUE!</v>
      </c>
      <c r="P84" s="1044" t="s">
        <v>120</v>
      </c>
      <c r="Q84" s="359" t="str">
        <f>VLOOKUP(P84,'[2]- DLiêu Gốc (Không sửa)'!$C$2:$H$116,2,0)</f>
        <v>0,6</v>
      </c>
      <c r="R84" s="1037" t="s">
        <v>334</v>
      </c>
      <c r="S84" s="943" t="s">
        <v>326</v>
      </c>
      <c r="T84" s="201" t="e">
        <f>VLOOKUP(Y84,#REF!,5,0)</f>
        <v>#REF!</v>
      </c>
      <c r="U84" s="202" t="e">
        <f>VLOOKUP(Y84,#REF!,6,0)</f>
        <v>#REF!</v>
      </c>
      <c r="V84" s="1059" t="s">
        <v>248</v>
      </c>
      <c r="W84" s="358" t="str">
        <f t="shared" si="47"/>
        <v>Giảng viên chính (hạng II)</v>
      </c>
      <c r="X84" s="1059" t="e">
        <f t="shared" si="48"/>
        <v>#REF!</v>
      </c>
      <c r="Y84" s="380" t="s">
        <v>255</v>
      </c>
      <c r="Z84" s="380" t="e">
        <f>VLOOKUP(Y84,#REF!,2,0)</f>
        <v>#REF!</v>
      </c>
      <c r="AA84" s="1047" t="e">
        <f t="shared" si="49"/>
        <v>#REF!</v>
      </c>
      <c r="AB84" s="204">
        <v>0</v>
      </c>
      <c r="AC84" s="702" t="str">
        <f t="shared" si="91"/>
        <v>/</v>
      </c>
      <c r="AD84" s="205">
        <v>1</v>
      </c>
      <c r="AE84" s="1048" t="e">
        <f t="shared" si="93"/>
        <v>#REF!</v>
      </c>
      <c r="AF84" s="436"/>
      <c r="AG84" s="436"/>
      <c r="AH84" s="1020"/>
      <c r="AI84" s="1022" t="s">
        <v>200</v>
      </c>
      <c r="AJ84" s="208"/>
      <c r="AK84" s="694" t="s">
        <v>200</v>
      </c>
      <c r="AL84" s="1021"/>
      <c r="AM84" s="1052"/>
      <c r="AN84" s="216"/>
      <c r="AO84" s="207">
        <f>AB84+1</f>
        <v>1</v>
      </c>
      <c r="AP84" s="703" t="str">
        <f>IF(AD84=AB84,"%",IF(AD84&gt;AB84,"/"))</f>
        <v>/</v>
      </c>
      <c r="AQ84" s="209">
        <f>IF(AND(AD84=AB84,AO84=4),5,IF(AND(AD84=AB84,AO84&gt;4),AO84+1,IF(AD84&gt;AB84,AD84)))</f>
        <v>1</v>
      </c>
      <c r="AR84" s="210" t="e">
        <f>IF(AD84=AB84,"%",IF(AD84&gt;AB84,AE84+BE84))</f>
        <v>#REF!</v>
      </c>
      <c r="AS84" s="440"/>
      <c r="AT84" s="1049" t="s">
        <v>183</v>
      </c>
      <c r="AU84" s="705" t="s">
        <v>200</v>
      </c>
      <c r="AV84" s="1050" t="s">
        <v>216</v>
      </c>
      <c r="AW84" s="1087" t="s">
        <v>200</v>
      </c>
      <c r="AX84" s="1077">
        <v>2018</v>
      </c>
      <c r="AY84" s="742"/>
      <c r="AZ84" s="1131"/>
      <c r="BA84" s="516"/>
      <c r="BB84" s="1051" t="e">
        <f t="shared" si="57"/>
        <v>#REF!</v>
      </c>
      <c r="BC84" s="356">
        <f t="shared" si="58"/>
        <v>-24220</v>
      </c>
      <c r="BD84" s="310" t="e">
        <f>VLOOKUP(Y84,#REF!,3,0)</f>
        <v>#REF!</v>
      </c>
      <c r="BE84" s="310" t="e">
        <f>VLOOKUP(Y84,#REF!,4,0)</f>
        <v>#REF!</v>
      </c>
      <c r="BF84" s="1053" t="str">
        <f t="shared" si="59"/>
        <v>PCTN</v>
      </c>
      <c r="BG84" s="1054">
        <v>15</v>
      </c>
      <c r="BH84" s="1085" t="s">
        <v>178</v>
      </c>
      <c r="BI84" s="60" t="s">
        <v>183</v>
      </c>
      <c r="BJ84" s="677" t="s">
        <v>200</v>
      </c>
      <c r="BK84" s="448">
        <v>5</v>
      </c>
      <c r="BL84" s="677" t="s">
        <v>200</v>
      </c>
      <c r="BM84" s="256">
        <v>2018</v>
      </c>
      <c r="BN84" s="1052"/>
      <c r="BO84" s="222"/>
      <c r="BP84" s="1055">
        <f t="shared" si="60"/>
        <v>16</v>
      </c>
      <c r="BQ84" s="456" t="s">
        <v>178</v>
      </c>
      <c r="BR84" s="60" t="s">
        <v>183</v>
      </c>
      <c r="BS84" s="442"/>
      <c r="BT84" s="1137" t="s">
        <v>200</v>
      </c>
      <c r="BU84" s="1084">
        <v>5</v>
      </c>
      <c r="BV84" s="1087" t="s">
        <v>200</v>
      </c>
      <c r="BW84" s="50">
        <v>2019</v>
      </c>
      <c r="BX84" s="221"/>
      <c r="BY84" s="177">
        <v>5</v>
      </c>
      <c r="BZ84" s="357">
        <f t="shared" si="61"/>
        <v>-24233</v>
      </c>
      <c r="CA84" s="1053" t="str">
        <f t="shared" si="62"/>
        <v>- - -</v>
      </c>
      <c r="CB84" s="379" t="str">
        <f t="shared" si="63"/>
        <v>Chánh Văn phòng Học viện, Trưởng Ban Tổ chức - Cán bộ, Trưởng Phân viện Học viện Hành chính Quốc gia tại Thành phố Hồ Chí Minh</v>
      </c>
      <c r="CC84" s="1057" t="str">
        <f t="shared" si="64"/>
        <v>A</v>
      </c>
      <c r="CD84" s="1058" t="e">
        <f>IF(AND(AO84&gt;0,AB84&lt;(AD84-1),CE84&gt;0,CE84&lt;13,OR(AND(CK84="Cùg Ng",($CD$2-CG84)&gt;BB84),CK84="- - -")),"Sớm TT","=&gt; s")</f>
        <v>#REF!</v>
      </c>
      <c r="CE84" s="1047" t="e">
        <f t="shared" si="66"/>
        <v>#REF!</v>
      </c>
      <c r="CF84" s="1043" t="str">
        <f t="shared" si="67"/>
        <v>S</v>
      </c>
      <c r="CG84" s="1043">
        <v>2014</v>
      </c>
      <c r="CH84" s="371"/>
      <c r="CI84" s="1043"/>
      <c r="CJ84" s="1043"/>
      <c r="CK84" s="1043" t="e">
        <f t="shared" si="68"/>
        <v>#REF!</v>
      </c>
      <c r="CL84" s="1060" t="str">
        <f t="shared" si="69"/>
        <v>- - -</v>
      </c>
      <c r="CM84" s="1061"/>
      <c r="CN84" s="1062"/>
      <c r="CO84" s="1061"/>
      <c r="CP84" s="1063"/>
      <c r="CQ84" s="1060" t="str">
        <f t="shared" si="70"/>
        <v>- - -</v>
      </c>
      <c r="CR84" s="1061"/>
      <c r="CS84" s="1062"/>
      <c r="CT84" s="1061"/>
      <c r="CU84" s="1063"/>
      <c r="CV84" s="1064" t="e">
        <f t="shared" si="71"/>
        <v>#REF!</v>
      </c>
      <c r="CW84" s="232" t="str">
        <f t="shared" si="72"/>
        <v>/-/ /-/</v>
      </c>
      <c r="CX84" s="1065">
        <f t="shared" si="73"/>
        <v>9</v>
      </c>
      <c r="CY84" s="1066">
        <f t="shared" si="74"/>
        <v>2038</v>
      </c>
      <c r="CZ84" s="1065">
        <f t="shared" si="75"/>
        <v>6</v>
      </c>
      <c r="DA84" s="1066">
        <f t="shared" si="76"/>
        <v>2038</v>
      </c>
      <c r="DB84" s="1065">
        <f t="shared" si="77"/>
        <v>3</v>
      </c>
      <c r="DC84" s="1066">
        <f t="shared" si="78"/>
        <v>2038</v>
      </c>
      <c r="DD84" s="1067" t="e">
        <f t="shared" si="79"/>
        <v>#REF!</v>
      </c>
      <c r="DE84" s="1068" t="str">
        <f t="shared" si="80"/>
        <v>. .</v>
      </c>
      <c r="DF84" s="376"/>
      <c r="DG84" s="1047">
        <f t="shared" si="81"/>
        <v>720</v>
      </c>
      <c r="DH84" s="1047">
        <f t="shared" si="82"/>
        <v>-23732</v>
      </c>
      <c r="DI84" s="1047">
        <f t="shared" si="83"/>
        <v>-1978</v>
      </c>
      <c r="DJ84" s="1047" t="str">
        <f t="shared" si="84"/>
        <v>Nam dưới 35</v>
      </c>
      <c r="DK84" s="1047"/>
      <c r="DL84" s="1047"/>
      <c r="DM84" s="1053" t="str">
        <f t="shared" si="85"/>
        <v>Đến 30</v>
      </c>
      <c r="DN84" s="1061" t="str">
        <f t="shared" si="86"/>
        <v>TD</v>
      </c>
      <c r="DO84" s="1045">
        <v>2008</v>
      </c>
      <c r="DP84" s="1043"/>
      <c r="DQ84" s="374"/>
      <c r="DR84" s="1045"/>
      <c r="DS84" s="1045"/>
      <c r="DT84" s="252"/>
      <c r="DU84" s="1044"/>
      <c r="DV84" s="1071"/>
      <c r="DW84" s="1072"/>
      <c r="DX84" s="250" t="s">
        <v>42</v>
      </c>
      <c r="DY84" s="378" t="s">
        <v>243</v>
      </c>
      <c r="DZ84" s="250" t="s">
        <v>42</v>
      </c>
      <c r="EA84" s="1023" t="s">
        <v>183</v>
      </c>
      <c r="EB84" s="1050" t="s">
        <v>200</v>
      </c>
      <c r="EC84" s="1080" t="s">
        <v>183</v>
      </c>
      <c r="ED84" s="1050" t="s">
        <v>200</v>
      </c>
      <c r="EE84" s="1073" t="s">
        <v>218</v>
      </c>
      <c r="EF84" s="1050">
        <f t="shared" si="87"/>
        <v>0</v>
      </c>
      <c r="EG84" s="1074" t="str">
        <f t="shared" si="88"/>
        <v>- - -</v>
      </c>
      <c r="EH84" s="1023" t="s">
        <v>183</v>
      </c>
      <c r="EI84" s="1050" t="s">
        <v>200</v>
      </c>
      <c r="EJ84" s="1080" t="s">
        <v>183</v>
      </c>
      <c r="EK84" s="1050" t="s">
        <v>200</v>
      </c>
      <c r="EL84" s="1073" t="s">
        <v>218</v>
      </c>
      <c r="EM84" s="1043"/>
      <c r="EN84" s="1060" t="e">
        <f>IF(AND(BE84&gt;0.34,AO84=1,OR(BD84=6.2,BD84=5.75)),((BD84-EM84)-2*0.34),IF(AND(BE84&gt;0.33,AO84=1,OR(BD84=4.4,BD84=4)),((BD84-EM84)-2*0.33),"- - -"))</f>
        <v>#REF!</v>
      </c>
      <c r="EO84" s="1075" t="str">
        <f t="shared" si="90"/>
        <v>---</v>
      </c>
      <c r="EP84" s="1072"/>
      <c r="EQ84" s="1076"/>
      <c r="ER84" s="1076"/>
      <c r="ES84" s="1076"/>
      <c r="ET84" s="1076"/>
      <c r="EU84" s="1076"/>
      <c r="EV84" s="1076"/>
      <c r="EW84" s="1076"/>
      <c r="EX84" s="1076"/>
      <c r="EY84" s="1076"/>
      <c r="EZ84" s="1076"/>
      <c r="FA84" s="1076"/>
      <c r="FB84" s="1076"/>
      <c r="FC84" s="1076"/>
      <c r="FD84" s="1076"/>
      <c r="FE84" s="1076"/>
      <c r="FF84" s="1076"/>
      <c r="FG84" s="1076"/>
      <c r="FH84" s="1076"/>
      <c r="FI84" s="1076"/>
      <c r="FJ84" s="1076"/>
      <c r="FK84" s="1076"/>
      <c r="FL84" s="1076"/>
      <c r="FM84" s="1076"/>
      <c r="FN84" s="1076"/>
      <c r="FO84" s="79"/>
      <c r="FP84" s="79"/>
      <c r="FQ84" s="79"/>
      <c r="FR84" s="79"/>
      <c r="FS84" s="79"/>
    </row>
  </sheetData>
  <autoFilter ref="A16:ES28">
    <filterColumn colId="17" showButton="0"/>
    <filterColumn colId="21" showButton="0"/>
    <filterColumn colId="22" showButton="0"/>
    <filterColumn colId="57" showButton="0"/>
    <filterColumn colId="66" showButton="0"/>
    <filterColumn colId="71" showButton="0"/>
    <filterColumn colId="72" showButton="0"/>
  </autoFilter>
  <mergeCells count="35">
    <mergeCell ref="CC12:CC14"/>
    <mergeCell ref="BX12:BX14"/>
    <mergeCell ref="BW12:BW14"/>
    <mergeCell ref="S1:BW1"/>
    <mergeCell ref="BT16:BV16"/>
    <mergeCell ref="BF12:BL12"/>
    <mergeCell ref="W12:Y14"/>
    <mergeCell ref="R12:S14"/>
    <mergeCell ref="B1:R1"/>
    <mergeCell ref="B2:R2"/>
    <mergeCell ref="S2:BV2"/>
    <mergeCell ref="B5:BV5"/>
    <mergeCell ref="S4:BV4"/>
    <mergeCell ref="B10:E10"/>
    <mergeCell ref="B12:B14"/>
    <mergeCell ref="D12:D14"/>
    <mergeCell ref="CB12:CB14"/>
    <mergeCell ref="R16:S16"/>
    <mergeCell ref="V16:X16"/>
    <mergeCell ref="BF16:BG16"/>
    <mergeCell ref="BJ16:BL16"/>
    <mergeCell ref="BO16:BP16"/>
    <mergeCell ref="BM16:BN16"/>
    <mergeCell ref="BO12:BV12"/>
    <mergeCell ref="BT13:BV14"/>
    <mergeCell ref="BO13:BP14"/>
    <mergeCell ref="BM12:BN13"/>
    <mergeCell ref="BJ13:BL14"/>
    <mergeCell ref="BF13:BG14"/>
    <mergeCell ref="E12:E14"/>
    <mergeCell ref="F12:F14"/>
    <mergeCell ref="X26:BW26"/>
    <mergeCell ref="X30:BW30"/>
    <mergeCell ref="BY12:BY14"/>
    <mergeCell ref="BL28:BO28"/>
  </mergeCells>
  <conditionalFormatting sqref="BY11">
    <cfRule type="cellIs" dxfId="209" priority="3017" stopIfTrue="1" operator="between">
      <formula>"720"</formula>
      <formula>"720"</formula>
    </cfRule>
    <cfRule type="cellIs" dxfId="208" priority="3018" stopIfTrue="1" operator="between">
      <formula>"660"</formula>
      <formula>"660"</formula>
    </cfRule>
  </conditionalFormatting>
  <conditionalFormatting sqref="DR29:DR37 DR41">
    <cfRule type="expression" dxfId="207" priority="3015" stopIfTrue="1">
      <formula>IF(DS29&gt;0,1,0)</formula>
    </cfRule>
    <cfRule type="expression" dxfId="206" priority="3016" stopIfTrue="1">
      <formula>IF(DS29=0,1,0)</formula>
    </cfRule>
  </conditionalFormatting>
  <conditionalFormatting sqref="DX29:DX37 DX41">
    <cfRule type="cellIs" dxfId="205" priority="3012" stopIfTrue="1" operator="between">
      <formula>"Hưu"</formula>
      <formula>"Hưu"</formula>
    </cfRule>
    <cfRule type="cellIs" dxfId="204" priority="3013" stopIfTrue="1" operator="between">
      <formula>"---"</formula>
      <formula>"---"</formula>
    </cfRule>
    <cfRule type="cellIs" dxfId="203" priority="3014" stopIfTrue="1" operator="between">
      <formula>"Quá"</formula>
      <formula>"Quá"</formula>
    </cfRule>
  </conditionalFormatting>
  <conditionalFormatting sqref="DO29:DO37 DO41">
    <cfRule type="cellIs" dxfId="202" priority="3009" stopIfTrue="1" operator="between">
      <formula>"Đến"</formula>
      <formula>"Đến"</formula>
    </cfRule>
    <cfRule type="cellIs" dxfId="201" priority="3010" stopIfTrue="1" operator="between">
      <formula>"Quá"</formula>
      <formula>"Quá"</formula>
    </cfRule>
    <cfRule type="expression" dxfId="200" priority="3011" stopIfTrue="1">
      <formula>IF(OR(DO29="Lương Sớm Hưu",DO29="Nâng Ngạch Hưu"),1,0)</formula>
    </cfRule>
  </conditionalFormatting>
  <conditionalFormatting sqref="DW29:DW37 DW41">
    <cfRule type="expression" dxfId="199" priority="3006" stopIfTrue="1">
      <formula>IF(DW29="Nâg Ngạch sau TB",1,0)</formula>
    </cfRule>
    <cfRule type="expression" dxfId="198" priority="3007" stopIfTrue="1">
      <formula>IF(DW29="Nâg Lươg Sớm sau TB",1,0)</formula>
    </cfRule>
    <cfRule type="expression" dxfId="197" priority="3008" stopIfTrue="1">
      <formula>IF(DW29="Nâg PC TNVK cùng QĐ",1,0)</formula>
    </cfRule>
  </conditionalFormatting>
  <conditionalFormatting sqref="A29:A37 A41">
    <cfRule type="expression" dxfId="196" priority="3004" stopIfTrue="1">
      <formula>IF(#REF!="Hưu",1,0)</formula>
    </cfRule>
    <cfRule type="expression" dxfId="195" priority="3005" stopIfTrue="1">
      <formula>IF(#REF!="Quá",1,0)</formula>
    </cfRule>
  </conditionalFormatting>
  <conditionalFormatting sqref="AV38:AV40 AJ38:AJ40">
    <cfRule type="expression" dxfId="194" priority="2048" stopIfTrue="1">
      <formula>IF(AND(AP38=0,OR($AA$4-AJ38&gt;0,O$4-AJ38&lt;0)),1,0)</formula>
    </cfRule>
  </conditionalFormatting>
  <conditionalFormatting sqref="AA38:AA40">
    <cfRule type="cellIs" dxfId="193" priority="1950" stopIfTrue="1" operator="between">
      <formula>"Đến $"</formula>
      <formula>"Đến $"</formula>
    </cfRule>
    <cfRule type="cellIs" dxfId="192" priority="1951" stopIfTrue="1" operator="between">
      <formula>"Dừng $"</formula>
      <formula>"Dừng $"</formula>
    </cfRule>
  </conditionalFormatting>
  <conditionalFormatting sqref="AP38:AP40">
    <cfRule type="cellIs" dxfId="191" priority="1963" stopIfTrue="1" operator="between">
      <formula>"%"</formula>
      <formula>"%"</formula>
    </cfRule>
    <cfRule type="expression" dxfId="190" priority="1964" stopIfTrue="1">
      <formula>IF(AO38=AQ38,1,0)</formula>
    </cfRule>
  </conditionalFormatting>
  <conditionalFormatting sqref="O38:O40">
    <cfRule type="expression" dxfId="189" priority="1962" stopIfTrue="1">
      <formula>IF(P38=0,1,0)</formula>
    </cfRule>
  </conditionalFormatting>
  <conditionalFormatting sqref="DO38:DO40">
    <cfRule type="expression" dxfId="188" priority="1959" stopIfTrue="1">
      <formula>IF(FG38="Hưu",1,0)</formula>
    </cfRule>
    <cfRule type="expression" dxfId="187" priority="1960" stopIfTrue="1">
      <formula>IF(FG38="Quá",1,0)</formula>
    </cfRule>
    <cfRule type="expression" dxfId="186" priority="1961" stopIfTrue="1">
      <formula>IF(EO38="Lùi",1,0)</formula>
    </cfRule>
  </conditionalFormatting>
  <conditionalFormatting sqref="DV38:DV40">
    <cfRule type="expression" dxfId="185" priority="1957" stopIfTrue="1">
      <formula>IF(FL38="Hưu",1,0)</formula>
    </cfRule>
    <cfRule type="expression" dxfId="184" priority="1958" stopIfTrue="1">
      <formula>IF(FL38="Quá",1,0)</formula>
    </cfRule>
  </conditionalFormatting>
  <conditionalFormatting sqref="CV38:CV40">
    <cfRule type="cellIs" dxfId="183" priority="1954" stopIfTrue="1" operator="between">
      <formula>"Hưu"</formula>
      <formula>"Hưu"</formula>
    </cfRule>
    <cfRule type="cellIs" dxfId="182" priority="1955" stopIfTrue="1" operator="between">
      <formula>"---"</formula>
      <formula>"---"</formula>
    </cfRule>
    <cfRule type="cellIs" dxfId="181" priority="1956" stopIfTrue="1" operator="between">
      <formula>"Quá"</formula>
      <formula>"Quá"</formula>
    </cfRule>
  </conditionalFormatting>
  <conditionalFormatting sqref="BE38:BE40">
    <cfRule type="expression" dxfId="180" priority="1952" stopIfTrue="1">
      <formula>IF(BE38="Đến %",1,0)</formula>
    </cfRule>
    <cfRule type="expression" dxfId="179" priority="1953" stopIfTrue="1">
      <formula>IF(BE38="Dừng %",1,0)</formula>
    </cfRule>
  </conditionalFormatting>
  <conditionalFormatting sqref="BX38:BX40">
    <cfRule type="cellIs" dxfId="178" priority="1949" stopIfTrue="1" operator="between">
      <formula>0</formula>
      <formula>13</formula>
    </cfRule>
  </conditionalFormatting>
  <conditionalFormatting sqref="ED38:ED40">
    <cfRule type="expression" dxfId="177" priority="1948" stopIfTrue="1">
      <formula>IF(ED38="Sửa",1,0)</formula>
    </cfRule>
  </conditionalFormatting>
  <conditionalFormatting sqref="N38:N40">
    <cfRule type="cellIs" dxfId="176" priority="1947" stopIfTrue="1" operator="between">
      <formula>"Ko hạn"</formula>
      <formula>"Ko hạn"</formula>
    </cfRule>
  </conditionalFormatting>
  <conditionalFormatting sqref="Q38:Q40">
    <cfRule type="expression" dxfId="175" priority="1946">
      <formula>IF(P38=0,1,0)</formula>
    </cfRule>
  </conditionalFormatting>
  <conditionalFormatting sqref="BJ38:BJ40 BJ62:BK84">
    <cfRule type="expression" dxfId="174" priority="1942" stopIfTrue="1">
      <formula>IF(AND(BT38=0,OR($AA$4-BJ38&gt;BT38,$AA$4-BJ38&lt;BT38)),1,0)</formula>
    </cfRule>
  </conditionalFormatting>
  <conditionalFormatting sqref="E38:E40">
    <cfRule type="expression" dxfId="173" priority="1939" stopIfTrue="1">
      <formula>IF(CW38="Hưu",1,0)</formula>
    </cfRule>
    <cfRule type="expression" dxfId="172" priority="1940" stopIfTrue="1">
      <formula>IF(CW38="Quá",1,0)</formula>
    </cfRule>
  </conditionalFormatting>
  <conditionalFormatting sqref="AM38:AM40">
    <cfRule type="expression" dxfId="171" priority="1938" stopIfTrue="1">
      <formula>IF(AND(BB38=0,AM38&gt;0),1,0)</formula>
    </cfRule>
  </conditionalFormatting>
  <conditionalFormatting sqref="BT38:BT40">
    <cfRule type="expression" dxfId="170" priority="1937" stopIfTrue="1">
      <formula>IF(AND(BY38=0,OR($AA$4-BT38&gt;BY38,$AA$4-BT38&lt;BY38)),1,0)</formula>
    </cfRule>
  </conditionalFormatting>
  <conditionalFormatting sqref="C38:C40">
    <cfRule type="expression" dxfId="169" priority="1934" stopIfTrue="1">
      <formula>IF(CY38="Hưu",1,0)</formula>
    </cfRule>
    <cfRule type="expression" dxfId="168" priority="1935" stopIfTrue="1">
      <formula>IF(CY38="Quá",1,0)</formula>
    </cfRule>
    <cfRule type="expression" dxfId="167" priority="1936" stopIfTrue="1">
      <formula>IF(BC38="Lùi",1,0)</formula>
    </cfRule>
  </conditionalFormatting>
  <conditionalFormatting sqref="A38:A40">
    <cfRule type="expression" dxfId="166" priority="1931" stopIfTrue="1">
      <formula>IF(CW38="Hưu",1,0)</formula>
    </cfRule>
    <cfRule type="expression" dxfId="165" priority="1932" stopIfTrue="1">
      <formula>IF(CW38="Quá",1,0)</formula>
    </cfRule>
    <cfRule type="expression" dxfId="164" priority="1933" stopIfTrue="1">
      <formula>IF(AM38="Lùi",1,0)</formula>
    </cfRule>
  </conditionalFormatting>
  <conditionalFormatting sqref="BI80:BI81 BI84">
    <cfRule type="expression" dxfId="163" priority="195" stopIfTrue="1">
      <formula>IF(AND(BR80=0,OR($AA$4-BI80&gt;BR80,$AA$4-BI80&lt;BR80)),1,0)</formula>
    </cfRule>
  </conditionalFormatting>
  <conditionalFormatting sqref="R66:R67 DX66:DX67">
    <cfRule type="expression" dxfId="162" priority="311" stopIfTrue="1">
      <formula>IF(Q66=0,1,0)</formula>
    </cfRule>
  </conditionalFormatting>
  <conditionalFormatting sqref="AP82:AP84">
    <cfRule type="cellIs" dxfId="161" priority="309" stopIfTrue="1" operator="between">
      <formula>"%"</formula>
      <formula>"%"</formula>
    </cfRule>
    <cfRule type="expression" dxfId="160" priority="310" stopIfTrue="1">
      <formula>IF(AO82=AQ82,1,0)</formula>
    </cfRule>
  </conditionalFormatting>
  <conditionalFormatting sqref="O62:O84">
    <cfRule type="expression" dxfId="159" priority="308" stopIfTrue="1">
      <formula>IF(P62=0,1,0)</formula>
    </cfRule>
  </conditionalFormatting>
  <conditionalFormatting sqref="E70:E72 E74 E76:E81 E84 E62:E67">
    <cfRule type="expression" dxfId="158" priority="306" stopIfTrue="1">
      <formula>IF(CX62="Hưu",1,0)</formula>
    </cfRule>
    <cfRule type="expression" dxfId="157" priority="307" stopIfTrue="1">
      <formula>IF(CX62="Quá",1,0)</formula>
    </cfRule>
  </conditionalFormatting>
  <conditionalFormatting sqref="DP82:DP83 DP73:DP79 DP65:DP69 DP62:DP63">
    <cfRule type="expression" dxfId="156" priority="303" stopIfTrue="1">
      <formula>IF(FJ62="Hưu",1,0)</formula>
    </cfRule>
    <cfRule type="expression" dxfId="155" priority="304" stopIfTrue="1">
      <formula>IF(FJ62="Quá",1,0)</formula>
    </cfRule>
    <cfRule type="expression" dxfId="154" priority="305" stopIfTrue="1">
      <formula>IF(ER62="Lùi",1,0)</formula>
    </cfRule>
  </conditionalFormatting>
  <conditionalFormatting sqref="DW70:DW72 DW74 DW68 DW76:DW81 DW84 DW62:DW65">
    <cfRule type="expression" dxfId="153" priority="301" stopIfTrue="1">
      <formula>IF(FO62="Hưu",1,0)</formula>
    </cfRule>
    <cfRule type="expression" dxfId="152" priority="302" stopIfTrue="1">
      <formula>IF(FO62="Quá",1,0)</formula>
    </cfRule>
  </conditionalFormatting>
  <conditionalFormatting sqref="AB69:AB73 AB76:AB81 AB62:AB67 AB83:AB84">
    <cfRule type="cellIs" dxfId="151" priority="298" stopIfTrue="1" operator="between">
      <formula>0</formula>
      <formula>0</formula>
    </cfRule>
    <cfRule type="expression" dxfId="150" priority="299" stopIfTrue="1">
      <formula>IF(AND(AD62&gt;AB62,AB62&gt;0),1,0)</formula>
    </cfRule>
    <cfRule type="expression" dxfId="149" priority="300" stopIfTrue="1">
      <formula>IF(AD62&lt;AB62,1,0)</formula>
    </cfRule>
  </conditionalFormatting>
  <conditionalFormatting sqref="CW78:CW79 CW83 CW66:CW76 CW62:CW64">
    <cfRule type="cellIs" dxfId="148" priority="295" stopIfTrue="1" operator="between">
      <formula>"Hưu"</formula>
      <formula>"Hưu"</formula>
    </cfRule>
    <cfRule type="cellIs" dxfId="147" priority="296" stopIfTrue="1" operator="between">
      <formula>"---"</formula>
      <formula>"---"</formula>
    </cfRule>
    <cfRule type="cellIs" dxfId="146" priority="297" stopIfTrue="1" operator="between">
      <formula>"Quá"</formula>
      <formula>"Quá"</formula>
    </cfRule>
  </conditionalFormatting>
  <conditionalFormatting sqref="BG66:BG67 BG69:BG73 BG78:BG79 BG83 BG75:BG76 BG62:BG64">
    <cfRule type="cellIs" dxfId="145" priority="294" stopIfTrue="1" operator="between">
      <formula>4</formula>
      <formula>4</formula>
    </cfRule>
  </conditionalFormatting>
  <conditionalFormatting sqref="BF78:BF79 BF83 BF66:BF76 BF62:BF64">
    <cfRule type="expression" dxfId="144" priority="292" stopIfTrue="1">
      <formula>IF(BF62="Đến %",1,0)</formula>
    </cfRule>
    <cfRule type="expression" dxfId="143" priority="293" stopIfTrue="1">
      <formula>IF(BF62="Dừng %",1,0)</formula>
    </cfRule>
  </conditionalFormatting>
  <conditionalFormatting sqref="AA78:AA79 AA83 AA66:AA76 AA62:AA64">
    <cfRule type="cellIs" dxfId="142" priority="290" stopIfTrue="1" operator="between">
      <formula>"Đến $"</formula>
      <formula>"Đến $"</formula>
    </cfRule>
    <cfRule type="cellIs" dxfId="141" priority="291" stopIfTrue="1" operator="between">
      <formula>"Dừng $"</formula>
      <formula>"Dừng $"</formula>
    </cfRule>
  </conditionalFormatting>
  <conditionalFormatting sqref="BY62:BY84">
    <cfRule type="cellIs" dxfId="140" priority="289" stopIfTrue="1" operator="between">
      <formula>0</formula>
      <formula>13</formula>
    </cfRule>
  </conditionalFormatting>
  <conditionalFormatting sqref="AM62:AM84">
    <cfRule type="expression" dxfId="139" priority="288" stopIfTrue="1">
      <formula>IF(AND(BC62=0,AM62&gt;0),1,0)</formula>
    </cfRule>
  </conditionalFormatting>
  <conditionalFormatting sqref="EG78:EG79 EG83 EG66:EG76 EG62:EG64">
    <cfRule type="expression" dxfId="138" priority="287" stopIfTrue="1">
      <formula>IF(EG62="Sửa",1,0)</formula>
    </cfRule>
  </conditionalFormatting>
  <conditionalFormatting sqref="N78:N79 N83 N66:N76 N62:N64">
    <cfRule type="cellIs" dxfId="137" priority="286" stopIfTrue="1" operator="between">
      <formula>"Ko hạn"</formula>
      <formula>"Ko hạn"</formula>
    </cfRule>
  </conditionalFormatting>
  <conditionalFormatting sqref="BU62:BU84">
    <cfRule type="expression" dxfId="136" priority="285" stopIfTrue="1">
      <formula>IF(AND(BZ62=0,OR($AA$4-BU62&gt;BZ62,$AA$4-BU62&lt;BZ62)),1,0)</formula>
    </cfRule>
  </conditionalFormatting>
  <conditionalFormatting sqref="BN62:BN84">
    <cfRule type="expression" dxfId="135" priority="284" stopIfTrue="1">
      <formula>IF(AND(BZ62=0,BN62&gt;0),1,0)</formula>
    </cfRule>
  </conditionalFormatting>
  <conditionalFormatting sqref="CW65">
    <cfRule type="cellIs" dxfId="134" priority="271" stopIfTrue="1" operator="between">
      <formula>"Hưu"</formula>
      <formula>"Hưu"</formula>
    </cfRule>
    <cfRule type="cellIs" dxfId="133" priority="272" stopIfTrue="1" operator="between">
      <formula>"---"</formula>
      <formula>"---"</formula>
    </cfRule>
    <cfRule type="cellIs" dxfId="132" priority="273" stopIfTrue="1" operator="between">
      <formula>"Quá"</formula>
      <formula>"Quá"</formula>
    </cfRule>
  </conditionalFormatting>
  <conditionalFormatting sqref="BG65">
    <cfRule type="cellIs" dxfId="131" priority="270" stopIfTrue="1" operator="between">
      <formula>4</formula>
      <formula>4</formula>
    </cfRule>
  </conditionalFormatting>
  <conditionalFormatting sqref="BF65">
    <cfRule type="expression" dxfId="130" priority="268" stopIfTrue="1">
      <formula>IF(BF65="Đến %",1,0)</formula>
    </cfRule>
    <cfRule type="expression" dxfId="129" priority="269" stopIfTrue="1">
      <formula>IF(BF65="Dừng %",1,0)</formula>
    </cfRule>
  </conditionalFormatting>
  <conditionalFormatting sqref="AA65">
    <cfRule type="cellIs" dxfId="128" priority="266" stopIfTrue="1" operator="between">
      <formula>"Đến $"</formula>
      <formula>"Đến $"</formula>
    </cfRule>
    <cfRule type="cellIs" dxfId="127" priority="267" stopIfTrue="1" operator="between">
      <formula>"Dừng $"</formula>
      <formula>"Dừng $"</formula>
    </cfRule>
  </conditionalFormatting>
  <conditionalFormatting sqref="EG65">
    <cfRule type="expression" dxfId="126" priority="265" stopIfTrue="1">
      <formula>IF(EG65="Sửa",1,0)</formula>
    </cfRule>
  </conditionalFormatting>
  <conditionalFormatting sqref="N65">
    <cfRule type="cellIs" dxfId="125" priority="264" stopIfTrue="1" operator="between">
      <formula>"Ko hạn"</formula>
      <formula>"Ko hạn"</formula>
    </cfRule>
  </conditionalFormatting>
  <conditionalFormatting sqref="CW77">
    <cfRule type="cellIs" dxfId="124" priority="261" stopIfTrue="1" operator="between">
      <formula>"Hưu"</formula>
      <formula>"Hưu"</formula>
    </cfRule>
    <cfRule type="cellIs" dxfId="123" priority="262" stopIfTrue="1" operator="between">
      <formula>"---"</formula>
      <formula>"---"</formula>
    </cfRule>
    <cfRule type="cellIs" dxfId="122" priority="263" stopIfTrue="1" operator="between">
      <formula>"Quá"</formula>
      <formula>"Quá"</formula>
    </cfRule>
  </conditionalFormatting>
  <conditionalFormatting sqref="BG77">
    <cfRule type="cellIs" dxfId="121" priority="260" stopIfTrue="1" operator="between">
      <formula>4</formula>
      <formula>4</formula>
    </cfRule>
  </conditionalFormatting>
  <conditionalFormatting sqref="BF77">
    <cfRule type="expression" dxfId="120" priority="258" stopIfTrue="1">
      <formula>IF(BF77="Đến %",1,0)</formula>
    </cfRule>
    <cfRule type="expression" dxfId="119" priority="259" stopIfTrue="1">
      <formula>IF(BF77="Dừng %",1,0)</formula>
    </cfRule>
  </conditionalFormatting>
  <conditionalFormatting sqref="AA77">
    <cfRule type="cellIs" dxfId="118" priority="256" stopIfTrue="1" operator="between">
      <formula>"Đến $"</formula>
      <formula>"Đến $"</formula>
    </cfRule>
    <cfRule type="cellIs" dxfId="117" priority="257" stopIfTrue="1" operator="between">
      <formula>"Dừng $"</formula>
      <formula>"Dừng $"</formula>
    </cfRule>
  </conditionalFormatting>
  <conditionalFormatting sqref="EG77">
    <cfRule type="expression" dxfId="116" priority="255" stopIfTrue="1">
      <formula>IF(EG77="Sửa",1,0)</formula>
    </cfRule>
  </conditionalFormatting>
  <conditionalFormatting sqref="N77">
    <cfRule type="cellIs" dxfId="115" priority="254" stopIfTrue="1" operator="between">
      <formula>"Ko hạn"</formula>
      <formula>"Ko hạn"</formula>
    </cfRule>
  </conditionalFormatting>
  <conditionalFormatting sqref="Q62:Q84">
    <cfRule type="expression" dxfId="114" priority="251">
      <formula>IF(P62=0,1,0)</formula>
    </cfRule>
  </conditionalFormatting>
  <conditionalFormatting sqref="BI70:BI71 BI62:BI63">
    <cfRule type="expression" dxfId="113" priority="249" stopIfTrue="1">
      <formula>IF(AND(BR62=0,OR($AA$4-BI62&gt;BR62,$AA$4-BI62&lt;BR62)),1,0)</formula>
    </cfRule>
  </conditionalFormatting>
  <conditionalFormatting sqref="CW80:CW81 CW84">
    <cfRule type="cellIs" dxfId="112" priority="246" stopIfTrue="1" operator="between">
      <formula>"Hưu"</formula>
      <formula>"Hưu"</formula>
    </cfRule>
    <cfRule type="cellIs" dxfId="111" priority="247" stopIfTrue="1" operator="between">
      <formula>"---"</formula>
      <formula>"---"</formula>
    </cfRule>
    <cfRule type="cellIs" dxfId="110" priority="248" stopIfTrue="1" operator="between">
      <formula>"Quá"</formula>
      <formula>"Quá"</formula>
    </cfRule>
  </conditionalFormatting>
  <conditionalFormatting sqref="BG80:BG81 BG84">
    <cfRule type="cellIs" dxfId="109" priority="245" stopIfTrue="1" operator="between">
      <formula>4</formula>
      <formula>4</formula>
    </cfRule>
  </conditionalFormatting>
  <conditionalFormatting sqref="BF80:BF81 BF84">
    <cfRule type="expression" dxfId="108" priority="243" stopIfTrue="1">
      <formula>IF(BF80="Đến %",1,0)</formula>
    </cfRule>
    <cfRule type="expression" dxfId="107" priority="244" stopIfTrue="1">
      <formula>IF(BF80="Dừng %",1,0)</formula>
    </cfRule>
  </conditionalFormatting>
  <conditionalFormatting sqref="AA80:AA81 AA84">
    <cfRule type="cellIs" dxfId="106" priority="241" stopIfTrue="1" operator="between">
      <formula>"Đến $"</formula>
      <formula>"Đến $"</formula>
    </cfRule>
    <cfRule type="cellIs" dxfId="105" priority="242" stopIfTrue="1" operator="between">
      <formula>"Dừng $"</formula>
      <formula>"Dừng $"</formula>
    </cfRule>
  </conditionalFormatting>
  <conditionalFormatting sqref="EG80:EG81 EG84">
    <cfRule type="expression" dxfId="104" priority="240" stopIfTrue="1">
      <formula>IF(EG80="Sửa",1,0)</formula>
    </cfRule>
  </conditionalFormatting>
  <conditionalFormatting sqref="N80:N81 N84">
    <cfRule type="cellIs" dxfId="103" priority="239" stopIfTrue="1" operator="between">
      <formula>"Ko hạn"</formula>
      <formula>"Ko hạn"</formula>
    </cfRule>
  </conditionalFormatting>
  <conditionalFormatting sqref="AV53:AV84 AJ53:AJ84">
    <cfRule type="expression" dxfId="102" priority="238" stopIfTrue="1">
      <formula>IF(AND(AQ53=0,OR($AA$4-AJ53&gt;0,O$4-AJ53&lt;0)),1,0)</formula>
    </cfRule>
  </conditionalFormatting>
  <conditionalFormatting sqref="BR62:BS84">
    <cfRule type="expression" dxfId="101" priority="237" stopIfTrue="1">
      <formula>IF(AND(BO62=0,OR($AA$4-BR62&gt;BO62,$AA$4-BR62&lt;BO62)),1,0)</formula>
    </cfRule>
  </conditionalFormatting>
  <conditionalFormatting sqref="C62:C84">
    <cfRule type="expression" dxfId="100" priority="234" stopIfTrue="1">
      <formula>IF(CZ62="Hưu",1,0)</formula>
    </cfRule>
    <cfRule type="expression" dxfId="99" priority="235" stopIfTrue="1">
      <formula>IF(CZ62="Quá",1,0)</formula>
    </cfRule>
    <cfRule type="expression" dxfId="98" priority="236" stopIfTrue="1">
      <formula>IF(BD62="Lùi",1,0)</formula>
    </cfRule>
  </conditionalFormatting>
  <conditionalFormatting sqref="A62:A84">
    <cfRule type="expression" dxfId="97" priority="231" stopIfTrue="1">
      <formula>IF(CX62="Hưu",1,0)</formula>
    </cfRule>
    <cfRule type="expression" dxfId="96" priority="232" stopIfTrue="1">
      <formula>IF(CX62="Quá",1,0)</formula>
    </cfRule>
    <cfRule type="expression" dxfId="95" priority="233" stopIfTrue="1">
      <formula>IF(AM62="Lùi",1,0)</formula>
    </cfRule>
  </conditionalFormatting>
  <conditionalFormatting sqref="CW82">
    <cfRule type="cellIs" dxfId="94" priority="228" stopIfTrue="1" operator="between">
      <formula>"Hưu"</formula>
      <formula>"Hưu"</formula>
    </cfRule>
    <cfRule type="cellIs" dxfId="93" priority="229" stopIfTrue="1" operator="between">
      <formula>"---"</formula>
      <formula>"---"</formula>
    </cfRule>
    <cfRule type="cellIs" dxfId="92" priority="230" stopIfTrue="1" operator="between">
      <formula>"Quá"</formula>
      <formula>"Quá"</formula>
    </cfRule>
  </conditionalFormatting>
  <conditionalFormatting sqref="BG82">
    <cfRule type="cellIs" dxfId="91" priority="227" stopIfTrue="1" operator="between">
      <formula>4</formula>
      <formula>4</formula>
    </cfRule>
  </conditionalFormatting>
  <conditionalFormatting sqref="BF82">
    <cfRule type="expression" dxfId="90" priority="225" stopIfTrue="1">
      <formula>IF(BF82="Đến %",1,0)</formula>
    </cfRule>
    <cfRule type="expression" dxfId="89" priority="226" stopIfTrue="1">
      <formula>IF(BF82="Dừng %",1,0)</formula>
    </cfRule>
  </conditionalFormatting>
  <conditionalFormatting sqref="AA82">
    <cfRule type="cellIs" dxfId="88" priority="223" stopIfTrue="1" operator="between">
      <formula>"Đến $"</formula>
      <formula>"Đến $"</formula>
    </cfRule>
    <cfRule type="cellIs" dxfId="87" priority="224" stopIfTrue="1" operator="between">
      <formula>"Dừng $"</formula>
      <formula>"Dừng $"</formula>
    </cfRule>
  </conditionalFormatting>
  <conditionalFormatting sqref="EG82">
    <cfRule type="expression" dxfId="86" priority="222" stopIfTrue="1">
      <formula>IF(EG82="Sửa",1,0)</formula>
    </cfRule>
  </conditionalFormatting>
  <conditionalFormatting sqref="N82">
    <cfRule type="cellIs" dxfId="85" priority="221" stopIfTrue="1" operator="between">
      <formula>"Ko hạn"</formula>
      <formula>"Ko hạn"</formula>
    </cfRule>
  </conditionalFormatting>
  <conditionalFormatting sqref="AG68:AG81 AG62:AG65">
    <cfRule type="cellIs" dxfId="84" priority="219" stopIfTrue="1" operator="between">
      <formula>"%"</formula>
      <formula>"%"</formula>
    </cfRule>
    <cfRule type="expression" dxfId="83" priority="220" stopIfTrue="1">
      <formula>IF(AF62=AQ62,1,0)</formula>
    </cfRule>
  </conditionalFormatting>
  <conditionalFormatting sqref="AG66:AG67">
    <cfRule type="cellIs" dxfId="82" priority="217" stopIfTrue="1" operator="between">
      <formula>"%"</formula>
      <formula>"%"</formula>
    </cfRule>
    <cfRule type="expression" dxfId="81" priority="218" stopIfTrue="1">
      <formula>IF(AF66=AR66,1,0)</formula>
    </cfRule>
  </conditionalFormatting>
  <conditionalFormatting sqref="A17:A25">
    <cfRule type="expression" dxfId="80" priority="6" stopIfTrue="1">
      <formula>IF(CW17="Hưu",1,0)</formula>
    </cfRule>
    <cfRule type="expression" dxfId="79" priority="7" stopIfTrue="1">
      <formula>IF(CW17="Quá",1,0)</formula>
    </cfRule>
    <cfRule type="expression" dxfId="78" priority="8" stopIfTrue="1">
      <formula>IF(AM17="Lùi",1,0)</formula>
    </cfRule>
  </conditionalFormatting>
  <conditionalFormatting sqref="O53:O61">
    <cfRule type="expression" dxfId="77" priority="88" stopIfTrue="1">
      <formula>IF(P53=0,1,0)</formula>
    </cfRule>
  </conditionalFormatting>
  <conditionalFormatting sqref="E53:E55 E60:E61">
    <cfRule type="expression" dxfId="76" priority="86" stopIfTrue="1">
      <formula>IF(CW53="Hưu",1,0)</formula>
    </cfRule>
    <cfRule type="expression" dxfId="75" priority="87" stopIfTrue="1">
      <formula>IF(CW53="Quá",1,0)</formula>
    </cfRule>
  </conditionalFormatting>
  <conditionalFormatting sqref="DO53:DO61">
    <cfRule type="expression" dxfId="74" priority="83" stopIfTrue="1">
      <formula>IF(FI53="Hưu",1,0)</formula>
    </cfRule>
    <cfRule type="expression" dxfId="73" priority="84" stopIfTrue="1">
      <formula>IF(FI53="Quá",1,0)</formula>
    </cfRule>
    <cfRule type="expression" dxfId="72" priority="85" stopIfTrue="1">
      <formula>IF(EQ53="Lùi",1,0)</formula>
    </cfRule>
  </conditionalFormatting>
  <conditionalFormatting sqref="DV53:DV56 DV60:DV61">
    <cfRule type="expression" dxfId="71" priority="81" stopIfTrue="1">
      <formula>IF(FN53="Hưu",1,0)</formula>
    </cfRule>
    <cfRule type="expression" dxfId="70" priority="82" stopIfTrue="1">
      <formula>IF(FN53="Quá",1,0)</formula>
    </cfRule>
  </conditionalFormatting>
  <conditionalFormatting sqref="AB60:AB61">
    <cfRule type="cellIs" dxfId="69" priority="78" stopIfTrue="1" operator="between">
      <formula>0</formula>
      <formula>0</formula>
    </cfRule>
    <cfRule type="expression" dxfId="68" priority="79" stopIfTrue="1">
      <formula>IF(AND(AD60&gt;AB60,AB60&gt;0),1,0)</formula>
    </cfRule>
    <cfRule type="expression" dxfId="67" priority="80" stopIfTrue="1">
      <formula>IF(AD60&lt;AB60,1,0)</formula>
    </cfRule>
  </conditionalFormatting>
  <conditionalFormatting sqref="CV53:CV54 CV56:CV61">
    <cfRule type="cellIs" dxfId="66" priority="75" stopIfTrue="1" operator="between">
      <formula>"Hưu"</formula>
      <formula>"Hưu"</formula>
    </cfRule>
    <cfRule type="cellIs" dxfId="65" priority="76" stopIfTrue="1" operator="between">
      <formula>"---"</formula>
      <formula>"---"</formula>
    </cfRule>
    <cfRule type="cellIs" dxfId="64" priority="77" stopIfTrue="1" operator="between">
      <formula>"Quá"</formula>
      <formula>"Quá"</formula>
    </cfRule>
  </conditionalFormatting>
  <conditionalFormatting sqref="BG54 BG57:BG61">
    <cfRule type="cellIs" dxfId="63" priority="74" stopIfTrue="1" operator="between">
      <formula>4</formula>
      <formula>4</formula>
    </cfRule>
  </conditionalFormatting>
  <conditionalFormatting sqref="BF53:BF54 BF56:BF61">
    <cfRule type="expression" dxfId="62" priority="72" stopIfTrue="1">
      <formula>IF(BF53="Đến %",1,0)</formula>
    </cfRule>
    <cfRule type="expression" dxfId="61" priority="73" stopIfTrue="1">
      <formula>IF(BF53="Dừng %",1,0)</formula>
    </cfRule>
  </conditionalFormatting>
  <conditionalFormatting sqref="AA54 AA56:AA61">
    <cfRule type="cellIs" dxfId="60" priority="70" stopIfTrue="1" operator="between">
      <formula>"Đến $"</formula>
      <formula>"Đến $"</formula>
    </cfRule>
    <cfRule type="cellIs" dxfId="59" priority="71" stopIfTrue="1" operator="between">
      <formula>"Dừng $"</formula>
      <formula>"Dừng $"</formula>
    </cfRule>
  </conditionalFormatting>
  <conditionalFormatting sqref="BX53:BX61">
    <cfRule type="cellIs" dxfId="58" priority="69" stopIfTrue="1" operator="between">
      <formula>0</formula>
      <formula>13</formula>
    </cfRule>
  </conditionalFormatting>
  <conditionalFormatting sqref="AM53:AM61">
    <cfRule type="expression" dxfId="57" priority="68" stopIfTrue="1">
      <formula>IF(AND(BC53=0,AM53&gt;0),1,0)</formula>
    </cfRule>
  </conditionalFormatting>
  <conditionalFormatting sqref="EF53:EF54 EF56:EF61">
    <cfRule type="expression" dxfId="56" priority="67" stopIfTrue="1">
      <formula>IF(EF53="Sửa",1,0)</formula>
    </cfRule>
  </conditionalFormatting>
  <conditionalFormatting sqref="N53:N54 N56:N61">
    <cfRule type="cellIs" dxfId="55" priority="66" stopIfTrue="1" operator="between">
      <formula>"Ko hạn"</formula>
      <formula>"Ko hạn"</formula>
    </cfRule>
  </conditionalFormatting>
  <conditionalFormatting sqref="BT53:BT61">
    <cfRule type="expression" dxfId="54" priority="65" stopIfTrue="1">
      <formula>IF(AND(BY53=0,OR($AA$4-BT53&gt;BY53,$AA$4-BT53&lt;BY53)),1,0)</formula>
    </cfRule>
  </conditionalFormatting>
  <conditionalFormatting sqref="BN53:BN61">
    <cfRule type="expression" dxfId="53" priority="64" stopIfTrue="1">
      <formula>IF(AND(BY53=0,BN53&gt;0),1,0)</formula>
    </cfRule>
  </conditionalFormatting>
  <conditionalFormatting sqref="CV55">
    <cfRule type="cellIs" dxfId="52" priority="61" stopIfTrue="1" operator="between">
      <formula>"Hưu"</formula>
      <formula>"Hưu"</formula>
    </cfRule>
    <cfRule type="cellIs" dxfId="51" priority="62" stopIfTrue="1" operator="between">
      <formula>"---"</formula>
      <formula>"---"</formula>
    </cfRule>
    <cfRule type="cellIs" dxfId="50" priority="63" stopIfTrue="1" operator="between">
      <formula>"Quá"</formula>
      <formula>"Quá"</formula>
    </cfRule>
  </conditionalFormatting>
  <conditionalFormatting sqref="BG55">
    <cfRule type="cellIs" dxfId="49" priority="60" stopIfTrue="1" operator="between">
      <formula>4</formula>
      <formula>4</formula>
    </cfRule>
  </conditionalFormatting>
  <conditionalFormatting sqref="BF55">
    <cfRule type="expression" dxfId="48" priority="58" stopIfTrue="1">
      <formula>IF(BF55="Đến %",1,0)</formula>
    </cfRule>
    <cfRule type="expression" dxfId="47" priority="59" stopIfTrue="1">
      <formula>IF(BF55="Dừng %",1,0)</formula>
    </cfRule>
  </conditionalFormatting>
  <conditionalFormatting sqref="AA55">
    <cfRule type="cellIs" dxfId="46" priority="56" stopIfTrue="1" operator="between">
      <formula>"Đến $"</formula>
      <formula>"Đến $"</formula>
    </cfRule>
    <cfRule type="cellIs" dxfId="45" priority="57" stopIfTrue="1" operator="between">
      <formula>"Dừng $"</formula>
      <formula>"Dừng $"</formula>
    </cfRule>
  </conditionalFormatting>
  <conditionalFormatting sqref="EF55">
    <cfRule type="expression" dxfId="44" priority="55" stopIfTrue="1">
      <formula>IF(EF55="Sửa",1,0)</formula>
    </cfRule>
  </conditionalFormatting>
  <conditionalFormatting sqref="N55">
    <cfRule type="cellIs" dxfId="43" priority="54" stopIfTrue="1" operator="between">
      <formula>"Ko hạn"</formula>
      <formula>"Ko hạn"</formula>
    </cfRule>
  </conditionalFormatting>
  <conditionalFormatting sqref="AA53">
    <cfRule type="cellIs" dxfId="42" priority="52" stopIfTrue="1" operator="between">
      <formula>"Đến $"</formula>
      <formula>"Đến $"</formula>
    </cfRule>
    <cfRule type="cellIs" dxfId="41" priority="53" stopIfTrue="1" operator="between">
      <formula>"Dừng $"</formula>
      <formula>"Dừng $"</formula>
    </cfRule>
  </conditionalFormatting>
  <conditionalFormatting sqref="Q54:Q61">
    <cfRule type="expression" dxfId="40" priority="51">
      <formula>IF(P54=0,1,0)</formula>
    </cfRule>
  </conditionalFormatting>
  <conditionalFormatting sqref="Q53">
    <cfRule type="expression" dxfId="39" priority="50">
      <formula>IF(P53=0,1,0)</formula>
    </cfRule>
  </conditionalFormatting>
  <conditionalFormatting sqref="BI58:BI59 BJ54:BK61 BI54:BI56 BI61">
    <cfRule type="expression" dxfId="38" priority="49" stopIfTrue="1">
      <formula>IF(AND(BR54=0,OR($AA$4-BI54&gt;BR54,$AA$4-BI54&lt;BR54)),1,0)</formula>
    </cfRule>
  </conditionalFormatting>
  <conditionalFormatting sqref="BR54:BR61">
    <cfRule type="expression" dxfId="37" priority="47" stopIfTrue="1">
      <formula>IF(AND(BO54=0,OR($AA$4-BR54&gt;BO54,$AA$4-BR54&lt;BO54)),1,0)</formula>
    </cfRule>
  </conditionalFormatting>
  <conditionalFormatting sqref="C53:C61">
    <cfRule type="expression" dxfId="36" priority="44" stopIfTrue="1">
      <formula>IF(CY53="Hưu",1,0)</formula>
    </cfRule>
    <cfRule type="expression" dxfId="35" priority="45" stopIfTrue="1">
      <formula>IF(CY53="Quá",1,0)</formula>
    </cfRule>
    <cfRule type="expression" dxfId="34" priority="46" stopIfTrue="1">
      <formula>IF(BD53="Lùi",1,0)</formula>
    </cfRule>
  </conditionalFormatting>
  <conditionalFormatting sqref="A53:A61">
    <cfRule type="expression" dxfId="33" priority="41" stopIfTrue="1">
      <formula>IF(CW53="Hưu",1,0)</formula>
    </cfRule>
    <cfRule type="expression" dxfId="32" priority="42" stopIfTrue="1">
      <formula>IF(CW53="Quá",1,0)</formula>
    </cfRule>
    <cfRule type="expression" dxfId="31" priority="43" stopIfTrue="1">
      <formula>IF(AM53="Lùi",1,0)</formula>
    </cfRule>
  </conditionalFormatting>
  <conditionalFormatting sqref="AG53:AG54 AG56:AG58 AG60:AG61">
    <cfRule type="cellIs" dxfId="30" priority="39" stopIfTrue="1" operator="between">
      <formula>"%"</formula>
      <formula>"%"</formula>
    </cfRule>
    <cfRule type="expression" dxfId="29" priority="40" stopIfTrue="1">
      <formula>IF(AF53=AQ53,1,0)</formula>
    </cfRule>
  </conditionalFormatting>
  <conditionalFormatting sqref="BI53:BK53">
    <cfRule type="expression" dxfId="28" priority="37" stopIfTrue="1">
      <formula>IF(AND(BR53=0,OR($AA$4-BI53&gt;BR53,$AA$4-BI53&lt;BR53)),1,0)</formula>
    </cfRule>
  </conditionalFormatting>
  <conditionalFormatting sqref="AV17:AV25 AJ17:AJ25">
    <cfRule type="expression" dxfId="27" priority="36" stopIfTrue="1">
      <formula>IF(AND(AP17=0,OR($AA$4-AJ17&gt;0,O$4-AJ17&lt;0)),1,0)</formula>
    </cfRule>
  </conditionalFormatting>
  <conditionalFormatting sqref="AA17:AA25">
    <cfRule type="cellIs" dxfId="26" priority="21" stopIfTrue="1" operator="between">
      <formula>"Đến $"</formula>
      <formula>"Đến $"</formula>
    </cfRule>
    <cfRule type="cellIs" dxfId="25" priority="22" stopIfTrue="1" operator="between">
      <formula>"Dừng $"</formula>
      <formula>"Dừng $"</formula>
    </cfRule>
  </conditionalFormatting>
  <conditionalFormatting sqref="AP17:AP25">
    <cfRule type="cellIs" dxfId="24" priority="34" stopIfTrue="1" operator="between">
      <formula>"%"</formula>
      <formula>"%"</formula>
    </cfRule>
    <cfRule type="expression" dxfId="23" priority="35" stopIfTrue="1">
      <formula>IF(AO17=AQ17,1,0)</formula>
    </cfRule>
  </conditionalFormatting>
  <conditionalFormatting sqref="DO17:DO25">
    <cfRule type="expression" dxfId="22" priority="30" stopIfTrue="1">
      <formula>IF(FG17="Hưu",1,0)</formula>
    </cfRule>
    <cfRule type="expression" dxfId="21" priority="31" stopIfTrue="1">
      <formula>IF(FG17="Quá",1,0)</formula>
    </cfRule>
    <cfRule type="expression" dxfId="20" priority="32" stopIfTrue="1">
      <formula>IF(EO17="Lùi",1,0)</formula>
    </cfRule>
  </conditionalFormatting>
  <conditionalFormatting sqref="DV17:DV25">
    <cfRule type="expression" dxfId="19" priority="28" stopIfTrue="1">
      <formula>IF(FL17="Hưu",1,0)</formula>
    </cfRule>
    <cfRule type="expression" dxfId="18" priority="29" stopIfTrue="1">
      <formula>IF(FL17="Quá",1,0)</formula>
    </cfRule>
  </conditionalFormatting>
  <conditionalFormatting sqref="CV17:CV25">
    <cfRule type="cellIs" dxfId="17" priority="25" stopIfTrue="1" operator="between">
      <formula>"Hưu"</formula>
      <formula>"Hưu"</formula>
    </cfRule>
    <cfRule type="cellIs" dxfId="16" priority="26" stopIfTrue="1" operator="between">
      <formula>"---"</formula>
      <formula>"---"</formula>
    </cfRule>
    <cfRule type="cellIs" dxfId="15" priority="27" stopIfTrue="1" operator="between">
      <formula>"Quá"</formula>
      <formula>"Quá"</formula>
    </cfRule>
  </conditionalFormatting>
  <conditionalFormatting sqref="BE17:BE25">
    <cfRule type="expression" dxfId="14" priority="23" stopIfTrue="1">
      <formula>IF(BE17="Đến %",1,0)</formula>
    </cfRule>
    <cfRule type="expression" dxfId="13" priority="24" stopIfTrue="1">
      <formula>IF(BE17="Dừng %",1,0)</formula>
    </cfRule>
  </conditionalFormatting>
  <conditionalFormatting sqref="BX17:BX25">
    <cfRule type="cellIs" dxfId="12" priority="20" stopIfTrue="1" operator="between">
      <formula>0</formula>
      <formula>13</formula>
    </cfRule>
  </conditionalFormatting>
  <conditionalFormatting sqref="ED17:ED25">
    <cfRule type="expression" dxfId="11" priority="19" stopIfTrue="1">
      <formula>IF(ED17="Sửa",1,0)</formula>
    </cfRule>
  </conditionalFormatting>
  <conditionalFormatting sqref="BJ17:BJ25">
    <cfRule type="expression" dxfId="10" priority="16" stopIfTrue="1">
      <formula>IF(AND(BT17=0,OR($AA$4-BJ17&gt;BT17,$AA$4-BJ17&lt;BT17)),1,0)</formula>
    </cfRule>
  </conditionalFormatting>
  <conditionalFormatting sqref="AM17:AM25">
    <cfRule type="expression" dxfId="9" priority="13" stopIfTrue="1">
      <formula>IF(AND(BB17=0,AM17&gt;0),1,0)</formula>
    </cfRule>
  </conditionalFormatting>
  <conditionalFormatting sqref="BT17:BT25">
    <cfRule type="expression" dxfId="8" priority="12" stopIfTrue="1">
      <formula>IF(AND(BY17=0,OR($AA$4-BT17&gt;BY17,$AA$4-BT17&lt;BY17)),1,0)</formula>
    </cfRule>
  </conditionalFormatting>
  <conditionalFormatting sqref="C17:C25">
    <cfRule type="expression" dxfId="7" priority="9" stopIfTrue="1">
      <formula>IF(CY17="Hưu",1,0)</formula>
    </cfRule>
    <cfRule type="expression" dxfId="6" priority="10" stopIfTrue="1">
      <formula>IF(CY17="Quá",1,0)</formula>
    </cfRule>
    <cfRule type="expression" dxfId="5" priority="11" stopIfTrue="1">
      <formula>IF(BC17="Lùi",1,0)</formula>
    </cfRule>
  </conditionalFormatting>
  <conditionalFormatting sqref="O17:O25">
    <cfRule type="expression" dxfId="4" priority="5" stopIfTrue="1">
      <formula>IF(P17=0,1,0)</formula>
    </cfRule>
  </conditionalFormatting>
  <conditionalFormatting sqref="N17:N25">
    <cfRule type="cellIs" dxfId="3" priority="4" stopIfTrue="1" operator="between">
      <formula>"Ko hạn"</formula>
      <formula>"Ko hạn"</formula>
    </cfRule>
  </conditionalFormatting>
  <conditionalFormatting sqref="Q17:Q25">
    <cfRule type="expression" dxfId="2" priority="3">
      <formula>IF(P17=0,1,0)</formula>
    </cfRule>
  </conditionalFormatting>
  <conditionalFormatting sqref="E17:E25">
    <cfRule type="expression" dxfId="1" priority="1" stopIfTrue="1">
      <formula>IF(CW17="Hưu",1,0)</formula>
    </cfRule>
    <cfRule type="expression" dxfId="0" priority="2" stopIfTrue="1">
      <formula>IF(CW17="Quá",1,0)</formula>
    </cfRule>
  </conditionalFormatting>
  <pageMargins left="0.51" right="0.31496062992126" top="0.18" bottom="0.2" header="0.15748031496063" footer="0.196850393700787"/>
  <pageSetup paperSize="9" orientation="landscape" r:id="rId1"/>
  <headerFooter alignWithMargins="0">
    <oddHeader>&amp;R&amp;"Arial,Bold"&amp;14&amp;UBIỂU 2 -TB</oddHead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$-TBao1</vt:lpstr>
      <vt:lpstr>%-TBao2</vt:lpstr>
      <vt:lpstr>'$-TBao1'!Print_Area</vt:lpstr>
      <vt:lpstr>'%-TBao2'!Print_Area</vt:lpstr>
      <vt:lpstr>'$-TBao1'!Print_Titles</vt:lpstr>
      <vt:lpstr>'%-TBao2'!Print_Titles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HVHC</dc:creator>
  <cp:lastModifiedBy>AutoBVT</cp:lastModifiedBy>
  <cp:lastPrinted>2019-07-01T08:38:14Z</cp:lastPrinted>
  <dcterms:created xsi:type="dcterms:W3CDTF">1996-10-14T23:33:28Z</dcterms:created>
  <dcterms:modified xsi:type="dcterms:W3CDTF">2019-07-02T02:59:42Z</dcterms:modified>
</cp:coreProperties>
</file>